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L:\2021 Implementation of Administrative code-audit review\Data Input Worksheet\2021 DIW - Final\"/>
    </mc:Choice>
  </mc:AlternateContent>
  <xr:revisionPtr revIDLastSave="0" documentId="13_ncr:1_{234E1CE1-8396-47A2-A451-EAB0A48D09AB}" xr6:coauthVersionLast="47" xr6:coauthVersionMax="47" xr10:uidLastSave="{00000000-0000-0000-0000-000000000000}"/>
  <bookViews>
    <workbookView xWindow="57480" yWindow="-120" windowWidth="29040" windowHeight="15840" tabRatio="708" xr2:uid="{00000000-000D-0000-FFFF-FFFF00000000}"/>
  </bookViews>
  <sheets>
    <sheet name="Instructions" sheetId="81" r:id="rId1"/>
    <sheet name="Unit Data from Audit Worksheet" sheetId="1" r:id="rId2"/>
    <sheet name="TD Info Completed by Auditor" sheetId="53" r:id="rId3"/>
    <sheet name="Import" sheetId="28" state="hidden" r:id="rId4"/>
    <sheet name="Performance  Indicators Print" sheetId="80" r:id="rId5"/>
    <sheet name="PI series #" sheetId="73" state="hidden" r:id="rId6"/>
    <sheet name="RSS" sheetId="30" r:id="rId7"/>
    <sheet name="Debt Service Funds (H)" sheetId="41" state="hidden" r:id="rId8"/>
    <sheet name="UAL" sheetId="75" state="hidden" r:id="rId9"/>
    <sheet name="2020 Data(H)" sheetId="74" state="hidden" r:id="rId10"/>
    <sheet name="2019 Data(H)" sheetId="42" state="hidden" r:id="rId11"/>
    <sheet name="Tax Reval Rate" sheetId="72" state="hidden" r:id="rId12"/>
    <sheet name="Unit Names(H)" sheetId="29" state="hidden" r:id="rId13"/>
    <sheet name="Electric trans" sheetId="71" r:id="rId14"/>
  </sheets>
  <externalReferences>
    <externalReference r:id="rId15"/>
  </externalReferences>
  <definedNames>
    <definedName name="Audit_Dtl">[1]Database!$AC$3:$AP$413</definedName>
    <definedName name="errorCount">'TD Info Completed by Auditor'!$U$5</definedName>
    <definedName name="_xlnm.Print_Area" localSheetId="9">'2020 Data(H)'!$B$297:$E$320</definedName>
    <definedName name="_xlnm.Print_Area" localSheetId="0">Instructions!$B$1:$B$50</definedName>
    <definedName name="_xlnm.Print_Area" localSheetId="4">'Performance  Indicators Print'!$A$1:$H$51</definedName>
    <definedName name="_xlnm.Print_Area" localSheetId="5">'PI series #'!$A$1:$I$24</definedName>
    <definedName name="_xlnm.Print_Area" localSheetId="2">'TD Info Completed by Auditor'!$A$1:$J$96</definedName>
    <definedName name="_xlnm.Print_Area" localSheetId="1">'Unit Data from Audit Worksheet'!$A$7:$D$297</definedName>
    <definedName name="Print_Selection_Auditor">'TD Info Completed by Auditor'!$A$1:$N$94</definedName>
    <definedName name="Print_Selection_Internal">#REF!</definedName>
    <definedName name="_xlnm.Print_Titles" localSheetId="4">'Performance  Indicators Print'!$3:$5</definedName>
    <definedName name="_xlnm.Print_Titles" localSheetId="5">'PI series #'!$1:$4</definedName>
    <definedName name="_xlnm.Print_Titles" localSheetId="1">'Unit Data from Audit Worksheet'!$5:$5</definedName>
    <definedName name="showError">'TD Info Completed by Auditor'!$W$5</definedName>
    <definedName name="TD_IMPORT_RANGE" localSheetId="0">#REF!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0" i="28" l="1"/>
  <c r="D49" i="80"/>
  <c r="L264" i="28"/>
  <c r="G366" i="74"/>
  <c r="H366" i="74"/>
  <c r="I366" i="74"/>
  <c r="J366" i="74"/>
  <c r="K366" i="74"/>
  <c r="L366" i="74"/>
  <c r="M366" i="74"/>
  <c r="N366" i="74"/>
  <c r="O366" i="74"/>
  <c r="P366" i="74"/>
  <c r="Q366" i="74"/>
  <c r="R366" i="74"/>
  <c r="S366" i="74"/>
  <c r="T366" i="74"/>
  <c r="U366" i="74"/>
  <c r="V366" i="74"/>
  <c r="W366" i="74"/>
  <c r="X366" i="74"/>
  <c r="Y366" i="74"/>
  <c r="Z366" i="74"/>
  <c r="AA366" i="74"/>
  <c r="AB366" i="74"/>
  <c r="AC366" i="74"/>
  <c r="AD366" i="74"/>
  <c r="AE366" i="74"/>
  <c r="AF366" i="74"/>
  <c r="AG366" i="74"/>
  <c r="AH366" i="74"/>
  <c r="AI366" i="74"/>
  <c r="AJ366" i="74"/>
  <c r="AK366" i="74"/>
  <c r="AL366" i="74"/>
  <c r="AM366" i="74"/>
  <c r="AN366" i="74"/>
  <c r="AO366" i="74"/>
  <c r="AP366" i="74"/>
  <c r="AQ366" i="74"/>
  <c r="AR366" i="74"/>
  <c r="AS366" i="74"/>
  <c r="AT366" i="74"/>
  <c r="AU366" i="74"/>
  <c r="AV366" i="74"/>
  <c r="AW366" i="74"/>
  <c r="AX366" i="74"/>
  <c r="AY366" i="74"/>
  <c r="AZ366" i="74"/>
  <c r="BA366" i="74"/>
  <c r="BB366" i="74"/>
  <c r="BC366" i="74"/>
  <c r="BD366" i="74"/>
  <c r="BE366" i="74"/>
  <c r="BF366" i="74"/>
  <c r="BG366" i="74"/>
  <c r="BH366" i="74"/>
  <c r="BI366" i="74"/>
  <c r="BJ366" i="74"/>
  <c r="BK366" i="74"/>
  <c r="BL366" i="74"/>
  <c r="BM366" i="74"/>
  <c r="BN366" i="74"/>
  <c r="BO366" i="74"/>
  <c r="BP366" i="74"/>
  <c r="BQ366" i="74"/>
  <c r="BR366" i="74"/>
  <c r="BS366" i="74"/>
  <c r="BT366" i="74"/>
  <c r="F366" i="74"/>
  <c r="G365" i="74"/>
  <c r="H365" i="74"/>
  <c r="I365" i="74"/>
  <c r="J365" i="74"/>
  <c r="K365" i="74"/>
  <c r="L365" i="74"/>
  <c r="M365" i="74"/>
  <c r="N365" i="74"/>
  <c r="O365" i="74"/>
  <c r="P365" i="74"/>
  <c r="Q365" i="74"/>
  <c r="R365" i="74"/>
  <c r="S365" i="74"/>
  <c r="T365" i="74"/>
  <c r="U365" i="74"/>
  <c r="V365" i="74"/>
  <c r="W365" i="74"/>
  <c r="X365" i="74"/>
  <c r="Y365" i="74"/>
  <c r="Z365" i="74"/>
  <c r="AA365" i="74"/>
  <c r="AB365" i="74"/>
  <c r="AC365" i="74"/>
  <c r="AD365" i="74"/>
  <c r="AE365" i="74"/>
  <c r="AF365" i="74"/>
  <c r="AG365" i="74"/>
  <c r="AH365" i="74"/>
  <c r="AI365" i="74"/>
  <c r="AJ365" i="74"/>
  <c r="AK365" i="74"/>
  <c r="AL365" i="74"/>
  <c r="AM365" i="74"/>
  <c r="AN365" i="74"/>
  <c r="AO365" i="74"/>
  <c r="AP365" i="74"/>
  <c r="AQ365" i="74"/>
  <c r="AR365" i="74"/>
  <c r="AS365" i="74"/>
  <c r="AT365" i="74"/>
  <c r="AU365" i="74"/>
  <c r="AV365" i="74"/>
  <c r="AW365" i="74"/>
  <c r="AX365" i="74"/>
  <c r="AY365" i="74"/>
  <c r="AZ365" i="74"/>
  <c r="BA365" i="74"/>
  <c r="BB365" i="74"/>
  <c r="BC365" i="74"/>
  <c r="BD365" i="74"/>
  <c r="BE365" i="74"/>
  <c r="BF365" i="74"/>
  <c r="BG365" i="74"/>
  <c r="BH365" i="74"/>
  <c r="BI365" i="74"/>
  <c r="BJ365" i="74"/>
  <c r="BK365" i="74"/>
  <c r="BL365" i="74"/>
  <c r="BM365" i="74"/>
  <c r="BN365" i="74"/>
  <c r="BO365" i="74"/>
  <c r="BP365" i="74"/>
  <c r="BQ365" i="74"/>
  <c r="BR365" i="74"/>
  <c r="BS365" i="74"/>
  <c r="BT365" i="74"/>
  <c r="F365" i="74"/>
  <c r="F66" i="53"/>
  <c r="F64" i="53"/>
  <c r="F62" i="53"/>
  <c r="E85" i="53"/>
  <c r="E83" i="53"/>
  <c r="E81" i="53"/>
  <c r="E251" i="28"/>
  <c r="E250" i="28"/>
  <c r="G412" i="74" l="1"/>
  <c r="H412" i="74"/>
  <c r="I412" i="74"/>
  <c r="J412" i="74"/>
  <c r="J415" i="74" s="1"/>
  <c r="K412" i="74"/>
  <c r="K415" i="74" s="1"/>
  <c r="L412" i="74"/>
  <c r="L415" i="74" s="1"/>
  <c r="M412" i="74"/>
  <c r="N412" i="74"/>
  <c r="O412" i="74"/>
  <c r="P412" i="74"/>
  <c r="Q412" i="74"/>
  <c r="R412" i="74"/>
  <c r="R415" i="74" s="1"/>
  <c r="S412" i="74"/>
  <c r="S415" i="74" s="1"/>
  <c r="T412" i="74"/>
  <c r="T415" i="74" s="1"/>
  <c r="U412" i="74"/>
  <c r="V412" i="74"/>
  <c r="W412" i="74"/>
  <c r="X412" i="74"/>
  <c r="Y412" i="74"/>
  <c r="Z412" i="74"/>
  <c r="Z415" i="74" s="1"/>
  <c r="AA412" i="74"/>
  <c r="AA415" i="74" s="1"/>
  <c r="AB412" i="74"/>
  <c r="AB415" i="74" s="1"/>
  <c r="AC412" i="74"/>
  <c r="AD412" i="74"/>
  <c r="AE412" i="74"/>
  <c r="AF412" i="74"/>
  <c r="AG412" i="74"/>
  <c r="AH412" i="74"/>
  <c r="AH415" i="74" s="1"/>
  <c r="AI412" i="74"/>
  <c r="AI415" i="74" s="1"/>
  <c r="AJ412" i="74"/>
  <c r="AJ415" i="74" s="1"/>
  <c r="AK412" i="74"/>
  <c r="AL412" i="74"/>
  <c r="AM412" i="74"/>
  <c r="AN412" i="74"/>
  <c r="AO412" i="74"/>
  <c r="AP412" i="74"/>
  <c r="AP415" i="74" s="1"/>
  <c r="AQ412" i="74"/>
  <c r="AQ415" i="74" s="1"/>
  <c r="AR412" i="74"/>
  <c r="AR415" i="74" s="1"/>
  <c r="AS412" i="74"/>
  <c r="AT412" i="74"/>
  <c r="AU412" i="74"/>
  <c r="AV412" i="74"/>
  <c r="AW412" i="74"/>
  <c r="AX412" i="74"/>
  <c r="AX415" i="74" s="1"/>
  <c r="AY412" i="74"/>
  <c r="AY415" i="74" s="1"/>
  <c r="AZ412" i="74"/>
  <c r="AZ415" i="74" s="1"/>
  <c r="BA412" i="74"/>
  <c r="BB412" i="74"/>
  <c r="BC412" i="74"/>
  <c r="BD412" i="74"/>
  <c r="BE412" i="74"/>
  <c r="BF412" i="74"/>
  <c r="BF415" i="74" s="1"/>
  <c r="BG412" i="74"/>
  <c r="BG415" i="74" s="1"/>
  <c r="BH412" i="74"/>
  <c r="BH415" i="74" s="1"/>
  <c r="BI412" i="74"/>
  <c r="BJ412" i="74"/>
  <c r="BK412" i="74"/>
  <c r="BL412" i="74"/>
  <c r="BM412" i="74"/>
  <c r="BN412" i="74"/>
  <c r="BN415" i="74" s="1"/>
  <c r="BO412" i="74"/>
  <c r="BO415" i="74" s="1"/>
  <c r="BP412" i="74"/>
  <c r="BP415" i="74" s="1"/>
  <c r="BQ412" i="74"/>
  <c r="BR412" i="74"/>
  <c r="BS412" i="74"/>
  <c r="BT412" i="74"/>
  <c r="G413" i="74"/>
  <c r="H413" i="74"/>
  <c r="I413" i="74"/>
  <c r="I415" i="74" s="1"/>
  <c r="J413" i="74"/>
  <c r="K413" i="74"/>
  <c r="L413" i="74"/>
  <c r="M413" i="74"/>
  <c r="M415" i="74" s="1"/>
  <c r="N413" i="74"/>
  <c r="O413" i="74"/>
  <c r="P413" i="74"/>
  <c r="Q413" i="74"/>
  <c r="Q415" i="74" s="1"/>
  <c r="R413" i="74"/>
  <c r="S413" i="74"/>
  <c r="T413" i="74"/>
  <c r="U413" i="74"/>
  <c r="U415" i="74" s="1"/>
  <c r="V413" i="74"/>
  <c r="W413" i="74"/>
  <c r="X413" i="74"/>
  <c r="Y413" i="74"/>
  <c r="Y415" i="74" s="1"/>
  <c r="Z413" i="74"/>
  <c r="AA413" i="74"/>
  <c r="AB413" i="74"/>
  <c r="AC413" i="74"/>
  <c r="AC415" i="74" s="1"/>
  <c r="AD413" i="74"/>
  <c r="AE413" i="74"/>
  <c r="AF413" i="74"/>
  <c r="AG413" i="74"/>
  <c r="AG415" i="74" s="1"/>
  <c r="AH413" i="74"/>
  <c r="AI413" i="74"/>
  <c r="AJ413" i="74"/>
  <c r="AK413" i="74"/>
  <c r="AK415" i="74" s="1"/>
  <c r="AL413" i="74"/>
  <c r="AM413" i="74"/>
  <c r="AN413" i="74"/>
  <c r="AO413" i="74"/>
  <c r="AO415" i="74" s="1"/>
  <c r="AP413" i="74"/>
  <c r="AQ413" i="74"/>
  <c r="AR413" i="74"/>
  <c r="AS413" i="74"/>
  <c r="AS415" i="74" s="1"/>
  <c r="AT413" i="74"/>
  <c r="AU413" i="74"/>
  <c r="AV413" i="74"/>
  <c r="AW413" i="74"/>
  <c r="AW415" i="74" s="1"/>
  <c r="AX413" i="74"/>
  <c r="AY413" i="74"/>
  <c r="AZ413" i="74"/>
  <c r="BA413" i="74"/>
  <c r="BA415" i="74" s="1"/>
  <c r="BB413" i="74"/>
  <c r="BC413" i="74"/>
  <c r="BD413" i="74"/>
  <c r="BE413" i="74"/>
  <c r="BE415" i="74" s="1"/>
  <c r="BF413" i="74"/>
  <c r="BG413" i="74"/>
  <c r="BH413" i="74"/>
  <c r="BI413" i="74"/>
  <c r="BI415" i="74" s="1"/>
  <c r="BJ413" i="74"/>
  <c r="BK413" i="74"/>
  <c r="BL413" i="74"/>
  <c r="BM413" i="74"/>
  <c r="BM415" i="74" s="1"/>
  <c r="BN413" i="74"/>
  <c r="BO413" i="74"/>
  <c r="BP413" i="74"/>
  <c r="BQ413" i="74"/>
  <c r="BQ415" i="74" s="1"/>
  <c r="BR413" i="74"/>
  <c r="BS413" i="74"/>
  <c r="BT413" i="74"/>
  <c r="G415" i="74"/>
  <c r="H415" i="74"/>
  <c r="N415" i="74"/>
  <c r="O415" i="74"/>
  <c r="P415" i="74"/>
  <c r="V415" i="74"/>
  <c r="W415" i="74"/>
  <c r="X415" i="74"/>
  <c r="AD415" i="74"/>
  <c r="AE415" i="74"/>
  <c r="AF415" i="74"/>
  <c r="AL415" i="74"/>
  <c r="AM415" i="74"/>
  <c r="AN415" i="74"/>
  <c r="AT415" i="74"/>
  <c r="AU415" i="74"/>
  <c r="AV415" i="74"/>
  <c r="BB415" i="74"/>
  <c r="BC415" i="74"/>
  <c r="BD415" i="74"/>
  <c r="BJ415" i="74"/>
  <c r="BK415" i="74"/>
  <c r="BL415" i="74"/>
  <c r="BR415" i="74"/>
  <c r="BS415" i="74"/>
  <c r="BT415" i="74"/>
  <c r="F415" i="74"/>
  <c r="F413" i="74"/>
  <c r="F412" i="74"/>
  <c r="S3" i="29"/>
  <c r="T3" i="29"/>
  <c r="S4" i="29"/>
  <c r="T4" i="29"/>
  <c r="S5" i="29"/>
  <c r="T5" i="29"/>
  <c r="S6" i="29"/>
  <c r="T6" i="29"/>
  <c r="S7" i="29"/>
  <c r="T7" i="29"/>
  <c r="S8" i="29"/>
  <c r="T8" i="29"/>
  <c r="S9" i="29"/>
  <c r="T9" i="29"/>
  <c r="S10" i="29"/>
  <c r="T10" i="29"/>
  <c r="S11" i="29"/>
  <c r="T11" i="29"/>
  <c r="S12" i="29"/>
  <c r="T12" i="29"/>
  <c r="S13" i="29"/>
  <c r="T13" i="29"/>
  <c r="S14" i="29"/>
  <c r="T14" i="29"/>
  <c r="S15" i="29"/>
  <c r="T15" i="29"/>
  <c r="S16" i="29"/>
  <c r="T16" i="29"/>
  <c r="S17" i="29"/>
  <c r="T17" i="29"/>
  <c r="S18" i="29"/>
  <c r="T18" i="29"/>
  <c r="S19" i="29"/>
  <c r="T19" i="29"/>
  <c r="S20" i="29"/>
  <c r="T20" i="29"/>
  <c r="S21" i="29"/>
  <c r="T21" i="29"/>
  <c r="S22" i="29"/>
  <c r="T22" i="29"/>
  <c r="S23" i="29"/>
  <c r="T23" i="29"/>
  <c r="S24" i="29"/>
  <c r="T24" i="29"/>
  <c r="S25" i="29"/>
  <c r="T25" i="29"/>
  <c r="S26" i="29"/>
  <c r="T26" i="29"/>
  <c r="S27" i="29"/>
  <c r="T27" i="29"/>
  <c r="S28" i="29"/>
  <c r="T28" i="29"/>
  <c r="S29" i="29"/>
  <c r="T29" i="29"/>
  <c r="S30" i="29"/>
  <c r="T30" i="29"/>
  <c r="S31" i="29"/>
  <c r="T31" i="29"/>
  <c r="S32" i="29"/>
  <c r="T32" i="29"/>
  <c r="S33" i="29"/>
  <c r="T33" i="29"/>
  <c r="S34" i="29"/>
  <c r="T34" i="29"/>
  <c r="S35" i="29"/>
  <c r="T35" i="29"/>
  <c r="S36" i="29"/>
  <c r="T36" i="29"/>
  <c r="S37" i="29"/>
  <c r="T37" i="29"/>
  <c r="S38" i="29"/>
  <c r="T38" i="29"/>
  <c r="S39" i="29"/>
  <c r="T39" i="29"/>
  <c r="S40" i="29"/>
  <c r="T40" i="29"/>
  <c r="S41" i="29"/>
  <c r="T41" i="29"/>
  <c r="S42" i="29"/>
  <c r="T42" i="29"/>
  <c r="S43" i="29"/>
  <c r="T43" i="29"/>
  <c r="S44" i="29"/>
  <c r="T44" i="29"/>
  <c r="S45" i="29"/>
  <c r="T45" i="29"/>
  <c r="S46" i="29"/>
  <c r="T46" i="29"/>
  <c r="S47" i="29"/>
  <c r="T47" i="29"/>
  <c r="S48" i="29"/>
  <c r="T48" i="29"/>
  <c r="S49" i="29"/>
  <c r="T49" i="29"/>
  <c r="S50" i="29"/>
  <c r="T50" i="29"/>
  <c r="S51" i="29"/>
  <c r="T51" i="29"/>
  <c r="S52" i="29"/>
  <c r="T52" i="29"/>
  <c r="S53" i="29"/>
  <c r="T53" i="29"/>
  <c r="S54" i="29"/>
  <c r="T54" i="29"/>
  <c r="S55" i="29"/>
  <c r="T55" i="29"/>
  <c r="S56" i="29"/>
  <c r="T56" i="29"/>
  <c r="S57" i="29"/>
  <c r="T57" i="29"/>
  <c r="S58" i="29"/>
  <c r="T58" i="29"/>
  <c r="S59" i="29"/>
  <c r="T59" i="29"/>
  <c r="S60" i="29"/>
  <c r="T60" i="29"/>
  <c r="S61" i="29"/>
  <c r="T61" i="29"/>
  <c r="S62" i="29"/>
  <c r="T62" i="29"/>
  <c r="S63" i="29"/>
  <c r="T63" i="29"/>
  <c r="S64" i="29"/>
  <c r="T64" i="29"/>
  <c r="S65" i="29"/>
  <c r="T65" i="29"/>
  <c r="S66" i="29"/>
  <c r="T66" i="29"/>
  <c r="S67" i="29"/>
  <c r="T67" i="29"/>
  <c r="S68" i="29"/>
  <c r="T68" i="29"/>
  <c r="T2" i="29"/>
  <c r="S2" i="29"/>
  <c r="O3" i="29"/>
  <c r="P3" i="29"/>
  <c r="O4" i="29"/>
  <c r="P4" i="29"/>
  <c r="O5" i="29"/>
  <c r="P5" i="29"/>
  <c r="O6" i="29"/>
  <c r="P6" i="29"/>
  <c r="O7" i="29"/>
  <c r="P7" i="29"/>
  <c r="O8" i="29"/>
  <c r="P8" i="29"/>
  <c r="O9" i="29"/>
  <c r="P9" i="29"/>
  <c r="O10" i="29"/>
  <c r="P10" i="29"/>
  <c r="O11" i="29"/>
  <c r="P11" i="29"/>
  <c r="O12" i="29"/>
  <c r="P12" i="29"/>
  <c r="O13" i="29"/>
  <c r="P13" i="29"/>
  <c r="O14" i="29"/>
  <c r="P14" i="29"/>
  <c r="O15" i="29"/>
  <c r="P15" i="29"/>
  <c r="O16" i="29"/>
  <c r="P16" i="29"/>
  <c r="O17" i="29"/>
  <c r="P17" i="29"/>
  <c r="O18" i="29"/>
  <c r="P18" i="29"/>
  <c r="O19" i="29"/>
  <c r="P19" i="29"/>
  <c r="O20" i="29"/>
  <c r="P20" i="29"/>
  <c r="O21" i="29"/>
  <c r="P21" i="29"/>
  <c r="O22" i="29"/>
  <c r="P22" i="29"/>
  <c r="O23" i="29"/>
  <c r="P23" i="29"/>
  <c r="O24" i="29"/>
  <c r="P24" i="29"/>
  <c r="O25" i="29"/>
  <c r="P25" i="29"/>
  <c r="O26" i="29"/>
  <c r="P26" i="29"/>
  <c r="O27" i="29"/>
  <c r="P27" i="29"/>
  <c r="O28" i="29"/>
  <c r="P28" i="29"/>
  <c r="O29" i="29"/>
  <c r="P29" i="29"/>
  <c r="O30" i="29"/>
  <c r="P30" i="29"/>
  <c r="O31" i="29"/>
  <c r="P31" i="29"/>
  <c r="O32" i="29"/>
  <c r="P32" i="29"/>
  <c r="O33" i="29"/>
  <c r="P33" i="29"/>
  <c r="O34" i="29"/>
  <c r="P34" i="29"/>
  <c r="O35" i="29"/>
  <c r="P35" i="29"/>
  <c r="O36" i="29"/>
  <c r="P36" i="29"/>
  <c r="O37" i="29"/>
  <c r="P37" i="29"/>
  <c r="O38" i="29"/>
  <c r="P38" i="29"/>
  <c r="O39" i="29"/>
  <c r="P39" i="29"/>
  <c r="O40" i="29"/>
  <c r="P40" i="29"/>
  <c r="O41" i="29"/>
  <c r="P41" i="29"/>
  <c r="O42" i="29"/>
  <c r="P42" i="29"/>
  <c r="O43" i="29"/>
  <c r="P43" i="29"/>
  <c r="O44" i="29"/>
  <c r="P44" i="29"/>
  <c r="O45" i="29"/>
  <c r="P45" i="29"/>
  <c r="O46" i="29"/>
  <c r="P46" i="29"/>
  <c r="O47" i="29"/>
  <c r="P47" i="29"/>
  <c r="O48" i="29"/>
  <c r="P48" i="29"/>
  <c r="O49" i="29"/>
  <c r="P49" i="29"/>
  <c r="O50" i="29"/>
  <c r="P50" i="29"/>
  <c r="O51" i="29"/>
  <c r="P51" i="29"/>
  <c r="O52" i="29"/>
  <c r="P52" i="29"/>
  <c r="O53" i="29"/>
  <c r="P53" i="29"/>
  <c r="O54" i="29"/>
  <c r="P54" i="29"/>
  <c r="O55" i="29"/>
  <c r="P55" i="29"/>
  <c r="O56" i="29"/>
  <c r="P56" i="29"/>
  <c r="O57" i="29"/>
  <c r="P57" i="29"/>
  <c r="O58" i="29"/>
  <c r="P58" i="29"/>
  <c r="O59" i="29"/>
  <c r="P59" i="29"/>
  <c r="O60" i="29"/>
  <c r="P60" i="29"/>
  <c r="O61" i="29"/>
  <c r="P61" i="29"/>
  <c r="O62" i="29"/>
  <c r="P62" i="29"/>
  <c r="O63" i="29"/>
  <c r="P63" i="29"/>
  <c r="O64" i="29"/>
  <c r="P64" i="29"/>
  <c r="O65" i="29"/>
  <c r="P65" i="29"/>
  <c r="O66" i="29"/>
  <c r="P66" i="29"/>
  <c r="O67" i="29"/>
  <c r="P67" i="29"/>
  <c r="O68" i="29"/>
  <c r="P68" i="29"/>
  <c r="P2" i="29"/>
  <c r="O2" i="29"/>
  <c r="E257" i="28"/>
  <c r="G363" i="74" l="1"/>
  <c r="H363" i="74"/>
  <c r="I363" i="74"/>
  <c r="J363" i="74"/>
  <c r="K363" i="74"/>
  <c r="L363" i="74"/>
  <c r="M363" i="74"/>
  <c r="N363" i="74"/>
  <c r="O363" i="74"/>
  <c r="P363" i="74"/>
  <c r="Q363" i="74"/>
  <c r="R363" i="74"/>
  <c r="S363" i="74"/>
  <c r="T363" i="74"/>
  <c r="U363" i="74"/>
  <c r="V363" i="74"/>
  <c r="W363" i="74"/>
  <c r="X363" i="74"/>
  <c r="Y363" i="74"/>
  <c r="Z363" i="74"/>
  <c r="AA363" i="74"/>
  <c r="AB363" i="74"/>
  <c r="AC363" i="74"/>
  <c r="AD363" i="74"/>
  <c r="AE363" i="74"/>
  <c r="AF363" i="74"/>
  <c r="AG363" i="74"/>
  <c r="AH363" i="74"/>
  <c r="AI363" i="74"/>
  <c r="AJ363" i="74"/>
  <c r="AK363" i="74"/>
  <c r="AL363" i="74"/>
  <c r="AM363" i="74"/>
  <c r="AN363" i="74"/>
  <c r="AO363" i="74"/>
  <c r="AP363" i="74"/>
  <c r="AQ363" i="74"/>
  <c r="AR363" i="74"/>
  <c r="AS363" i="74"/>
  <c r="AT363" i="74"/>
  <c r="AU363" i="74"/>
  <c r="AV363" i="74"/>
  <c r="AW363" i="74"/>
  <c r="AX363" i="74"/>
  <c r="AY363" i="74"/>
  <c r="AZ363" i="74"/>
  <c r="BA363" i="74"/>
  <c r="BB363" i="74"/>
  <c r="BC363" i="74"/>
  <c r="BD363" i="74"/>
  <c r="BE363" i="74"/>
  <c r="BF363" i="74"/>
  <c r="BG363" i="74"/>
  <c r="BH363" i="74"/>
  <c r="BI363" i="74"/>
  <c r="BJ363" i="74"/>
  <c r="BK363" i="74"/>
  <c r="BL363" i="74"/>
  <c r="BM363" i="74"/>
  <c r="BN363" i="74"/>
  <c r="BO363" i="74"/>
  <c r="BP363" i="74"/>
  <c r="BQ363" i="74"/>
  <c r="BR363" i="74"/>
  <c r="BS363" i="74"/>
  <c r="BT363" i="74"/>
  <c r="F363" i="74"/>
  <c r="E256" i="28" l="1"/>
  <c r="E252" i="28"/>
  <c r="E260" i="28" l="1"/>
  <c r="E259" i="28"/>
  <c r="E258" i="28"/>
  <c r="E255" i="28"/>
  <c r="L255" i="28" s="1"/>
  <c r="E253" i="28"/>
  <c r="E249" i="28"/>
  <c r="E248" i="28"/>
  <c r="E247" i="28"/>
  <c r="E246" i="28"/>
  <c r="BS297" i="42" l="1"/>
  <c r="BR297" i="42"/>
  <c r="BQ297" i="42"/>
  <c r="BP297" i="42"/>
  <c r="BO297" i="42"/>
  <c r="BN297" i="42"/>
  <c r="BM297" i="42"/>
  <c r="BL297" i="42"/>
  <c r="BK297" i="42"/>
  <c r="BJ297" i="42"/>
  <c r="BI297" i="42"/>
  <c r="BH297" i="42"/>
  <c r="BG297" i="42"/>
  <c r="BF297" i="42"/>
  <c r="BE297" i="42"/>
  <c r="BD297" i="42"/>
  <c r="BC297" i="42"/>
  <c r="BB297" i="42"/>
  <c r="BA297" i="42"/>
  <c r="AZ297" i="42"/>
  <c r="AY297" i="42"/>
  <c r="AX297" i="42"/>
  <c r="AW297" i="42"/>
  <c r="AV297" i="42"/>
  <c r="AU297" i="42"/>
  <c r="AT297" i="42"/>
  <c r="AS297" i="42"/>
  <c r="AR297" i="42"/>
  <c r="AQ297" i="42"/>
  <c r="AP297" i="42"/>
  <c r="AO297" i="42"/>
  <c r="AN297" i="42"/>
  <c r="AM297" i="42"/>
  <c r="AL297" i="42"/>
  <c r="AK297" i="42"/>
  <c r="AJ297" i="42"/>
  <c r="AI297" i="42"/>
  <c r="AH297" i="42"/>
  <c r="AG297" i="42"/>
  <c r="AF297" i="42"/>
  <c r="AE297" i="42"/>
  <c r="AD297" i="42"/>
  <c r="AC297" i="42"/>
  <c r="AB297" i="42"/>
  <c r="AA297" i="42"/>
  <c r="Z297" i="42"/>
  <c r="Y297" i="42"/>
  <c r="X297" i="42"/>
  <c r="W297" i="42"/>
  <c r="V297" i="42"/>
  <c r="U297" i="42"/>
  <c r="T297" i="42"/>
  <c r="S297" i="42"/>
  <c r="R297" i="42"/>
  <c r="Q297" i="42"/>
  <c r="P297" i="42"/>
  <c r="O297" i="42"/>
  <c r="N297" i="42"/>
  <c r="M297" i="42"/>
  <c r="L297" i="42"/>
  <c r="K297" i="42"/>
  <c r="J297" i="42"/>
  <c r="I297" i="42"/>
  <c r="H297" i="42"/>
  <c r="G297" i="42"/>
  <c r="F297" i="42"/>
  <c r="E297" i="42"/>
  <c r="BS296" i="42"/>
  <c r="BR296" i="42"/>
  <c r="BQ296" i="42"/>
  <c r="BP296" i="42"/>
  <c r="BO296" i="42"/>
  <c r="BN296" i="42"/>
  <c r="BM296" i="42"/>
  <c r="BL296" i="42"/>
  <c r="BK296" i="42"/>
  <c r="BJ296" i="42"/>
  <c r="BI296" i="42"/>
  <c r="BH296" i="42"/>
  <c r="BG296" i="42"/>
  <c r="BF296" i="42"/>
  <c r="BE296" i="42"/>
  <c r="BD296" i="42"/>
  <c r="BC296" i="42"/>
  <c r="BB296" i="42"/>
  <c r="BA296" i="42"/>
  <c r="AZ296" i="42"/>
  <c r="AY296" i="42"/>
  <c r="AX296" i="42"/>
  <c r="AW296" i="42"/>
  <c r="AV296" i="42"/>
  <c r="AU296" i="42"/>
  <c r="AT296" i="42"/>
  <c r="AS296" i="42"/>
  <c r="AR296" i="42"/>
  <c r="AQ296" i="42"/>
  <c r="AP296" i="42"/>
  <c r="AO296" i="42"/>
  <c r="AN296" i="42"/>
  <c r="AM296" i="42"/>
  <c r="AL296" i="42"/>
  <c r="AK296" i="42"/>
  <c r="AJ296" i="42"/>
  <c r="AI296" i="42"/>
  <c r="AH296" i="42"/>
  <c r="AG296" i="42"/>
  <c r="AF296" i="42"/>
  <c r="AE296" i="42"/>
  <c r="AD296" i="42"/>
  <c r="AC296" i="42"/>
  <c r="AB296" i="42"/>
  <c r="AA296" i="42"/>
  <c r="Z296" i="42"/>
  <c r="Y296" i="42"/>
  <c r="X296" i="42"/>
  <c r="W296" i="42"/>
  <c r="V296" i="42"/>
  <c r="U296" i="42"/>
  <c r="T296" i="42"/>
  <c r="S296" i="42"/>
  <c r="R296" i="42"/>
  <c r="Q296" i="42"/>
  <c r="P296" i="42"/>
  <c r="O296" i="42"/>
  <c r="N296" i="42"/>
  <c r="M296" i="42"/>
  <c r="L296" i="42"/>
  <c r="K296" i="42"/>
  <c r="J296" i="42"/>
  <c r="I296" i="42"/>
  <c r="H296" i="42"/>
  <c r="G296" i="42"/>
  <c r="F296" i="42"/>
  <c r="E296" i="42"/>
  <c r="BS295" i="42"/>
  <c r="BR295" i="42"/>
  <c r="BQ295" i="42"/>
  <c r="BP295" i="42"/>
  <c r="BO295" i="42"/>
  <c r="BN295" i="42"/>
  <c r="BM295" i="42"/>
  <c r="BL295" i="42"/>
  <c r="BK295" i="42"/>
  <c r="BJ295" i="42"/>
  <c r="BI295" i="42"/>
  <c r="BH295" i="42"/>
  <c r="BG295" i="42"/>
  <c r="BF295" i="42"/>
  <c r="BE295" i="42"/>
  <c r="BD295" i="42"/>
  <c r="BC295" i="42"/>
  <c r="BB295" i="42"/>
  <c r="BA295" i="42"/>
  <c r="AZ295" i="42"/>
  <c r="AY295" i="42"/>
  <c r="AX295" i="42"/>
  <c r="AW295" i="42"/>
  <c r="AV295" i="42"/>
  <c r="AU295" i="42"/>
  <c r="AT295" i="42"/>
  <c r="AS295" i="42"/>
  <c r="AR295" i="42"/>
  <c r="AQ295" i="42"/>
  <c r="AP295" i="42"/>
  <c r="AO295" i="42"/>
  <c r="AN295" i="42"/>
  <c r="AM295" i="42"/>
  <c r="AL295" i="42"/>
  <c r="AK295" i="42"/>
  <c r="AJ295" i="42"/>
  <c r="AI295" i="42"/>
  <c r="AH295" i="42"/>
  <c r="AG295" i="42"/>
  <c r="AF295" i="42"/>
  <c r="AE295" i="42"/>
  <c r="AD295" i="42"/>
  <c r="AC295" i="42"/>
  <c r="AB295" i="42"/>
  <c r="AA295" i="42"/>
  <c r="Z295" i="42"/>
  <c r="Y295" i="42"/>
  <c r="X295" i="42"/>
  <c r="W295" i="42"/>
  <c r="V295" i="42"/>
  <c r="U295" i="42"/>
  <c r="T295" i="42"/>
  <c r="S295" i="42"/>
  <c r="R295" i="42"/>
  <c r="Q295" i="42"/>
  <c r="P295" i="42"/>
  <c r="O295" i="42"/>
  <c r="N295" i="42"/>
  <c r="M295" i="42"/>
  <c r="L295" i="42"/>
  <c r="K295" i="42"/>
  <c r="J295" i="42"/>
  <c r="I295" i="42"/>
  <c r="H295" i="42"/>
  <c r="G295" i="42"/>
  <c r="F295" i="42"/>
  <c r="E295" i="42"/>
  <c r="BS294" i="42"/>
  <c r="BR294" i="42"/>
  <c r="BQ294" i="42"/>
  <c r="BP294" i="42"/>
  <c r="BO294" i="42"/>
  <c r="BN294" i="42"/>
  <c r="BM294" i="42"/>
  <c r="BL294" i="42"/>
  <c r="BK294" i="42"/>
  <c r="BJ294" i="42"/>
  <c r="BI294" i="42"/>
  <c r="BH294" i="42"/>
  <c r="BG294" i="42"/>
  <c r="BF294" i="42"/>
  <c r="BE294" i="42"/>
  <c r="BD294" i="42"/>
  <c r="BC294" i="42"/>
  <c r="BB294" i="42"/>
  <c r="BA294" i="42"/>
  <c r="AZ294" i="42"/>
  <c r="AY294" i="42"/>
  <c r="AX294" i="42"/>
  <c r="AW294" i="42"/>
  <c r="AV294" i="42"/>
  <c r="AU294" i="42"/>
  <c r="AT294" i="42"/>
  <c r="AS294" i="42"/>
  <c r="AR294" i="42"/>
  <c r="AQ294" i="42"/>
  <c r="AP294" i="42"/>
  <c r="AO294" i="42"/>
  <c r="AN294" i="42"/>
  <c r="AM294" i="42"/>
  <c r="AL294" i="42"/>
  <c r="AK294" i="42"/>
  <c r="AJ294" i="42"/>
  <c r="AI294" i="42"/>
  <c r="AH294" i="42"/>
  <c r="AG294" i="42"/>
  <c r="AF294" i="42"/>
  <c r="AE294" i="42"/>
  <c r="AD294" i="42"/>
  <c r="AC294" i="42"/>
  <c r="AB294" i="42"/>
  <c r="AA294" i="42"/>
  <c r="Z294" i="42"/>
  <c r="Y294" i="42"/>
  <c r="X294" i="42"/>
  <c r="W294" i="42"/>
  <c r="V294" i="42"/>
  <c r="U294" i="42"/>
  <c r="T294" i="42"/>
  <c r="S294" i="42"/>
  <c r="R294" i="42"/>
  <c r="Q294" i="42"/>
  <c r="P294" i="42"/>
  <c r="O294" i="42"/>
  <c r="N294" i="42"/>
  <c r="M294" i="42"/>
  <c r="L294" i="42"/>
  <c r="K294" i="42"/>
  <c r="J294" i="42"/>
  <c r="I294" i="42"/>
  <c r="H294" i="42"/>
  <c r="G294" i="42"/>
  <c r="F294" i="42"/>
  <c r="E294" i="42"/>
  <c r="BS293" i="42"/>
  <c r="BR293" i="42"/>
  <c r="BQ293" i="42"/>
  <c r="BP293" i="42"/>
  <c r="BO293" i="42"/>
  <c r="BN293" i="42"/>
  <c r="BM293" i="42"/>
  <c r="BL293" i="42"/>
  <c r="BK293" i="42"/>
  <c r="BJ293" i="42"/>
  <c r="BI293" i="42"/>
  <c r="BH293" i="42"/>
  <c r="BG293" i="42"/>
  <c r="BF293" i="42"/>
  <c r="BE293" i="42"/>
  <c r="BD293" i="42"/>
  <c r="BC293" i="42"/>
  <c r="BB293" i="42"/>
  <c r="BA293" i="42"/>
  <c r="AZ293" i="42"/>
  <c r="AY293" i="42"/>
  <c r="AX293" i="42"/>
  <c r="AW293" i="42"/>
  <c r="AV293" i="42"/>
  <c r="AU293" i="42"/>
  <c r="AT293" i="42"/>
  <c r="AS293" i="42"/>
  <c r="AR293" i="42"/>
  <c r="AQ293" i="42"/>
  <c r="AP293" i="42"/>
  <c r="AO293" i="42"/>
  <c r="AN293" i="42"/>
  <c r="AM293" i="42"/>
  <c r="AL293" i="42"/>
  <c r="AK293" i="42"/>
  <c r="AJ293" i="42"/>
  <c r="AI293" i="42"/>
  <c r="AH293" i="42"/>
  <c r="AG293" i="42"/>
  <c r="AF293" i="42"/>
  <c r="AE293" i="42"/>
  <c r="AD293" i="42"/>
  <c r="AC293" i="42"/>
  <c r="AB293" i="42"/>
  <c r="AA293" i="42"/>
  <c r="Z293" i="42"/>
  <c r="Y293" i="42"/>
  <c r="X293" i="42"/>
  <c r="W293" i="42"/>
  <c r="V293" i="42"/>
  <c r="U293" i="42"/>
  <c r="T293" i="42"/>
  <c r="S293" i="42"/>
  <c r="R293" i="42"/>
  <c r="Q293" i="42"/>
  <c r="P293" i="42"/>
  <c r="O293" i="42"/>
  <c r="N293" i="42"/>
  <c r="M293" i="42"/>
  <c r="L293" i="42"/>
  <c r="K293" i="42"/>
  <c r="J293" i="42"/>
  <c r="I293" i="42"/>
  <c r="H293" i="42"/>
  <c r="G293" i="42"/>
  <c r="F293" i="42"/>
  <c r="E293" i="42"/>
  <c r="BS292" i="42"/>
  <c r="AQ292" i="42"/>
  <c r="AM292" i="42"/>
  <c r="BS291" i="42"/>
  <c r="BR291" i="42"/>
  <c r="BR292" i="42" s="1"/>
  <c r="BQ291" i="42"/>
  <c r="BP291" i="42"/>
  <c r="BO291" i="42"/>
  <c r="BN291" i="42"/>
  <c r="BM291" i="42"/>
  <c r="BL291" i="42"/>
  <c r="BK291" i="42"/>
  <c r="BJ291" i="42"/>
  <c r="BJ292" i="42" s="1"/>
  <c r="BI291" i="42"/>
  <c r="BH291" i="42"/>
  <c r="BG291" i="42"/>
  <c r="BF291" i="42"/>
  <c r="BE291" i="42"/>
  <c r="BD291" i="42"/>
  <c r="BC291" i="42"/>
  <c r="BB291" i="42"/>
  <c r="BB292" i="42" s="1"/>
  <c r="BA291" i="42"/>
  <c r="AZ291" i="42"/>
  <c r="AY291" i="42"/>
  <c r="AX291" i="42"/>
  <c r="AW291" i="42"/>
  <c r="AV291" i="42"/>
  <c r="AU291" i="42"/>
  <c r="AT291" i="42"/>
  <c r="AT292" i="42" s="1"/>
  <c r="AS291" i="42"/>
  <c r="AR291" i="42"/>
  <c r="AQ291" i="42"/>
  <c r="AP291" i="42"/>
  <c r="AO291" i="42"/>
  <c r="AN291" i="42"/>
  <c r="AM291" i="42"/>
  <c r="AL291" i="42"/>
  <c r="AK291" i="42"/>
  <c r="AJ291" i="42"/>
  <c r="AI291" i="42"/>
  <c r="AH291" i="42"/>
  <c r="AG291" i="42"/>
  <c r="AF291" i="42"/>
  <c r="AE291" i="42"/>
  <c r="AD291" i="42"/>
  <c r="AC291" i="42"/>
  <c r="AB291" i="42"/>
  <c r="AA291" i="42"/>
  <c r="Z291" i="42"/>
  <c r="Y291" i="42"/>
  <c r="X291" i="42"/>
  <c r="W291" i="42"/>
  <c r="V291" i="42"/>
  <c r="U291" i="42"/>
  <c r="T291" i="42"/>
  <c r="S291" i="42"/>
  <c r="R291" i="42"/>
  <c r="Q291" i="42"/>
  <c r="P291" i="42"/>
  <c r="O291" i="42"/>
  <c r="N291" i="42"/>
  <c r="M291" i="42"/>
  <c r="L291" i="42"/>
  <c r="K291" i="42"/>
  <c r="J291" i="42"/>
  <c r="I291" i="42"/>
  <c r="H291" i="42"/>
  <c r="G291" i="42"/>
  <c r="F291" i="42"/>
  <c r="E291" i="42"/>
  <c r="BS290" i="42"/>
  <c r="BR290" i="42"/>
  <c r="BQ290" i="42"/>
  <c r="BQ292" i="42" s="1"/>
  <c r="BP290" i="42"/>
  <c r="BP292" i="42" s="1"/>
  <c r="BO290" i="42"/>
  <c r="BO292" i="42" s="1"/>
  <c r="BN290" i="42"/>
  <c r="BM290" i="42"/>
  <c r="BM292" i="42" s="1"/>
  <c r="BL290" i="42"/>
  <c r="BL292" i="42" s="1"/>
  <c r="BK290" i="42"/>
  <c r="BK292" i="42" s="1"/>
  <c r="BJ290" i="42"/>
  <c r="BI290" i="42"/>
  <c r="BI292" i="42" s="1"/>
  <c r="BH290" i="42"/>
  <c r="BH292" i="42" s="1"/>
  <c r="BG290" i="42"/>
  <c r="BG292" i="42" s="1"/>
  <c r="BF290" i="42"/>
  <c r="BE290" i="42"/>
  <c r="BE292" i="42" s="1"/>
  <c r="BD290" i="42"/>
  <c r="BD292" i="42" s="1"/>
  <c r="BC290" i="42"/>
  <c r="BC292" i="42" s="1"/>
  <c r="BB290" i="42"/>
  <c r="BA290" i="42"/>
  <c r="BA292" i="42" s="1"/>
  <c r="AZ290" i="42"/>
  <c r="AZ292" i="42" s="1"/>
  <c r="AY290" i="42"/>
  <c r="AY292" i="42" s="1"/>
  <c r="AX290" i="42"/>
  <c r="AW290" i="42"/>
  <c r="AW292" i="42" s="1"/>
  <c r="AV290" i="42"/>
  <c r="AV292" i="42" s="1"/>
  <c r="AU290" i="42"/>
  <c r="AU292" i="42" s="1"/>
  <c r="AT290" i="42"/>
  <c r="AS290" i="42"/>
  <c r="AS292" i="42" s="1"/>
  <c r="AR290" i="42"/>
  <c r="AR292" i="42" s="1"/>
  <c r="AQ290" i="42"/>
  <c r="AP290" i="42"/>
  <c r="AO290" i="42"/>
  <c r="AO292" i="42" s="1"/>
  <c r="AN290" i="42"/>
  <c r="AN292" i="42" s="1"/>
  <c r="AM290" i="42"/>
  <c r="AL290" i="42"/>
  <c r="AK290" i="42"/>
  <c r="AK292" i="42" s="1"/>
  <c r="AJ290" i="42"/>
  <c r="AJ292" i="42" s="1"/>
  <c r="AI290" i="42"/>
  <c r="AI292" i="42" s="1"/>
  <c r="AH290" i="42"/>
  <c r="AG290" i="42"/>
  <c r="AG292" i="42" s="1"/>
  <c r="AF290" i="42"/>
  <c r="AF292" i="42" s="1"/>
  <c r="AE290" i="42"/>
  <c r="AE292" i="42" s="1"/>
  <c r="AD290" i="42"/>
  <c r="AC290" i="42"/>
  <c r="AC292" i="42" s="1"/>
  <c r="AB290" i="42"/>
  <c r="AB292" i="42" s="1"/>
  <c r="AA290" i="42"/>
  <c r="AA292" i="42" s="1"/>
  <c r="Z290" i="42"/>
  <c r="Y290" i="42"/>
  <c r="Y292" i="42" s="1"/>
  <c r="X290" i="42"/>
  <c r="X292" i="42" s="1"/>
  <c r="W290" i="42"/>
  <c r="W292" i="42" s="1"/>
  <c r="V290" i="42"/>
  <c r="U290" i="42"/>
  <c r="U292" i="42" s="1"/>
  <c r="T290" i="42"/>
  <c r="T292" i="42" s="1"/>
  <c r="S290" i="42"/>
  <c r="S292" i="42" s="1"/>
  <c r="R290" i="42"/>
  <c r="Q290" i="42"/>
  <c r="Q292" i="42" s="1"/>
  <c r="P290" i="42"/>
  <c r="P292" i="42" s="1"/>
  <c r="O290" i="42"/>
  <c r="O292" i="42" s="1"/>
  <c r="N290" i="42"/>
  <c r="M290" i="42"/>
  <c r="M292" i="42" s="1"/>
  <c r="L290" i="42"/>
  <c r="L292" i="42" s="1"/>
  <c r="K290" i="42"/>
  <c r="K292" i="42" s="1"/>
  <c r="J290" i="42"/>
  <c r="I290" i="42"/>
  <c r="I292" i="42" s="1"/>
  <c r="H290" i="42"/>
  <c r="H292" i="42" s="1"/>
  <c r="G290" i="42"/>
  <c r="G292" i="42" s="1"/>
  <c r="F290" i="42"/>
  <c r="E290" i="42"/>
  <c r="E292" i="42" s="1"/>
  <c r="E249" i="42"/>
  <c r="J292" i="42" l="1"/>
  <c r="R292" i="42"/>
  <c r="Z292" i="42"/>
  <c r="AH292" i="42"/>
  <c r="AP292" i="42"/>
  <c r="AX292" i="42"/>
  <c r="BF292" i="42"/>
  <c r="BN292" i="42"/>
  <c r="F292" i="42"/>
  <c r="N292" i="42"/>
  <c r="V292" i="42"/>
  <c r="AD292" i="42"/>
  <c r="AL292" i="42"/>
  <c r="E90" i="1"/>
  <c r="E91" i="1"/>
  <c r="E92" i="1"/>
  <c r="E93" i="1"/>
  <c r="E97" i="1"/>
  <c r="E96" i="1"/>
  <c r="E95" i="1"/>
  <c r="E94" i="1"/>
  <c r="E100" i="1"/>
  <c r="E96" i="53" l="1"/>
  <c r="A327" i="1"/>
  <c r="M51" i="80" l="1"/>
  <c r="K10" i="80" l="1"/>
  <c r="E10" i="80"/>
  <c r="B4" i="80"/>
  <c r="M14" i="80" l="1"/>
  <c r="M24" i="80"/>
  <c r="M23" i="80"/>
  <c r="M16" i="80"/>
  <c r="M21" i="80"/>
  <c r="M17" i="80"/>
  <c r="N18" i="80"/>
  <c r="H53" i="53" l="1"/>
  <c r="G160" i="1" l="1"/>
  <c r="G140" i="1"/>
  <c r="F323" i="1"/>
  <c r="E323" i="1"/>
  <c r="F322" i="1"/>
  <c r="E322" i="1"/>
  <c r="F321" i="1"/>
  <c r="E321" i="1"/>
  <c r="F320" i="1"/>
  <c r="E320" i="1"/>
  <c r="F319" i="1"/>
  <c r="E319" i="1"/>
  <c r="G172" i="1"/>
  <c r="H160" i="1"/>
  <c r="I140" i="1"/>
  <c r="H140" i="1"/>
  <c r="E127" i="1"/>
  <c r="E126" i="1"/>
  <c r="E125" i="1"/>
  <c r="E124" i="1"/>
  <c r="E123" i="1"/>
  <c r="E120" i="1"/>
  <c r="E119" i="1"/>
  <c r="E118" i="1"/>
  <c r="E117" i="1"/>
  <c r="E116" i="1"/>
  <c r="E115" i="1"/>
  <c r="E114" i="1"/>
  <c r="E113" i="1"/>
  <c r="E112" i="1"/>
  <c r="E111" i="1"/>
  <c r="E110" i="1"/>
  <c r="E109" i="1"/>
  <c r="E108" i="1"/>
  <c r="E107" i="1"/>
  <c r="E106" i="1"/>
  <c r="E105" i="1"/>
  <c r="E104" i="1"/>
  <c r="E103" i="1"/>
  <c r="E56" i="1"/>
  <c r="E55" i="1"/>
  <c r="E54" i="1"/>
  <c r="E53" i="1"/>
  <c r="E52" i="1"/>
  <c r="E51" i="1"/>
  <c r="E50" i="1"/>
  <c r="E49" i="1"/>
  <c r="E57" i="1"/>
  <c r="E48" i="1"/>
  <c r="E47" i="1"/>
  <c r="E46" i="1"/>
  <c r="G9" i="1"/>
  <c r="E96" i="28" l="1"/>
  <c r="L96" i="28" s="1"/>
  <c r="E97" i="28"/>
  <c r="L97" i="28" s="1"/>
  <c r="E98" i="28"/>
  <c r="L98" i="28" s="1"/>
  <c r="A97" i="28"/>
  <c r="B97" i="28"/>
  <c r="C97" i="28"/>
  <c r="E47" i="28"/>
  <c r="L47" i="28" s="1"/>
  <c r="A47" i="28"/>
  <c r="B47" i="28"/>
  <c r="C47" i="28"/>
  <c r="J299" i="28" l="1"/>
  <c r="J298" i="28"/>
  <c r="J301" i="28"/>
  <c r="J300" i="28" l="1"/>
  <c r="J302" i="28" s="1"/>
  <c r="A96" i="28"/>
  <c r="B96" i="28"/>
  <c r="C96" i="28"/>
  <c r="A98" i="28"/>
  <c r="B98" i="28"/>
  <c r="C98" i="28"/>
  <c r="E93" i="28"/>
  <c r="L93" i="28" s="1"/>
  <c r="E92" i="28"/>
  <c r="L92" i="28" s="1"/>
  <c r="A93" i="28"/>
  <c r="W93" i="28" s="1"/>
  <c r="B93" i="28"/>
  <c r="C93" i="28"/>
  <c r="C92" i="28"/>
  <c r="B92" i="28"/>
  <c r="A92" i="28"/>
  <c r="W92" i="28" s="1"/>
  <c r="E38" i="28"/>
  <c r="L38" i="28" s="1"/>
  <c r="E39" i="28"/>
  <c r="L39" i="28" s="1"/>
  <c r="E40" i="28"/>
  <c r="L40" i="28" s="1"/>
  <c r="E41" i="28"/>
  <c r="L41" i="28" s="1"/>
  <c r="E42" i="28"/>
  <c r="L42" i="28" s="1"/>
  <c r="E43" i="28"/>
  <c r="L43" i="28" s="1"/>
  <c r="E44" i="28"/>
  <c r="L44" i="28" s="1"/>
  <c r="E45" i="28"/>
  <c r="L45" i="28" s="1"/>
  <c r="E46" i="28"/>
  <c r="L46" i="28" s="1"/>
  <c r="E48" i="28"/>
  <c r="L48" i="28" s="1"/>
  <c r="E49" i="28"/>
  <c r="L49" i="28" s="1"/>
  <c r="E50" i="28"/>
  <c r="L50" i="28" s="1"/>
  <c r="E51" i="28"/>
  <c r="L51" i="28" s="1"/>
  <c r="A49" i="28"/>
  <c r="B49" i="28"/>
  <c r="C49" i="28"/>
  <c r="A50" i="28"/>
  <c r="B50" i="28"/>
  <c r="C50" i="28"/>
  <c r="A51" i="28"/>
  <c r="B51" i="28"/>
  <c r="C51" i="28"/>
  <c r="A38" i="28"/>
  <c r="B38" i="28"/>
  <c r="C38" i="28"/>
  <c r="A39" i="28"/>
  <c r="B39" i="28"/>
  <c r="C39" i="28"/>
  <c r="A40" i="28"/>
  <c r="B40" i="28"/>
  <c r="C40" i="28"/>
  <c r="A41" i="28"/>
  <c r="B41" i="28"/>
  <c r="C41" i="28"/>
  <c r="A42" i="28"/>
  <c r="B42" i="28"/>
  <c r="C42" i="28"/>
  <c r="A43" i="28"/>
  <c r="B43" i="28"/>
  <c r="C43" i="28"/>
  <c r="A44" i="28"/>
  <c r="B44" i="28"/>
  <c r="C44" i="28"/>
  <c r="A45" i="28"/>
  <c r="B45" i="28"/>
  <c r="C45" i="28"/>
  <c r="A46" i="28"/>
  <c r="B46" i="28"/>
  <c r="C46" i="28"/>
  <c r="A48" i="28"/>
  <c r="B48" i="28"/>
  <c r="C48" i="28"/>
  <c r="E113" i="28" l="1"/>
  <c r="L113" i="28" s="1"/>
  <c r="E114" i="28"/>
  <c r="L114" i="28" s="1"/>
  <c r="E104" i="28"/>
  <c r="L104" i="28" s="1"/>
  <c r="E105" i="28"/>
  <c r="L105" i="28" s="1"/>
  <c r="E106" i="28"/>
  <c r="L106" i="28" s="1"/>
  <c r="E107" i="28"/>
  <c r="L107" i="28" s="1"/>
  <c r="E108" i="28"/>
  <c r="L108" i="28" s="1"/>
  <c r="E109" i="28"/>
  <c r="L109" i="28" s="1"/>
  <c r="E99" i="28"/>
  <c r="L99" i="28" s="1"/>
  <c r="E100" i="28"/>
  <c r="L100" i="28" s="1"/>
  <c r="E101" i="28"/>
  <c r="L101" i="28" s="1"/>
  <c r="E102" i="28"/>
  <c r="L102" i="28" s="1"/>
  <c r="A113" i="28"/>
  <c r="B113" i="28"/>
  <c r="C113" i="28"/>
  <c r="A114" i="28"/>
  <c r="B114" i="28"/>
  <c r="C114" i="28"/>
  <c r="A109" i="28"/>
  <c r="B109" i="28"/>
  <c r="C109" i="28"/>
  <c r="A104" i="28"/>
  <c r="B104" i="28"/>
  <c r="C104" i="28"/>
  <c r="A105" i="28"/>
  <c r="B105" i="28"/>
  <c r="C105" i="28"/>
  <c r="A106" i="28"/>
  <c r="B106" i="28"/>
  <c r="C106" i="28"/>
  <c r="A107" i="28"/>
  <c r="B107" i="28"/>
  <c r="C107" i="28"/>
  <c r="A108" i="28"/>
  <c r="B108" i="28"/>
  <c r="C108" i="28"/>
  <c r="A99" i="28"/>
  <c r="B99" i="28"/>
  <c r="C99" i="28"/>
  <c r="A100" i="28"/>
  <c r="B100" i="28"/>
  <c r="C100" i="28"/>
  <c r="A101" i="28"/>
  <c r="B101" i="28"/>
  <c r="C101" i="28"/>
  <c r="A102" i="28"/>
  <c r="B102" i="28"/>
  <c r="C102" i="28"/>
  <c r="E85" i="28" l="1"/>
  <c r="L85" i="28" s="1"/>
  <c r="E86" i="28"/>
  <c r="L86" i="28" s="1"/>
  <c r="E87" i="28"/>
  <c r="L87" i="28" s="1"/>
  <c r="E88" i="28"/>
  <c r="L88" i="28" s="1"/>
  <c r="A85" i="28"/>
  <c r="W85" i="28" s="1"/>
  <c r="B85" i="28"/>
  <c r="C85" i="28"/>
  <c r="A86" i="28"/>
  <c r="W86" i="28" s="1"/>
  <c r="B86" i="28"/>
  <c r="C86" i="28"/>
  <c r="A87" i="28"/>
  <c r="W87" i="28" s="1"/>
  <c r="B87" i="28"/>
  <c r="C87" i="28"/>
  <c r="A88" i="28"/>
  <c r="W88" i="28" s="1"/>
  <c r="B88" i="28"/>
  <c r="C88" i="28"/>
  <c r="E296" i="1"/>
  <c r="E295" i="1"/>
  <c r="E294" i="1"/>
  <c r="E293" i="1"/>
  <c r="E292" i="1"/>
  <c r="E291" i="1"/>
  <c r="E290" i="1"/>
  <c r="E289" i="1"/>
  <c r="E286" i="1"/>
  <c r="E284" i="1"/>
  <c r="E282" i="1"/>
  <c r="E279" i="1"/>
  <c r="E278" i="1"/>
  <c r="E277" i="1"/>
  <c r="E274" i="1"/>
  <c r="E273" i="1"/>
  <c r="E272" i="1"/>
  <c r="E271" i="1"/>
  <c r="E270" i="1"/>
  <c r="E268" i="1"/>
  <c r="E267" i="1"/>
  <c r="E266" i="1"/>
  <c r="E265" i="1"/>
  <c r="E262" i="1"/>
  <c r="E260" i="1"/>
  <c r="E259" i="1"/>
  <c r="E258" i="1"/>
  <c r="E257" i="1"/>
  <c r="E255" i="1"/>
  <c r="E254" i="1"/>
  <c r="E253" i="1"/>
  <c r="E248" i="1"/>
  <c r="E247" i="1"/>
  <c r="E246" i="1"/>
  <c r="E245" i="1"/>
  <c r="E242" i="1"/>
  <c r="E241" i="1"/>
  <c r="E240" i="1"/>
  <c r="E239" i="1"/>
  <c r="E236" i="1"/>
  <c r="E235" i="1"/>
  <c r="E234" i="1"/>
  <c r="E233" i="1"/>
  <c r="E229" i="1"/>
  <c r="E228" i="1"/>
  <c r="E221" i="1"/>
  <c r="E220" i="1"/>
  <c r="E216" i="1"/>
  <c r="E214" i="1"/>
  <c r="E212" i="1"/>
  <c r="E210" i="1"/>
  <c r="E209" i="1"/>
  <c r="E208" i="1"/>
  <c r="E206" i="1"/>
  <c r="E205" i="1"/>
  <c r="E204" i="1"/>
  <c r="E199" i="1"/>
  <c r="E198" i="1"/>
  <c r="E197" i="1"/>
  <c r="E196" i="1"/>
  <c r="E195" i="1"/>
  <c r="E194" i="1"/>
  <c r="E193" i="1"/>
  <c r="E192" i="1"/>
  <c r="E191" i="1"/>
  <c r="E190" i="1"/>
  <c r="E189" i="1"/>
  <c r="E188" i="1"/>
  <c r="E187" i="1"/>
  <c r="E185" i="1"/>
  <c r="E184" i="1"/>
  <c r="E183" i="1"/>
  <c r="E182" i="1"/>
  <c r="E181" i="1"/>
  <c r="E179" i="1"/>
  <c r="E178" i="1"/>
  <c r="E177" i="1"/>
  <c r="E176" i="1"/>
  <c r="E175" i="1"/>
  <c r="E174" i="1"/>
  <c r="E173" i="1"/>
  <c r="E172" i="1"/>
  <c r="E171" i="1"/>
  <c r="E168" i="1"/>
  <c r="E167" i="1"/>
  <c r="E166" i="1"/>
  <c r="E165" i="1"/>
  <c r="E164" i="1"/>
  <c r="E163" i="1"/>
  <c r="E162" i="1"/>
  <c r="E161" i="1"/>
  <c r="E160" i="1"/>
  <c r="E159" i="1"/>
  <c r="E158" i="1"/>
  <c r="E157" i="1"/>
  <c r="E156" i="1"/>
  <c r="E155" i="1"/>
  <c r="E154" i="1"/>
  <c r="E153" i="1"/>
  <c r="E152" i="1"/>
  <c r="E151" i="1"/>
  <c r="E149" i="1"/>
  <c r="E148" i="1"/>
  <c r="E147" i="1"/>
  <c r="E146" i="1"/>
  <c r="E145" i="1"/>
  <c r="E144" i="1"/>
  <c r="E143" i="1"/>
  <c r="E142" i="1"/>
  <c r="E141" i="1"/>
  <c r="E140" i="1"/>
  <c r="E139" i="1"/>
  <c r="E138" i="1"/>
  <c r="E137" i="1"/>
  <c r="E136" i="1"/>
  <c r="E135" i="1"/>
  <c r="E134" i="1"/>
  <c r="E133" i="1"/>
  <c r="E132" i="1"/>
  <c r="E131" i="1"/>
  <c r="E101" i="1"/>
  <c r="E98" i="1"/>
  <c r="E89" i="1"/>
  <c r="E87" i="1"/>
  <c r="E86" i="1"/>
  <c r="E85" i="1"/>
  <c r="E84" i="1"/>
  <c r="E83" i="1"/>
  <c r="E82" i="1"/>
  <c r="E81" i="1"/>
  <c r="E80" i="1"/>
  <c r="E79" i="1"/>
  <c r="E78" i="1"/>
  <c r="E77" i="1"/>
  <c r="E73" i="1"/>
  <c r="E72" i="1"/>
  <c r="G89" i="1" s="1"/>
  <c r="E71" i="1"/>
  <c r="E70" i="1"/>
  <c r="E69" i="1"/>
  <c r="E68" i="1"/>
  <c r="E67" i="1"/>
  <c r="E66" i="1"/>
  <c r="E65" i="1"/>
  <c r="E64" i="1"/>
  <c r="E63" i="1"/>
  <c r="E62" i="1"/>
  <c r="E61" i="1"/>
  <c r="E60" i="1"/>
  <c r="E59" i="1"/>
  <c r="E42" i="1"/>
  <c r="E41" i="1"/>
  <c r="E39" i="1"/>
  <c r="E38" i="1"/>
  <c r="E37" i="1"/>
  <c r="E36" i="1"/>
  <c r="E35" i="1"/>
  <c r="E34" i="1"/>
  <c r="E33" i="1"/>
  <c r="E32" i="1"/>
  <c r="E31" i="1"/>
  <c r="E30" i="1"/>
  <c r="E29" i="1"/>
  <c r="E28" i="1"/>
  <c r="E26" i="1"/>
  <c r="E25" i="1"/>
  <c r="E23" i="1"/>
  <c r="E22" i="1"/>
  <c r="E21" i="1"/>
  <c r="E20" i="1"/>
  <c r="E19" i="1"/>
  <c r="E18" i="1"/>
  <c r="E17" i="1"/>
  <c r="E16" i="1"/>
  <c r="E15" i="1"/>
  <c r="E14" i="1"/>
  <c r="E13" i="1"/>
  <c r="E11" i="1"/>
  <c r="E10" i="1"/>
  <c r="E8" i="1"/>
  <c r="E7" i="1"/>
  <c r="E9" i="1" l="1"/>
  <c r="E12" i="1"/>
  <c r="H38" i="1"/>
  <c r="G38" i="1" s="1"/>
  <c r="A95" i="28"/>
  <c r="B95" i="28"/>
  <c r="C95" i="28"/>
  <c r="E95" i="28"/>
  <c r="L95" i="28" s="1"/>
  <c r="A103" i="28"/>
  <c r="B103" i="28"/>
  <c r="C103" i="28"/>
  <c r="E103" i="28"/>
  <c r="L103" i="28" s="1"/>
  <c r="A110" i="28"/>
  <c r="B110" i="28"/>
  <c r="C110" i="28"/>
  <c r="L110" i="28"/>
  <c r="A111" i="28"/>
  <c r="B111" i="28"/>
  <c r="C111" i="28"/>
  <c r="E111" i="28"/>
  <c r="L111" i="28" s="1"/>
  <c r="A112" i="28"/>
  <c r="B112" i="28"/>
  <c r="C112" i="28"/>
  <c r="E112" i="28"/>
  <c r="L112" i="28" s="1"/>
  <c r="E94" i="28"/>
  <c r="L94" i="28" s="1"/>
  <c r="C94" i="28"/>
  <c r="B94" i="28"/>
  <c r="A94" i="28"/>
  <c r="N26" i="80" l="1"/>
  <c r="D26" i="80" s="1"/>
  <c r="M23" i="73"/>
  <c r="D23" i="73" s="1"/>
  <c r="C281" i="28"/>
  <c r="F26" i="80" l="1"/>
  <c r="G87" i="53"/>
  <c r="O87" i="53"/>
  <c r="L266" i="28" l="1"/>
  <c r="L267" i="28"/>
  <c r="N20" i="80" s="1"/>
  <c r="L268" i="28"/>
  <c r="N13" i="80" s="1"/>
  <c r="E244" i="28"/>
  <c r="L252" i="28"/>
  <c r="C252" i="28"/>
  <c r="A252" i="28"/>
  <c r="W252" i="28" s="1"/>
  <c r="G273" i="1" l="1"/>
  <c r="E290" i="28"/>
  <c r="E278" i="28" l="1"/>
  <c r="E281" i="28" l="1"/>
  <c r="E287" i="28"/>
  <c r="C290" i="28" l="1"/>
  <c r="L290" i="28"/>
  <c r="A290" i="28"/>
  <c r="E90" i="28"/>
  <c r="L90" i="28" s="1"/>
  <c r="C90" i="28"/>
  <c r="B90" i="28"/>
  <c r="A90" i="28"/>
  <c r="W90" i="28" s="1"/>
  <c r="E81" i="28"/>
  <c r="L81" i="28" s="1"/>
  <c r="E82" i="28"/>
  <c r="L82" i="28" s="1"/>
  <c r="E83" i="28"/>
  <c r="L83" i="28" s="1"/>
  <c r="E84" i="28"/>
  <c r="L84" i="28" s="1"/>
  <c r="B81" i="28"/>
  <c r="C81" i="28"/>
  <c r="B82" i="28"/>
  <c r="C82" i="28"/>
  <c r="B83" i="28"/>
  <c r="C83" i="28"/>
  <c r="B84" i="28"/>
  <c r="C84" i="28"/>
  <c r="A81" i="28"/>
  <c r="W81" i="28" s="1"/>
  <c r="A82" i="28"/>
  <c r="W82" i="28" s="1"/>
  <c r="A83" i="28"/>
  <c r="W83" i="28" s="1"/>
  <c r="A84" i="28"/>
  <c r="W84" i="28" s="1"/>
  <c r="G304" i="42" l="1"/>
  <c r="H304" i="42"/>
  <c r="I304" i="42"/>
  <c r="J304" i="42"/>
  <c r="K304" i="42"/>
  <c r="L304" i="42"/>
  <c r="M304" i="42"/>
  <c r="N304" i="42"/>
  <c r="O304" i="42"/>
  <c r="P304" i="42"/>
  <c r="Q304" i="42"/>
  <c r="R304" i="42"/>
  <c r="S304" i="42"/>
  <c r="T304" i="42"/>
  <c r="U304" i="42"/>
  <c r="V304" i="42"/>
  <c r="W304" i="42"/>
  <c r="X304" i="42"/>
  <c r="Y304" i="42"/>
  <c r="Z304" i="42"/>
  <c r="AA304" i="42"/>
  <c r="AB304" i="42"/>
  <c r="AC304" i="42"/>
  <c r="AD304" i="42"/>
  <c r="AE304" i="42"/>
  <c r="AF304" i="42"/>
  <c r="AG304" i="42"/>
  <c r="AH304" i="42"/>
  <c r="AI304" i="42"/>
  <c r="AJ304" i="42"/>
  <c r="AK304" i="42"/>
  <c r="AL304" i="42"/>
  <c r="AM304" i="42"/>
  <c r="AN304" i="42"/>
  <c r="AO304" i="42"/>
  <c r="AP304" i="42"/>
  <c r="AQ304" i="42"/>
  <c r="AR304" i="42"/>
  <c r="AS304" i="42"/>
  <c r="AT304" i="42"/>
  <c r="AU304" i="42"/>
  <c r="AV304" i="42"/>
  <c r="AW304" i="42"/>
  <c r="AX304" i="42"/>
  <c r="AY304" i="42"/>
  <c r="AZ304" i="42"/>
  <c r="BA304" i="42"/>
  <c r="BB304" i="42"/>
  <c r="BC304" i="42"/>
  <c r="BD304" i="42"/>
  <c r="BE304" i="42"/>
  <c r="BF304" i="42"/>
  <c r="BG304" i="42"/>
  <c r="BH304" i="42"/>
  <c r="BI304" i="42"/>
  <c r="BJ304" i="42"/>
  <c r="BK304" i="42"/>
  <c r="BL304" i="42"/>
  <c r="BM304" i="42"/>
  <c r="BN304" i="42"/>
  <c r="BO304" i="42"/>
  <c r="BP304" i="42"/>
  <c r="BQ304" i="42"/>
  <c r="BR304" i="42"/>
  <c r="BS304" i="42"/>
  <c r="F301" i="42"/>
  <c r="G301" i="42"/>
  <c r="H301" i="42"/>
  <c r="I301" i="42"/>
  <c r="J301" i="42"/>
  <c r="K301" i="42"/>
  <c r="L301" i="42"/>
  <c r="M301" i="42"/>
  <c r="N301" i="42"/>
  <c r="O301" i="42"/>
  <c r="P301" i="42"/>
  <c r="Q301" i="42"/>
  <c r="R301" i="42"/>
  <c r="S301" i="42"/>
  <c r="T301" i="42"/>
  <c r="U301" i="42"/>
  <c r="V301" i="42"/>
  <c r="W301" i="42"/>
  <c r="X301" i="42"/>
  <c r="Y301" i="42"/>
  <c r="Z301" i="42"/>
  <c r="AA301" i="42"/>
  <c r="AB301" i="42"/>
  <c r="AC301" i="42"/>
  <c r="AD301" i="42"/>
  <c r="AE301" i="42"/>
  <c r="AF301" i="42"/>
  <c r="AG301" i="42"/>
  <c r="AH301" i="42"/>
  <c r="AI301" i="42"/>
  <c r="AJ301" i="42"/>
  <c r="AK301" i="42"/>
  <c r="AL301" i="42"/>
  <c r="AM301" i="42"/>
  <c r="AN301" i="42"/>
  <c r="AO301" i="42"/>
  <c r="AP301" i="42"/>
  <c r="AQ301" i="42"/>
  <c r="AR301" i="42"/>
  <c r="AS301" i="42"/>
  <c r="AT301" i="42"/>
  <c r="AU301" i="42"/>
  <c r="AV301" i="42"/>
  <c r="AW301" i="42"/>
  <c r="AX301" i="42"/>
  <c r="AY301" i="42"/>
  <c r="AZ301" i="42"/>
  <c r="BA301" i="42"/>
  <c r="BB301" i="42"/>
  <c r="BC301" i="42"/>
  <c r="BD301" i="42"/>
  <c r="BE301" i="42"/>
  <c r="BF301" i="42"/>
  <c r="BG301" i="42"/>
  <c r="BH301" i="42"/>
  <c r="BI301" i="42"/>
  <c r="BJ301" i="42"/>
  <c r="BK301" i="42"/>
  <c r="BL301" i="42"/>
  <c r="BM301" i="42"/>
  <c r="BN301" i="42"/>
  <c r="BO301" i="42"/>
  <c r="BP301" i="42"/>
  <c r="BQ301" i="42"/>
  <c r="BR301" i="42"/>
  <c r="BS301" i="42"/>
  <c r="F304" i="42"/>
  <c r="E304" i="42"/>
  <c r="E301" i="42" l="1"/>
  <c r="G199" i="1" l="1"/>
  <c r="G183" i="1"/>
  <c r="G132" i="1"/>
  <c r="H74" i="53" l="1"/>
  <c r="H72" i="53"/>
  <c r="H70" i="53"/>
  <c r="H68" i="53"/>
  <c r="H66" i="53"/>
  <c r="H64" i="53"/>
  <c r="H62" i="53"/>
  <c r="H60" i="53"/>
  <c r="H55" i="53"/>
  <c r="H51" i="53"/>
  <c r="H49" i="53"/>
  <c r="H47" i="53"/>
  <c r="H45" i="53"/>
  <c r="H43" i="53"/>
  <c r="H41" i="53"/>
  <c r="H57" i="53"/>
  <c r="H78" i="53"/>
  <c r="H76" i="53"/>
  <c r="G180" i="1" l="1"/>
  <c r="D17" i="73"/>
  <c r="C17" i="73"/>
  <c r="B17" i="73"/>
  <c r="B11" i="73"/>
  <c r="C11" i="73"/>
  <c r="D11" i="73"/>
  <c r="E243" i="28" l="1"/>
  <c r="L243" i="28" s="1"/>
  <c r="B20" i="71" s="1"/>
  <c r="C243" i="28"/>
  <c r="A243" i="28"/>
  <c r="B2" i="71"/>
  <c r="B8" i="71" l="1"/>
  <c r="B12" i="71"/>
  <c r="W243" i="28"/>
  <c r="L253" i="28"/>
  <c r="D43" i="80" s="1"/>
  <c r="C253" i="28"/>
  <c r="A253" i="28"/>
  <c r="F43" i="80" l="1"/>
  <c r="W253" i="28"/>
  <c r="G222" i="1"/>
  <c r="C258" i="28"/>
  <c r="C257" i="28"/>
  <c r="C256" i="28"/>
  <c r="C255" i="28"/>
  <c r="C260" i="28"/>
  <c r="C259" i="28"/>
  <c r="C254" i="28"/>
  <c r="C251" i="28"/>
  <c r="C250" i="28"/>
  <c r="C249" i="28"/>
  <c r="C248" i="28"/>
  <c r="L244" i="28" l="1"/>
  <c r="H244" i="28"/>
  <c r="A244" i="28"/>
  <c r="C244" i="28"/>
  <c r="H229" i="28"/>
  <c r="A229" i="28"/>
  <c r="B229" i="28"/>
  <c r="C229" i="28"/>
  <c r="E229" i="28"/>
  <c r="L229" i="28" s="1"/>
  <c r="F19" i="71" s="1"/>
  <c r="H191" i="28"/>
  <c r="H192" i="28"/>
  <c r="H193" i="28"/>
  <c r="E191" i="28"/>
  <c r="L191" i="28" s="1"/>
  <c r="E192" i="28"/>
  <c r="L192" i="28" s="1"/>
  <c r="E193" i="28"/>
  <c r="L193" i="28" s="1"/>
  <c r="B191" i="28"/>
  <c r="C191" i="28"/>
  <c r="B192" i="28"/>
  <c r="C192" i="28"/>
  <c r="B193" i="28"/>
  <c r="C193" i="28"/>
  <c r="A191" i="28"/>
  <c r="A192" i="28"/>
  <c r="A193" i="28"/>
  <c r="H160" i="28"/>
  <c r="E161" i="28"/>
  <c r="L161" i="28" s="1"/>
  <c r="A161" i="28"/>
  <c r="B161" i="28"/>
  <c r="C161" i="28"/>
  <c r="E68" i="28"/>
  <c r="L68" i="28" s="1"/>
  <c r="E67" i="28"/>
  <c r="L67" i="28" s="1"/>
  <c r="C68" i="28"/>
  <c r="C67" i="28"/>
  <c r="B68" i="28"/>
  <c r="B67" i="28"/>
  <c r="A68" i="28"/>
  <c r="A67" i="28"/>
  <c r="L247" i="28"/>
  <c r="L47" i="80" s="1"/>
  <c r="L246" i="28"/>
  <c r="E254" i="28"/>
  <c r="C247" i="28"/>
  <c r="C246" i="28"/>
  <c r="A258" i="28"/>
  <c r="A257" i="28"/>
  <c r="A256" i="28"/>
  <c r="A255" i="28"/>
  <c r="A260" i="28"/>
  <c r="A259" i="28"/>
  <c r="A254" i="28"/>
  <c r="A251" i="28"/>
  <c r="A250" i="28"/>
  <c r="A249" i="28"/>
  <c r="A248" i="28"/>
  <c r="A247" i="28"/>
  <c r="A246" i="28"/>
  <c r="D33" i="80" l="1"/>
  <c r="F33" i="80" s="1"/>
  <c r="D45" i="80"/>
  <c r="F45" i="80" s="1"/>
  <c r="D31" i="80"/>
  <c r="F31" i="80" s="1"/>
  <c r="W246" i="28"/>
  <c r="W260" i="28"/>
  <c r="W192" i="28"/>
  <c r="W247" i="28"/>
  <c r="W255" i="28"/>
  <c r="W191" i="28"/>
  <c r="W248" i="28"/>
  <c r="W249" i="28"/>
  <c r="W257" i="28"/>
  <c r="W254" i="28"/>
  <c r="W250" i="28"/>
  <c r="W258" i="28"/>
  <c r="W161" i="28"/>
  <c r="W244" i="28"/>
  <c r="W259" i="28"/>
  <c r="W193" i="28"/>
  <c r="W256" i="28"/>
  <c r="W251" i="28"/>
  <c r="L254" i="28"/>
  <c r="D51" i="80" s="1"/>
  <c r="F51" i="80" s="1"/>
  <c r="L259" i="28"/>
  <c r="L258" i="28"/>
  <c r="D29" i="80" s="1"/>
  <c r="F29" i="80" s="1"/>
  <c r="L260" i="28"/>
  <c r="L248" i="28"/>
  <c r="M47" i="80" s="1"/>
  <c r="L249" i="28"/>
  <c r="N47" i="80" s="1"/>
  <c r="L250" i="28"/>
  <c r="L256" i="28"/>
  <c r="D35" i="80" s="1"/>
  <c r="L251" i="28"/>
  <c r="L257" i="28"/>
  <c r="D41" i="80" s="1"/>
  <c r="D47" i="80" l="1"/>
  <c r="F41" i="80"/>
  <c r="F35" i="80"/>
  <c r="F305" i="42"/>
  <c r="G305" i="42"/>
  <c r="H305" i="42"/>
  <c r="I305" i="42"/>
  <c r="J305" i="42"/>
  <c r="K305" i="42"/>
  <c r="L305" i="42"/>
  <c r="M305" i="42"/>
  <c r="N305" i="42"/>
  <c r="O305" i="42"/>
  <c r="P305" i="42"/>
  <c r="Q305" i="42"/>
  <c r="R305" i="42"/>
  <c r="S305" i="42"/>
  <c r="T305" i="42"/>
  <c r="U305" i="42"/>
  <c r="V305" i="42"/>
  <c r="W305" i="42"/>
  <c r="X305" i="42"/>
  <c r="Y305" i="42"/>
  <c r="Z305" i="42"/>
  <c r="AA305" i="42"/>
  <c r="AB305" i="42"/>
  <c r="AC305" i="42"/>
  <c r="AD305" i="42"/>
  <c r="AE305" i="42"/>
  <c r="AF305" i="42"/>
  <c r="AG305" i="42"/>
  <c r="AH305" i="42"/>
  <c r="AI305" i="42"/>
  <c r="AJ305" i="42"/>
  <c r="AK305" i="42"/>
  <c r="AL305" i="42"/>
  <c r="AM305" i="42"/>
  <c r="AN305" i="42"/>
  <c r="AO305" i="42"/>
  <c r="AP305" i="42"/>
  <c r="AQ305" i="42"/>
  <c r="AR305" i="42"/>
  <c r="AS305" i="42"/>
  <c r="AT305" i="42"/>
  <c r="AU305" i="42"/>
  <c r="AV305" i="42"/>
  <c r="AW305" i="42"/>
  <c r="AX305" i="42"/>
  <c r="AY305" i="42"/>
  <c r="AZ305" i="42"/>
  <c r="BA305" i="42"/>
  <c r="BB305" i="42"/>
  <c r="BC305" i="42"/>
  <c r="BD305" i="42"/>
  <c r="BE305" i="42"/>
  <c r="BF305" i="42"/>
  <c r="BG305" i="42"/>
  <c r="BH305" i="42"/>
  <c r="BI305" i="42"/>
  <c r="BJ305" i="42"/>
  <c r="BK305" i="42"/>
  <c r="BL305" i="42"/>
  <c r="BM305" i="42"/>
  <c r="BN305" i="42"/>
  <c r="BO305" i="42"/>
  <c r="BP305" i="42"/>
  <c r="BQ305" i="42"/>
  <c r="BR305" i="42"/>
  <c r="BS305" i="42"/>
  <c r="E305" i="42"/>
  <c r="F303" i="42"/>
  <c r="G303" i="42"/>
  <c r="H303" i="42"/>
  <c r="I303" i="42"/>
  <c r="J303" i="42"/>
  <c r="K303" i="42"/>
  <c r="L303" i="42"/>
  <c r="M303" i="42"/>
  <c r="N303" i="42"/>
  <c r="O303" i="42"/>
  <c r="P303" i="42"/>
  <c r="Q303" i="42"/>
  <c r="R303" i="42"/>
  <c r="S303" i="42"/>
  <c r="T303" i="42"/>
  <c r="U303" i="42"/>
  <c r="V303" i="42"/>
  <c r="W303" i="42"/>
  <c r="X303" i="42"/>
  <c r="Y303" i="42"/>
  <c r="Z303" i="42"/>
  <c r="AA303" i="42"/>
  <c r="AB303" i="42"/>
  <c r="AC303" i="42"/>
  <c r="AD303" i="42"/>
  <c r="AE303" i="42"/>
  <c r="AF303" i="42"/>
  <c r="AG303" i="42"/>
  <c r="AH303" i="42"/>
  <c r="AI303" i="42"/>
  <c r="AJ303" i="42"/>
  <c r="AK303" i="42"/>
  <c r="AL303" i="42"/>
  <c r="AM303" i="42"/>
  <c r="AN303" i="42"/>
  <c r="AO303" i="42"/>
  <c r="AP303" i="42"/>
  <c r="AQ303" i="42"/>
  <c r="AR303" i="42"/>
  <c r="AS303" i="42"/>
  <c r="AT303" i="42"/>
  <c r="AU303" i="42"/>
  <c r="AV303" i="42"/>
  <c r="AW303" i="42"/>
  <c r="AX303" i="42"/>
  <c r="AY303" i="42"/>
  <c r="AZ303" i="42"/>
  <c r="BA303" i="42"/>
  <c r="BB303" i="42"/>
  <c r="BC303" i="42"/>
  <c r="BD303" i="42"/>
  <c r="BE303" i="42"/>
  <c r="BF303" i="42"/>
  <c r="BG303" i="42"/>
  <c r="BH303" i="42"/>
  <c r="BI303" i="42"/>
  <c r="BJ303" i="42"/>
  <c r="BK303" i="42"/>
  <c r="BL303" i="42"/>
  <c r="BM303" i="42"/>
  <c r="BN303" i="42"/>
  <c r="BO303" i="42"/>
  <c r="BP303" i="42"/>
  <c r="BQ303" i="42"/>
  <c r="BR303" i="42"/>
  <c r="BS303" i="42"/>
  <c r="E303" i="42"/>
  <c r="F302" i="42" l="1"/>
  <c r="G302" i="42"/>
  <c r="H302" i="42"/>
  <c r="I302" i="42"/>
  <c r="J302" i="42"/>
  <c r="K302" i="42"/>
  <c r="L302" i="42"/>
  <c r="M302" i="42"/>
  <c r="N302" i="42"/>
  <c r="O302" i="42"/>
  <c r="P302" i="42"/>
  <c r="Q302" i="42"/>
  <c r="R302" i="42"/>
  <c r="S302" i="42"/>
  <c r="T302" i="42"/>
  <c r="U302" i="42"/>
  <c r="V302" i="42"/>
  <c r="W302" i="42"/>
  <c r="X302" i="42"/>
  <c r="Y302" i="42"/>
  <c r="Z302" i="42"/>
  <c r="AA302" i="42"/>
  <c r="AB302" i="42"/>
  <c r="AC302" i="42"/>
  <c r="AD302" i="42"/>
  <c r="AE302" i="42"/>
  <c r="AF302" i="42"/>
  <c r="AG302" i="42"/>
  <c r="AH302" i="42"/>
  <c r="AI302" i="42"/>
  <c r="AJ302" i="42"/>
  <c r="AK302" i="42"/>
  <c r="AL302" i="42"/>
  <c r="AM302" i="42"/>
  <c r="AN302" i="42"/>
  <c r="AO302" i="42"/>
  <c r="AP302" i="42"/>
  <c r="AQ302" i="42"/>
  <c r="AR302" i="42"/>
  <c r="AS302" i="42"/>
  <c r="AT302" i="42"/>
  <c r="AU302" i="42"/>
  <c r="AV302" i="42"/>
  <c r="AW302" i="42"/>
  <c r="AX302" i="42"/>
  <c r="AY302" i="42"/>
  <c r="AZ302" i="42"/>
  <c r="BA302" i="42"/>
  <c r="BB302" i="42"/>
  <c r="BC302" i="42"/>
  <c r="BD302" i="42"/>
  <c r="BE302" i="42"/>
  <c r="BF302" i="42"/>
  <c r="BG302" i="42"/>
  <c r="BH302" i="42"/>
  <c r="BI302" i="42"/>
  <c r="BJ302" i="42"/>
  <c r="BK302" i="42"/>
  <c r="BL302" i="42"/>
  <c r="BM302" i="42"/>
  <c r="BN302" i="42"/>
  <c r="BO302" i="42"/>
  <c r="BP302" i="42"/>
  <c r="BQ302" i="42"/>
  <c r="BR302" i="42"/>
  <c r="BS302" i="42"/>
  <c r="E302" i="42"/>
  <c r="AX300" i="42"/>
  <c r="F300" i="42"/>
  <c r="G300" i="42"/>
  <c r="H300" i="42"/>
  <c r="I300" i="42"/>
  <c r="J300" i="42"/>
  <c r="K300" i="42"/>
  <c r="L300" i="42"/>
  <c r="M300" i="42"/>
  <c r="N300" i="42"/>
  <c r="O300" i="42"/>
  <c r="P300" i="42"/>
  <c r="Q300" i="42"/>
  <c r="R300" i="42"/>
  <c r="S300" i="42"/>
  <c r="T300" i="42"/>
  <c r="U300" i="42"/>
  <c r="V300" i="42"/>
  <c r="W300" i="42"/>
  <c r="X300" i="42"/>
  <c r="Y300" i="42"/>
  <c r="Z300" i="42"/>
  <c r="AA300" i="42"/>
  <c r="AB300" i="42"/>
  <c r="AC300" i="42"/>
  <c r="AD300" i="42"/>
  <c r="AE300" i="42"/>
  <c r="AF300" i="42"/>
  <c r="AG300" i="42"/>
  <c r="AH300" i="42"/>
  <c r="AI300" i="42"/>
  <c r="AJ300" i="42"/>
  <c r="AK300" i="42"/>
  <c r="AL300" i="42"/>
  <c r="AM300" i="42"/>
  <c r="AN300" i="42"/>
  <c r="AO300" i="42"/>
  <c r="AP300" i="42"/>
  <c r="AQ300" i="42"/>
  <c r="AR300" i="42"/>
  <c r="AS300" i="42"/>
  <c r="AT300" i="42"/>
  <c r="AU300" i="42"/>
  <c r="AV300" i="42"/>
  <c r="AW300" i="42"/>
  <c r="AY300" i="42"/>
  <c r="AZ300" i="42"/>
  <c r="BA300" i="42"/>
  <c r="BB300" i="42"/>
  <c r="BC300" i="42"/>
  <c r="BD300" i="42"/>
  <c r="BE300" i="42"/>
  <c r="BF300" i="42"/>
  <c r="BG300" i="42"/>
  <c r="BH300" i="42"/>
  <c r="BI300" i="42"/>
  <c r="BJ300" i="42"/>
  <c r="BK300" i="42"/>
  <c r="BL300" i="42"/>
  <c r="BM300" i="42"/>
  <c r="BN300" i="42"/>
  <c r="BO300" i="42"/>
  <c r="BP300" i="42"/>
  <c r="BQ300" i="42"/>
  <c r="BR300" i="42"/>
  <c r="BS300" i="42"/>
  <c r="E300" i="42"/>
  <c r="B2" i="73" l="1"/>
  <c r="C9" i="73" s="1"/>
  <c r="C8" i="73" l="1"/>
  <c r="C6" i="73"/>
  <c r="L14" i="73"/>
  <c r="L13" i="73"/>
  <c r="L20" i="73"/>
  <c r="L19" i="73"/>
  <c r="L18" i="73"/>
  <c r="L12" i="73"/>
  <c r="P60" i="53"/>
  <c r="P32" i="53"/>
  <c r="O32" i="53"/>
  <c r="P30" i="53"/>
  <c r="P28" i="53"/>
  <c r="O28" i="53"/>
  <c r="H28" i="53" s="1"/>
  <c r="E27" i="53"/>
  <c r="P26" i="53"/>
  <c r="G11" i="53"/>
  <c r="G88" i="53" s="1"/>
  <c r="G89" i="53" l="1"/>
  <c r="E286" i="28" l="1"/>
  <c r="L286" i="28" s="1"/>
  <c r="Q286" i="28" s="1"/>
  <c r="L287" i="28"/>
  <c r="Q287" i="28" s="1"/>
  <c r="E288" i="28"/>
  <c r="L288" i="28" s="1"/>
  <c r="Q288" i="28" s="1"/>
  <c r="E289" i="28"/>
  <c r="L289" i="28" s="1"/>
  <c r="Q289" i="28" s="1"/>
  <c r="E285" i="28"/>
  <c r="L285" i="28" s="1"/>
  <c r="Q285" i="28" s="1"/>
  <c r="A286" i="28"/>
  <c r="A287" i="28"/>
  <c r="A288" i="28"/>
  <c r="A289" i="28"/>
  <c r="A285" i="28"/>
  <c r="G310" i="1"/>
  <c r="F283" i="28" s="1"/>
  <c r="G311" i="1"/>
  <c r="F284" i="28" s="1"/>
  <c r="F281" i="28"/>
  <c r="G309" i="1"/>
  <c r="F282" i="28" s="1"/>
  <c r="G305" i="1"/>
  <c r="F278" i="28" s="1"/>
  <c r="G306" i="1"/>
  <c r="F279" i="28" s="1"/>
  <c r="G307" i="1"/>
  <c r="F280" i="28" s="1"/>
  <c r="G304" i="1"/>
  <c r="F277" i="28" s="1"/>
  <c r="C286" i="28" l="1"/>
  <c r="C287" i="28"/>
  <c r="C288" i="28"/>
  <c r="C289" i="28"/>
  <c r="C285" i="28"/>
  <c r="G263" i="1" l="1"/>
  <c r="G157" i="1"/>
  <c r="G19" i="1"/>
  <c r="F289" i="28"/>
  <c r="F288" i="28"/>
  <c r="F287" i="28"/>
  <c r="F286" i="28"/>
  <c r="F285" i="28"/>
  <c r="G147" i="1" l="1"/>
  <c r="G166" i="1" l="1"/>
  <c r="G165" i="1"/>
  <c r="G164" i="1"/>
  <c r="G163" i="1"/>
  <c r="G162" i="1"/>
  <c r="G161" i="1"/>
  <c r="G155" i="1"/>
  <c r="G146" i="1"/>
  <c r="G145" i="1"/>
  <c r="G144" i="1"/>
  <c r="G143" i="1"/>
  <c r="G142" i="1"/>
  <c r="G141" i="1"/>
  <c r="Y276" i="28" l="1"/>
  <c r="D3" i="1" l="1"/>
  <c r="B5" i="80" l="1"/>
  <c r="L16" i="80" s="1"/>
  <c r="L4" i="28"/>
  <c r="M13" i="80"/>
  <c r="M20" i="80"/>
  <c r="L24" i="80"/>
  <c r="L20" i="80"/>
  <c r="L14" i="80"/>
  <c r="D39" i="80"/>
  <c r="L23" i="80"/>
  <c r="L13" i="80"/>
  <c r="L17" i="80"/>
  <c r="L21" i="80"/>
  <c r="B3" i="71"/>
  <c r="B13" i="71"/>
  <c r="B3" i="73"/>
  <c r="Y266" i="28"/>
  <c r="B9" i="73" l="1"/>
  <c r="H39" i="80"/>
  <c r="F39" i="80"/>
  <c r="B24" i="80"/>
  <c r="B23" i="80"/>
  <c r="C23" i="80"/>
  <c r="C24" i="80"/>
  <c r="C16" i="80"/>
  <c r="C17" i="80"/>
  <c r="B16" i="80"/>
  <c r="B17" i="80"/>
  <c r="L11" i="73"/>
  <c r="L17" i="73"/>
  <c r="B8" i="73"/>
  <c r="B6" i="73"/>
  <c r="K18" i="73"/>
  <c r="K17" i="73"/>
  <c r="K14" i="73"/>
  <c r="K20" i="73"/>
  <c r="K12" i="73"/>
  <c r="K11" i="73"/>
  <c r="K19" i="73"/>
  <c r="K13" i="73"/>
  <c r="M17" i="73"/>
  <c r="M11" i="73"/>
  <c r="Y268" i="28"/>
  <c r="Y267" i="28"/>
  <c r="B18" i="73" l="1"/>
  <c r="B20" i="73"/>
  <c r="B19" i="73"/>
  <c r="B12" i="73"/>
  <c r="B14" i="73"/>
  <c r="B13" i="73"/>
  <c r="C20" i="73"/>
  <c r="C19" i="73"/>
  <c r="C18" i="73"/>
  <c r="C12" i="73"/>
  <c r="C14" i="73"/>
  <c r="C13" i="73"/>
  <c r="N236" i="28" l="1"/>
  <c r="X276" i="28"/>
  <c r="W124" i="28"/>
  <c r="W125" i="28"/>
  <c r="W126" i="28"/>
  <c r="W127" i="28"/>
  <c r="W128" i="28"/>
  <c r="W129" i="28"/>
  <c r="W221" i="28"/>
  <c r="W266" i="28"/>
  <c r="W267" i="28"/>
  <c r="W268" i="28"/>
  <c r="W276" i="28"/>
  <c r="W291" i="28"/>
  <c r="W4" i="28"/>
  <c r="E232" i="28"/>
  <c r="L232" i="28" s="1"/>
  <c r="BS298" i="42" l="1"/>
  <c r="BS299" i="42" s="1"/>
  <c r="BR298" i="42"/>
  <c r="BR299" i="42" s="1"/>
  <c r="BQ298" i="42"/>
  <c r="BQ299" i="42" s="1"/>
  <c r="BP298" i="42"/>
  <c r="BP299" i="42" s="1"/>
  <c r="BO298" i="42"/>
  <c r="BO299" i="42" s="1"/>
  <c r="BN298" i="42"/>
  <c r="BN299" i="42" s="1"/>
  <c r="BM298" i="42"/>
  <c r="BM299" i="42" s="1"/>
  <c r="BL298" i="42"/>
  <c r="BL299" i="42" s="1"/>
  <c r="BK298" i="42"/>
  <c r="BK299" i="42" s="1"/>
  <c r="BJ298" i="42"/>
  <c r="BJ299" i="42" s="1"/>
  <c r="BI298" i="42"/>
  <c r="BI299" i="42" s="1"/>
  <c r="BH298" i="42"/>
  <c r="BH299" i="42" s="1"/>
  <c r="BG298" i="42"/>
  <c r="BG299" i="42" s="1"/>
  <c r="BF298" i="42"/>
  <c r="BF299" i="42" s="1"/>
  <c r="BE298" i="42"/>
  <c r="BE299" i="42" s="1"/>
  <c r="BD298" i="42"/>
  <c r="BD299" i="42" s="1"/>
  <c r="BC298" i="42"/>
  <c r="BC299" i="42" s="1"/>
  <c r="BB298" i="42"/>
  <c r="BB299" i="42" s="1"/>
  <c r="BA298" i="42"/>
  <c r="BA299" i="42" s="1"/>
  <c r="AZ298" i="42"/>
  <c r="AZ299" i="42" s="1"/>
  <c r="AY298" i="42"/>
  <c r="AY299" i="42" s="1"/>
  <c r="AX298" i="42"/>
  <c r="AX299" i="42" s="1"/>
  <c r="AW298" i="42"/>
  <c r="AW299" i="42" s="1"/>
  <c r="AU298" i="42"/>
  <c r="AU299" i="42" s="1"/>
  <c r="AT298" i="42"/>
  <c r="AT299" i="42" s="1"/>
  <c r="AS298" i="42"/>
  <c r="AS299" i="42" s="1"/>
  <c r="AR298" i="42"/>
  <c r="AR299" i="42" s="1"/>
  <c r="AQ298" i="42"/>
  <c r="AQ299" i="42" s="1"/>
  <c r="AP298" i="42"/>
  <c r="AP299" i="42" s="1"/>
  <c r="AO298" i="42"/>
  <c r="AO299" i="42" s="1"/>
  <c r="AM298" i="42"/>
  <c r="AM299" i="42" s="1"/>
  <c r="AL298" i="42"/>
  <c r="AL299" i="42" s="1"/>
  <c r="AK298" i="42"/>
  <c r="AK299" i="42" s="1"/>
  <c r="AJ298" i="42"/>
  <c r="AJ299" i="42" s="1"/>
  <c r="AI298" i="42"/>
  <c r="AI299" i="42" s="1"/>
  <c r="AH298" i="42"/>
  <c r="AH299" i="42" s="1"/>
  <c r="AG298" i="42"/>
  <c r="AG299" i="42" s="1"/>
  <c r="AE298" i="42"/>
  <c r="AE299" i="42" s="1"/>
  <c r="AD298" i="42"/>
  <c r="AD299" i="42" s="1"/>
  <c r="AC298" i="42"/>
  <c r="AC299" i="42" s="1"/>
  <c r="AB298" i="42"/>
  <c r="AB299" i="42" s="1"/>
  <c r="AA298" i="42"/>
  <c r="AA299" i="42" s="1"/>
  <c r="Z298" i="42"/>
  <c r="Z299" i="42" s="1"/>
  <c r="Y298" i="42"/>
  <c r="Y299" i="42" s="1"/>
  <c r="W298" i="42"/>
  <c r="W299" i="42" s="1"/>
  <c r="V298" i="42"/>
  <c r="V299" i="42" s="1"/>
  <c r="U298" i="42"/>
  <c r="U299" i="42" s="1"/>
  <c r="T298" i="42"/>
  <c r="T299" i="42" s="1"/>
  <c r="S298" i="42"/>
  <c r="S299" i="42" s="1"/>
  <c r="R298" i="42"/>
  <c r="R299" i="42" s="1"/>
  <c r="Q298" i="42"/>
  <c r="Q299" i="42" s="1"/>
  <c r="O298" i="42"/>
  <c r="O299" i="42" s="1"/>
  <c r="N298" i="42"/>
  <c r="N299" i="42" s="1"/>
  <c r="M298" i="42"/>
  <c r="M299" i="42" s="1"/>
  <c r="L298" i="42"/>
  <c r="L299" i="42" s="1"/>
  <c r="K298" i="42"/>
  <c r="K299" i="42" s="1"/>
  <c r="J298" i="42"/>
  <c r="J299" i="42" s="1"/>
  <c r="I298" i="42"/>
  <c r="I299" i="42" s="1"/>
  <c r="G298" i="42"/>
  <c r="G299" i="42" s="1"/>
  <c r="F298" i="42"/>
  <c r="F299" i="42" s="1"/>
  <c r="H4" i="30"/>
  <c r="F4" i="30"/>
  <c r="B4" i="30"/>
  <c r="F295" i="28"/>
  <c r="E295" i="28"/>
  <c r="C295" i="28"/>
  <c r="B295" i="28"/>
  <c r="A295" i="28"/>
  <c r="E284" i="28"/>
  <c r="C284" i="28"/>
  <c r="A284" i="28"/>
  <c r="E283" i="28"/>
  <c r="C283" i="28"/>
  <c r="A283" i="28"/>
  <c r="E282" i="28"/>
  <c r="C282" i="28"/>
  <c r="A282" i="28"/>
  <c r="A281" i="28"/>
  <c r="E280" i="28"/>
  <c r="C280" i="28"/>
  <c r="A280" i="28"/>
  <c r="E279" i="28"/>
  <c r="C279" i="28"/>
  <c r="A279" i="28"/>
  <c r="C278" i="28"/>
  <c r="A278" i="28"/>
  <c r="E277" i="28"/>
  <c r="L277" i="28" s="1"/>
  <c r="Q277" i="28" s="1"/>
  <c r="C277" i="28"/>
  <c r="A277" i="28"/>
  <c r="H245" i="28"/>
  <c r="E245" i="28"/>
  <c r="L245" i="28" s="1"/>
  <c r="C245" i="28"/>
  <c r="A245" i="28"/>
  <c r="E242" i="28"/>
  <c r="L242" i="28" s="1"/>
  <c r="C242" i="28"/>
  <c r="A242" i="28"/>
  <c r="H241" i="28"/>
  <c r="E241" i="28"/>
  <c r="L241" i="28" s="1"/>
  <c r="C241" i="28"/>
  <c r="B241" i="28"/>
  <c r="A241" i="28"/>
  <c r="H240" i="28"/>
  <c r="E240" i="28"/>
  <c r="L240" i="28" s="1"/>
  <c r="C240" i="28"/>
  <c r="B240" i="28"/>
  <c r="A240" i="28"/>
  <c r="E239" i="28"/>
  <c r="L239" i="28" s="1"/>
  <c r="C239" i="28"/>
  <c r="B239" i="28"/>
  <c r="A239" i="28"/>
  <c r="E238" i="28"/>
  <c r="L238" i="28" s="1"/>
  <c r="C238" i="28"/>
  <c r="B238" i="28"/>
  <c r="A238" i="28"/>
  <c r="E237" i="28"/>
  <c r="L237" i="28" s="1"/>
  <c r="C237" i="28"/>
  <c r="B237" i="28"/>
  <c r="A237" i="28"/>
  <c r="E236" i="28"/>
  <c r="L236" i="28" s="1"/>
  <c r="C236" i="28"/>
  <c r="B236" i="28"/>
  <c r="A236" i="28"/>
  <c r="E235" i="28"/>
  <c r="L235" i="28" s="1"/>
  <c r="C235" i="28"/>
  <c r="B235" i="28"/>
  <c r="A235" i="28"/>
  <c r="E234" i="28"/>
  <c r="L234" i="28" s="1"/>
  <c r="C234" i="28"/>
  <c r="B234" i="28"/>
  <c r="A234" i="28"/>
  <c r="E233" i="28"/>
  <c r="L233" i="28" s="1"/>
  <c r="C233" i="28"/>
  <c r="B233" i="28"/>
  <c r="A233" i="28"/>
  <c r="H232" i="28"/>
  <c r="C232" i="28"/>
  <c r="B232" i="28"/>
  <c r="A232" i="28"/>
  <c r="H231" i="28"/>
  <c r="E231" i="28"/>
  <c r="C231" i="28"/>
  <c r="B231" i="28"/>
  <c r="A231" i="28"/>
  <c r="H230" i="28"/>
  <c r="E230" i="28"/>
  <c r="L230" i="28" s="1"/>
  <c r="C230" i="28"/>
  <c r="B230" i="28"/>
  <c r="A230" i="28"/>
  <c r="H228" i="28"/>
  <c r="E228" i="28"/>
  <c r="L228" i="28" s="1"/>
  <c r="C228" i="28"/>
  <c r="B228" i="28"/>
  <c r="A228" i="28"/>
  <c r="H227" i="28"/>
  <c r="E227" i="28"/>
  <c r="L227" i="28" s="1"/>
  <c r="C227" i="28"/>
  <c r="B227" i="28"/>
  <c r="A227" i="28"/>
  <c r="H226" i="28"/>
  <c r="E226" i="28"/>
  <c r="L226" i="28" s="1"/>
  <c r="C226" i="28"/>
  <c r="B226" i="28"/>
  <c r="A226" i="28"/>
  <c r="E225" i="28"/>
  <c r="L225" i="28" s="1"/>
  <c r="C225" i="28"/>
  <c r="B225" i="28"/>
  <c r="A225" i="28"/>
  <c r="H224" i="28"/>
  <c r="E224" i="28"/>
  <c r="L224" i="28" s="1"/>
  <c r="C224" i="28"/>
  <c r="B224" i="28"/>
  <c r="A224" i="28"/>
  <c r="H223" i="28"/>
  <c r="E223" i="28"/>
  <c r="L223" i="28" s="1"/>
  <c r="C223" i="28"/>
  <c r="B223" i="28"/>
  <c r="A223" i="28"/>
  <c r="H222" i="28"/>
  <c r="E222" i="28"/>
  <c r="L222" i="28" s="1"/>
  <c r="C222" i="28"/>
  <c r="B222" i="28"/>
  <c r="A222" i="28"/>
  <c r="E221" i="28"/>
  <c r="L221" i="28" s="1"/>
  <c r="C221" i="28"/>
  <c r="E220" i="28"/>
  <c r="L220" i="28" s="1"/>
  <c r="C220" i="28"/>
  <c r="B220" i="28"/>
  <c r="A220" i="28"/>
  <c r="H219" i="28"/>
  <c r="E219" i="28"/>
  <c r="L219" i="28" s="1"/>
  <c r="C219" i="28"/>
  <c r="B219" i="28"/>
  <c r="A219" i="28"/>
  <c r="H218" i="28"/>
  <c r="E218" i="28"/>
  <c r="L218" i="28" s="1"/>
  <c r="C218" i="28"/>
  <c r="B218" i="28"/>
  <c r="A218" i="28"/>
  <c r="H217" i="28"/>
  <c r="E217" i="28"/>
  <c r="L217" i="28" s="1"/>
  <c r="C217" i="28"/>
  <c r="B217" i="28"/>
  <c r="A217" i="28"/>
  <c r="E216" i="28"/>
  <c r="L216" i="28" s="1"/>
  <c r="C216" i="28"/>
  <c r="B216" i="28"/>
  <c r="A216" i="28"/>
  <c r="E215" i="28"/>
  <c r="L215" i="28" s="1"/>
  <c r="C215" i="28"/>
  <c r="B215" i="28"/>
  <c r="A215" i="28"/>
  <c r="H214" i="28"/>
  <c r="E214" i="28"/>
  <c r="L214" i="28" s="1"/>
  <c r="C214" i="28"/>
  <c r="B214" i="28"/>
  <c r="A214" i="28"/>
  <c r="H213" i="28"/>
  <c r="E213" i="28"/>
  <c r="L213" i="28" s="1"/>
  <c r="C213" i="28"/>
  <c r="B213" i="28"/>
  <c r="A213" i="28"/>
  <c r="H212" i="28"/>
  <c r="E212" i="28"/>
  <c r="L212" i="28" s="1"/>
  <c r="C212" i="28"/>
  <c r="B212" i="28"/>
  <c r="A212" i="28"/>
  <c r="H211" i="28"/>
  <c r="E211" i="28"/>
  <c r="L211" i="28" s="1"/>
  <c r="C211" i="28"/>
  <c r="B211" i="28"/>
  <c r="A211" i="28"/>
  <c r="H210" i="28"/>
  <c r="E210" i="28"/>
  <c r="L210" i="28" s="1"/>
  <c r="C210" i="28"/>
  <c r="B210" i="28"/>
  <c r="A210" i="28"/>
  <c r="H209" i="28"/>
  <c r="E209" i="28"/>
  <c r="L209" i="28" s="1"/>
  <c r="C209" i="28"/>
  <c r="B209" i="28"/>
  <c r="A209" i="28"/>
  <c r="H208" i="28"/>
  <c r="E208" i="28"/>
  <c r="L208" i="28" s="1"/>
  <c r="C208" i="28"/>
  <c r="B208" i="28"/>
  <c r="A208" i="28"/>
  <c r="H207" i="28"/>
  <c r="E207" i="28"/>
  <c r="L207" i="28" s="1"/>
  <c r="C207" i="28"/>
  <c r="B207" i="28"/>
  <c r="A207" i="28"/>
  <c r="H206" i="28"/>
  <c r="E206" i="28"/>
  <c r="L206" i="28" s="1"/>
  <c r="C206" i="28"/>
  <c r="B206" i="28"/>
  <c r="A206" i="28"/>
  <c r="H205" i="28"/>
  <c r="E205" i="28"/>
  <c r="L205" i="28" s="1"/>
  <c r="C205" i="28"/>
  <c r="B205" i="28"/>
  <c r="A205" i="28"/>
  <c r="H204" i="28"/>
  <c r="E204" i="28"/>
  <c r="L204" i="28" s="1"/>
  <c r="C204" i="28"/>
  <c r="B204" i="28"/>
  <c r="A204" i="28"/>
  <c r="H203" i="28"/>
  <c r="E203" i="28"/>
  <c r="L203" i="28" s="1"/>
  <c r="C203" i="28"/>
  <c r="B203" i="28"/>
  <c r="A203" i="28"/>
  <c r="H202" i="28"/>
  <c r="E202" i="28"/>
  <c r="L202" i="28" s="1"/>
  <c r="C202" i="28"/>
  <c r="B202" i="28"/>
  <c r="A202" i="28"/>
  <c r="H201" i="28"/>
  <c r="E201" i="28"/>
  <c r="L201" i="28" s="1"/>
  <c r="C201" i="28"/>
  <c r="B201" i="28"/>
  <c r="A201" i="28"/>
  <c r="H200" i="28"/>
  <c r="E200" i="28"/>
  <c r="L200" i="28" s="1"/>
  <c r="C200" i="28"/>
  <c r="B200" i="28"/>
  <c r="A200" i="28"/>
  <c r="H199" i="28"/>
  <c r="E199" i="28"/>
  <c r="L199" i="28" s="1"/>
  <c r="C199" i="28"/>
  <c r="B199" i="28"/>
  <c r="A199" i="28"/>
  <c r="H198" i="28"/>
  <c r="E198" i="28"/>
  <c r="L198" i="28" s="1"/>
  <c r="C198" i="28"/>
  <c r="B198" i="28"/>
  <c r="A198" i="28"/>
  <c r="H197" i="28"/>
  <c r="E197" i="28"/>
  <c r="L197" i="28" s="1"/>
  <c r="C197" i="28"/>
  <c r="B197" i="28"/>
  <c r="A197" i="28"/>
  <c r="H196" i="28"/>
  <c r="E196" i="28"/>
  <c r="L196" i="28" s="1"/>
  <c r="C196" i="28"/>
  <c r="B196" i="28"/>
  <c r="A196" i="28"/>
  <c r="H195" i="28"/>
  <c r="C195" i="28"/>
  <c r="B195" i="28"/>
  <c r="A195" i="28"/>
  <c r="H194" i="28"/>
  <c r="C194" i="28"/>
  <c r="B194" i="28"/>
  <c r="A194" i="28"/>
  <c r="H190" i="28"/>
  <c r="E190" i="28"/>
  <c r="L190" i="28" s="1"/>
  <c r="C190" i="28"/>
  <c r="B190" i="28"/>
  <c r="A190" i="28"/>
  <c r="H189" i="28"/>
  <c r="E189" i="28"/>
  <c r="L189" i="28" s="1"/>
  <c r="C189" i="28"/>
  <c r="B189" i="28"/>
  <c r="A189" i="28"/>
  <c r="H188" i="28"/>
  <c r="E188" i="28"/>
  <c r="L188" i="28" s="1"/>
  <c r="C188" i="28"/>
  <c r="B188" i="28"/>
  <c r="A188" i="28"/>
  <c r="E187" i="28"/>
  <c r="L187" i="28" s="1"/>
  <c r="C187" i="28"/>
  <c r="B187" i="28"/>
  <c r="A187" i="28"/>
  <c r="H186" i="28"/>
  <c r="E186" i="28"/>
  <c r="L186" i="28" s="1"/>
  <c r="C186" i="28"/>
  <c r="B186" i="28"/>
  <c r="A186" i="28"/>
  <c r="H185" i="28"/>
  <c r="E185" i="28"/>
  <c r="L185" i="28" s="1"/>
  <c r="C185" i="28"/>
  <c r="B185" i="28"/>
  <c r="A185" i="28"/>
  <c r="H184" i="28"/>
  <c r="E184" i="28"/>
  <c r="L184" i="28" s="1"/>
  <c r="C184" i="28"/>
  <c r="B184" i="28"/>
  <c r="A184" i="28"/>
  <c r="H183" i="28"/>
  <c r="E183" i="28"/>
  <c r="L183" i="28" s="1"/>
  <c r="C183" i="28"/>
  <c r="B183" i="28"/>
  <c r="A183" i="28"/>
  <c r="H182" i="28"/>
  <c r="E182" i="28"/>
  <c r="L182" i="28" s="1"/>
  <c r="C182" i="28"/>
  <c r="B182" i="28"/>
  <c r="A182" i="28"/>
  <c r="H181" i="28"/>
  <c r="E181" i="28"/>
  <c r="L181" i="28" s="1"/>
  <c r="C181" i="28"/>
  <c r="B181" i="28"/>
  <c r="A181" i="28"/>
  <c r="H180" i="28"/>
  <c r="E180" i="28"/>
  <c r="L180" i="28" s="1"/>
  <c r="C180" i="28"/>
  <c r="B180" i="28"/>
  <c r="A180" i="28"/>
  <c r="H179" i="28"/>
  <c r="E179" i="28"/>
  <c r="L179" i="28" s="1"/>
  <c r="C179" i="28"/>
  <c r="B179" i="28"/>
  <c r="A179" i="28"/>
  <c r="H178" i="28"/>
  <c r="E178" i="28"/>
  <c r="L178" i="28" s="1"/>
  <c r="C178" i="28"/>
  <c r="B178" i="28"/>
  <c r="A178" i="28"/>
  <c r="H177" i="28"/>
  <c r="E177" i="28"/>
  <c r="L177" i="28" s="1"/>
  <c r="F14" i="71" s="1"/>
  <c r="C177" i="28"/>
  <c r="B177" i="28"/>
  <c r="A177" i="28"/>
  <c r="H176" i="28"/>
  <c r="E176" i="28"/>
  <c r="L176" i="28" s="1"/>
  <c r="C176" i="28"/>
  <c r="B176" i="28"/>
  <c r="A176" i="28"/>
  <c r="H175" i="28"/>
  <c r="E175" i="28"/>
  <c r="L175" i="28" s="1"/>
  <c r="C175" i="28"/>
  <c r="B175" i="28"/>
  <c r="A175" i="28"/>
  <c r="H174" i="28"/>
  <c r="E174" i="28"/>
  <c r="L174" i="28" s="1"/>
  <c r="C174" i="28"/>
  <c r="B174" i="28"/>
  <c r="A174" i="28"/>
  <c r="H173" i="28"/>
  <c r="E173" i="28"/>
  <c r="L173" i="28" s="1"/>
  <c r="C173" i="28"/>
  <c r="B173" i="28"/>
  <c r="A173" i="28"/>
  <c r="H172" i="28"/>
  <c r="E172" i="28"/>
  <c r="L172" i="28" s="1"/>
  <c r="C172" i="28"/>
  <c r="B172" i="28"/>
  <c r="A172" i="28"/>
  <c r="H171" i="28"/>
  <c r="E171" i="28"/>
  <c r="L171" i="28" s="1"/>
  <c r="C171" i="28"/>
  <c r="B171" i="28"/>
  <c r="A171" i="28"/>
  <c r="H170" i="28"/>
  <c r="E170" i="28"/>
  <c r="L170" i="28" s="1"/>
  <c r="C170" i="28"/>
  <c r="B170" i="28"/>
  <c r="A170" i="28"/>
  <c r="H169" i="28"/>
  <c r="E169" i="28"/>
  <c r="L169" i="28" s="1"/>
  <c r="C169" i="28"/>
  <c r="B169" i="28"/>
  <c r="A169" i="28"/>
  <c r="H168" i="28"/>
  <c r="E168" i="28"/>
  <c r="L168" i="28" s="1"/>
  <c r="C168" i="28"/>
  <c r="B168" i="28"/>
  <c r="A168" i="28"/>
  <c r="H167" i="28"/>
  <c r="E167" i="28"/>
  <c r="L167" i="28" s="1"/>
  <c r="C167" i="28"/>
  <c r="B167" i="28"/>
  <c r="A167" i="28"/>
  <c r="H166" i="28"/>
  <c r="E166" i="28"/>
  <c r="L166" i="28" s="1"/>
  <c r="C166" i="28"/>
  <c r="B166" i="28"/>
  <c r="A166" i="28"/>
  <c r="H165" i="28"/>
  <c r="E165" i="28"/>
  <c r="L165" i="28" s="1"/>
  <c r="C165" i="28"/>
  <c r="B165" i="28"/>
  <c r="A165" i="28"/>
  <c r="H164" i="28"/>
  <c r="E164" i="28"/>
  <c r="L164" i="28" s="1"/>
  <c r="C164" i="28"/>
  <c r="B164" i="28"/>
  <c r="A164" i="28"/>
  <c r="H163" i="28"/>
  <c r="E163" i="28"/>
  <c r="L163" i="28" s="1"/>
  <c r="C163" i="28"/>
  <c r="B163" i="28"/>
  <c r="A163" i="28"/>
  <c r="H162" i="28"/>
  <c r="E162" i="28"/>
  <c r="L162" i="28" s="1"/>
  <c r="C162" i="28"/>
  <c r="B162" i="28"/>
  <c r="A162" i="28"/>
  <c r="E160" i="28"/>
  <c r="L160" i="28" s="1"/>
  <c r="C160" i="28"/>
  <c r="B160" i="28"/>
  <c r="A160" i="28"/>
  <c r="H159" i="28"/>
  <c r="E159" i="28"/>
  <c r="L159" i="28" s="1"/>
  <c r="C159" i="28"/>
  <c r="B159" i="28"/>
  <c r="A159" i="28"/>
  <c r="H158" i="28"/>
  <c r="E158" i="28"/>
  <c r="L158" i="28" s="1"/>
  <c r="C158" i="28"/>
  <c r="B158" i="28"/>
  <c r="A158" i="28"/>
  <c r="H157" i="28"/>
  <c r="E157" i="28"/>
  <c r="L157" i="28" s="1"/>
  <c r="C157" i="28"/>
  <c r="B157" i="28"/>
  <c r="A157" i="28"/>
  <c r="H156" i="28"/>
  <c r="E156" i="28"/>
  <c r="L156" i="28" s="1"/>
  <c r="C156" i="28"/>
  <c r="B156" i="28"/>
  <c r="A156" i="28"/>
  <c r="H155" i="28"/>
  <c r="E155" i="28"/>
  <c r="L155" i="28" s="1"/>
  <c r="C155" i="28"/>
  <c r="B155" i="28"/>
  <c r="A155" i="28"/>
  <c r="H154" i="28"/>
  <c r="E154" i="28"/>
  <c r="L154" i="28" s="1"/>
  <c r="C154" i="28"/>
  <c r="B154" i="28"/>
  <c r="A154" i="28"/>
  <c r="H153" i="28"/>
  <c r="E153" i="28"/>
  <c r="L153" i="28" s="1"/>
  <c r="C153" i="28"/>
  <c r="B153" i="28"/>
  <c r="A153" i="28"/>
  <c r="H152" i="28"/>
  <c r="E152" i="28"/>
  <c r="L152" i="28" s="1"/>
  <c r="C152" i="28"/>
  <c r="B152" i="28"/>
  <c r="A152" i="28"/>
  <c r="H151" i="28"/>
  <c r="E151" i="28"/>
  <c r="L151" i="28" s="1"/>
  <c r="C151" i="28"/>
  <c r="B151" i="28"/>
  <c r="A151" i="28"/>
  <c r="H150" i="28"/>
  <c r="E150" i="28"/>
  <c r="L150" i="28" s="1"/>
  <c r="C150" i="28"/>
  <c r="B150" i="28"/>
  <c r="A150" i="28"/>
  <c r="H149" i="28"/>
  <c r="E149" i="28"/>
  <c r="L149" i="28" s="1"/>
  <c r="C149" i="28"/>
  <c r="B149" i="28"/>
  <c r="A149" i="28"/>
  <c r="H148" i="28"/>
  <c r="E148" i="28"/>
  <c r="L148" i="28" s="1"/>
  <c r="C148" i="28"/>
  <c r="B148" i="28"/>
  <c r="A148" i="28"/>
  <c r="H147" i="28"/>
  <c r="E147" i="28"/>
  <c r="L147" i="28" s="1"/>
  <c r="C147" i="28"/>
  <c r="B147" i="28"/>
  <c r="A147" i="28"/>
  <c r="H146" i="28"/>
  <c r="E146" i="28"/>
  <c r="L146" i="28" s="1"/>
  <c r="C146" i="28"/>
  <c r="B146" i="28"/>
  <c r="A146" i="28"/>
  <c r="H145" i="28"/>
  <c r="E145" i="28"/>
  <c r="L145" i="28" s="1"/>
  <c r="C145" i="28"/>
  <c r="B145" i="28"/>
  <c r="A145" i="28"/>
  <c r="H144" i="28"/>
  <c r="E144" i="28"/>
  <c r="L144" i="28" s="1"/>
  <c r="C144" i="28"/>
  <c r="B144" i="28"/>
  <c r="A144" i="28"/>
  <c r="H143" i="28"/>
  <c r="C143" i="28"/>
  <c r="B143" i="28"/>
  <c r="A143" i="28"/>
  <c r="H142" i="28"/>
  <c r="E142" i="28"/>
  <c r="L142" i="28" s="1"/>
  <c r="C142" i="28"/>
  <c r="B142" i="28"/>
  <c r="A142" i="28"/>
  <c r="H141" i="28"/>
  <c r="E141" i="28"/>
  <c r="L141" i="28" s="1"/>
  <c r="C141" i="28"/>
  <c r="B141" i="28"/>
  <c r="A141" i="28"/>
  <c r="H140" i="28"/>
  <c r="E140" i="28"/>
  <c r="L140" i="28" s="1"/>
  <c r="C140" i="28"/>
  <c r="B140" i="28"/>
  <c r="A140" i="28"/>
  <c r="E139" i="28"/>
  <c r="L139" i="28" s="1"/>
  <c r="C139" i="28"/>
  <c r="B139" i="28"/>
  <c r="A139" i="28"/>
  <c r="H138" i="28"/>
  <c r="E138" i="28"/>
  <c r="L138" i="28" s="1"/>
  <c r="C138" i="28"/>
  <c r="B138" i="28"/>
  <c r="A138" i="28"/>
  <c r="H137" i="28"/>
  <c r="E137" i="28"/>
  <c r="L137" i="28" s="1"/>
  <c r="C137" i="28"/>
  <c r="B137" i="28"/>
  <c r="A137" i="28"/>
  <c r="E136" i="28"/>
  <c r="L136" i="28" s="1"/>
  <c r="C136" i="28"/>
  <c r="B136" i="28"/>
  <c r="A136" i="28"/>
  <c r="H135" i="28"/>
  <c r="E135" i="28"/>
  <c r="L135" i="28" s="1"/>
  <c r="C135" i="28"/>
  <c r="B135" i="28"/>
  <c r="A135" i="28"/>
  <c r="H134" i="28"/>
  <c r="E134" i="28"/>
  <c r="L134" i="28" s="1"/>
  <c r="C134" i="28"/>
  <c r="B134" i="28"/>
  <c r="A134" i="28"/>
  <c r="H133" i="28"/>
  <c r="E133" i="28"/>
  <c r="L133" i="28" s="1"/>
  <c r="C133" i="28"/>
  <c r="B133" i="28"/>
  <c r="A133" i="28"/>
  <c r="H132" i="28"/>
  <c r="E132" i="28"/>
  <c r="L132" i="28" s="1"/>
  <c r="C132" i="28"/>
  <c r="B132" i="28"/>
  <c r="A132" i="28"/>
  <c r="H131" i="28"/>
  <c r="E131" i="28"/>
  <c r="L131" i="28" s="1"/>
  <c r="C131" i="28"/>
  <c r="B131" i="28"/>
  <c r="A131" i="28"/>
  <c r="H130" i="28"/>
  <c r="E130" i="28"/>
  <c r="L130" i="28" s="1"/>
  <c r="C130" i="28"/>
  <c r="B130" i="28"/>
  <c r="A130" i="28"/>
  <c r="E129" i="28"/>
  <c r="L129" i="28" s="1"/>
  <c r="C129" i="28"/>
  <c r="B129" i="28"/>
  <c r="E128" i="28"/>
  <c r="L128" i="28" s="1"/>
  <c r="C128" i="28"/>
  <c r="B128" i="28"/>
  <c r="E127" i="28"/>
  <c r="L127" i="28" s="1"/>
  <c r="C127" i="28"/>
  <c r="B127" i="28"/>
  <c r="E126" i="28"/>
  <c r="L126" i="28" s="1"/>
  <c r="C126" i="28"/>
  <c r="B126" i="28"/>
  <c r="E125" i="28"/>
  <c r="L125" i="28" s="1"/>
  <c r="C125" i="28"/>
  <c r="B125" i="28"/>
  <c r="C124" i="28"/>
  <c r="B124" i="28"/>
  <c r="E123" i="28"/>
  <c r="L123" i="28" s="1"/>
  <c r="C123" i="28"/>
  <c r="B123" i="28"/>
  <c r="A123" i="28"/>
  <c r="H122" i="28"/>
  <c r="E122" i="28"/>
  <c r="L122" i="28" s="1"/>
  <c r="C122" i="28"/>
  <c r="B122" i="28"/>
  <c r="A122" i="28"/>
  <c r="E121" i="28"/>
  <c r="L121" i="28" s="1"/>
  <c r="C121" i="28"/>
  <c r="B121" i="28"/>
  <c r="A121" i="28"/>
  <c r="H120" i="28"/>
  <c r="E120" i="28"/>
  <c r="L120" i="28" s="1"/>
  <c r="C120" i="28"/>
  <c r="B120" i="28"/>
  <c r="A120" i="28"/>
  <c r="H119" i="28"/>
  <c r="E119" i="28"/>
  <c r="L119" i="28" s="1"/>
  <c r="C119" i="28"/>
  <c r="B119" i="28"/>
  <c r="A119" i="28"/>
  <c r="E118" i="28"/>
  <c r="L118" i="28" s="1"/>
  <c r="C118" i="28"/>
  <c r="B118" i="28"/>
  <c r="A118" i="28"/>
  <c r="H117" i="28"/>
  <c r="E117" i="28"/>
  <c r="L117" i="28" s="1"/>
  <c r="C117" i="28"/>
  <c r="B117" i="28"/>
  <c r="A117" i="28"/>
  <c r="H116" i="28"/>
  <c r="E116" i="28"/>
  <c r="L116" i="28" s="1"/>
  <c r="C116" i="28"/>
  <c r="B116" i="28"/>
  <c r="A116" i="28"/>
  <c r="H115" i="28"/>
  <c r="E115" i="28"/>
  <c r="L115" i="28" s="1"/>
  <c r="C115" i="28"/>
  <c r="A115" i="28"/>
  <c r="H91" i="28"/>
  <c r="C91" i="28"/>
  <c r="B91" i="28"/>
  <c r="A91" i="28"/>
  <c r="H89" i="28"/>
  <c r="E89" i="28"/>
  <c r="L89" i="28" s="1"/>
  <c r="C89" i="28"/>
  <c r="B89" i="28"/>
  <c r="A89" i="28"/>
  <c r="H80" i="28"/>
  <c r="E80" i="28"/>
  <c r="L80" i="28" s="1"/>
  <c r="C80" i="28"/>
  <c r="B80" i="28"/>
  <c r="A80" i="28"/>
  <c r="H79" i="28"/>
  <c r="E79" i="28"/>
  <c r="L79" i="28" s="1"/>
  <c r="C79" i="28"/>
  <c r="B79" i="28"/>
  <c r="A79" i="28"/>
  <c r="H78" i="28"/>
  <c r="E78" i="28"/>
  <c r="L78" i="28" s="1"/>
  <c r="C78" i="28"/>
  <c r="B78" i="28"/>
  <c r="A78" i="28"/>
  <c r="H77" i="28"/>
  <c r="E77" i="28"/>
  <c r="L77" i="28" s="1"/>
  <c r="C77" i="28"/>
  <c r="B77" i="28"/>
  <c r="A77" i="28"/>
  <c r="H76" i="28"/>
  <c r="E76" i="28"/>
  <c r="L76" i="28" s="1"/>
  <c r="C76" i="28"/>
  <c r="B76" i="28"/>
  <c r="A76" i="28"/>
  <c r="H75" i="28"/>
  <c r="E75" i="28"/>
  <c r="L75" i="28" s="1"/>
  <c r="C75" i="28"/>
  <c r="B75" i="28"/>
  <c r="A75" i="28"/>
  <c r="H74" i="28"/>
  <c r="E74" i="28"/>
  <c r="L74" i="28" s="1"/>
  <c r="C74" i="28"/>
  <c r="B74" i="28"/>
  <c r="A74" i="28"/>
  <c r="H73" i="28"/>
  <c r="E73" i="28"/>
  <c r="L73" i="28" s="1"/>
  <c r="C73" i="28"/>
  <c r="B73" i="28"/>
  <c r="A73" i="28"/>
  <c r="H72" i="28"/>
  <c r="E72" i="28"/>
  <c r="L72" i="28" s="1"/>
  <c r="C72" i="28"/>
  <c r="B72" i="28"/>
  <c r="A72" i="28"/>
  <c r="H71" i="28"/>
  <c r="E71" i="28"/>
  <c r="L71" i="28" s="1"/>
  <c r="C71" i="28"/>
  <c r="B71" i="28"/>
  <c r="A71" i="28"/>
  <c r="H70" i="28"/>
  <c r="E70" i="28"/>
  <c r="L70" i="28" s="1"/>
  <c r="C70" i="28"/>
  <c r="B70" i="28"/>
  <c r="A70" i="28"/>
  <c r="H69" i="28"/>
  <c r="E69" i="28"/>
  <c r="L69" i="28" s="1"/>
  <c r="C69" i="28"/>
  <c r="B69" i="28"/>
  <c r="A69" i="28"/>
  <c r="H66" i="28"/>
  <c r="E66" i="28"/>
  <c r="L66" i="28" s="1"/>
  <c r="C66" i="28"/>
  <c r="B66" i="28"/>
  <c r="A66" i="28"/>
  <c r="H65" i="28"/>
  <c r="E65" i="28"/>
  <c r="L65" i="28" s="1"/>
  <c r="D12" i="80" s="1"/>
  <c r="F12" i="80" s="1"/>
  <c r="C65" i="28"/>
  <c r="B65" i="28"/>
  <c r="A65" i="28"/>
  <c r="H64" i="28"/>
  <c r="E64" i="28"/>
  <c r="L64" i="28" s="1"/>
  <c r="C64" i="28"/>
  <c r="B64" i="28"/>
  <c r="A64" i="28"/>
  <c r="H63" i="28"/>
  <c r="E63" i="28"/>
  <c r="L63" i="28" s="1"/>
  <c r="C63" i="28"/>
  <c r="B63" i="28"/>
  <c r="A63" i="28"/>
  <c r="H62" i="28"/>
  <c r="E62" i="28"/>
  <c r="L62" i="28" s="1"/>
  <c r="C62" i="28"/>
  <c r="B62" i="28"/>
  <c r="A62" i="28"/>
  <c r="H61" i="28"/>
  <c r="E61" i="28"/>
  <c r="L61" i="28" s="1"/>
  <c r="C61" i="28"/>
  <c r="B61" i="28"/>
  <c r="A61" i="28"/>
  <c r="H60" i="28"/>
  <c r="E60" i="28"/>
  <c r="L60" i="28" s="1"/>
  <c r="C60" i="28"/>
  <c r="B60" i="28"/>
  <c r="A60" i="28"/>
  <c r="H59" i="28"/>
  <c r="E59" i="28"/>
  <c r="L59" i="28" s="1"/>
  <c r="C59" i="28"/>
  <c r="B59" i="28"/>
  <c r="A59" i="28"/>
  <c r="H58" i="28"/>
  <c r="E58" i="28"/>
  <c r="L58" i="28" s="1"/>
  <c r="C58" i="28"/>
  <c r="B58" i="28"/>
  <c r="A58" i="28"/>
  <c r="H57" i="28"/>
  <c r="E57" i="28"/>
  <c r="L57" i="28" s="1"/>
  <c r="C57" i="28"/>
  <c r="B57" i="28"/>
  <c r="A57" i="28"/>
  <c r="H56" i="28"/>
  <c r="E56" i="28"/>
  <c r="L56" i="28" s="1"/>
  <c r="C56" i="28"/>
  <c r="B56" i="28"/>
  <c r="A56" i="28"/>
  <c r="H55" i="28"/>
  <c r="E55" i="28"/>
  <c r="L55" i="28" s="1"/>
  <c r="C55" i="28"/>
  <c r="B55" i="28"/>
  <c r="A55" i="28"/>
  <c r="E54" i="28"/>
  <c r="L54" i="28" s="1"/>
  <c r="C54" i="28"/>
  <c r="B54" i="28"/>
  <c r="A54" i="28"/>
  <c r="H53" i="28"/>
  <c r="E53" i="28"/>
  <c r="L53" i="28" s="1"/>
  <c r="C53" i="28"/>
  <c r="B53" i="28"/>
  <c r="A53" i="28"/>
  <c r="H52" i="28"/>
  <c r="E52" i="28"/>
  <c r="L52" i="28" s="1"/>
  <c r="C52" i="28"/>
  <c r="B52" i="28"/>
  <c r="A52" i="28"/>
  <c r="H37" i="28"/>
  <c r="E37" i="28"/>
  <c r="L37" i="28" s="1"/>
  <c r="C37" i="28"/>
  <c r="B37" i="28"/>
  <c r="A37" i="28"/>
  <c r="H36" i="28"/>
  <c r="E36" i="28"/>
  <c r="L36" i="28" s="1"/>
  <c r="C36" i="28"/>
  <c r="B36" i="28"/>
  <c r="A36" i="28"/>
  <c r="H35" i="28"/>
  <c r="E35" i="28"/>
  <c r="L35" i="28" s="1"/>
  <c r="C35" i="28"/>
  <c r="B35" i="28"/>
  <c r="A35" i="28"/>
  <c r="H34" i="28"/>
  <c r="E34" i="28"/>
  <c r="L34" i="28" s="1"/>
  <c r="C34" i="28"/>
  <c r="B34" i="28"/>
  <c r="A34" i="28"/>
  <c r="H33" i="28"/>
  <c r="E33" i="28"/>
  <c r="L33" i="28" s="1"/>
  <c r="C33" i="28"/>
  <c r="B33" i="28"/>
  <c r="A33" i="28"/>
  <c r="H32" i="28"/>
  <c r="E32" i="28"/>
  <c r="L32" i="28" s="1"/>
  <c r="C32" i="28"/>
  <c r="B32" i="28"/>
  <c r="A32" i="28"/>
  <c r="H31" i="28"/>
  <c r="E31" i="28"/>
  <c r="L31" i="28" s="1"/>
  <c r="C31" i="28"/>
  <c r="B31" i="28"/>
  <c r="A31" i="28"/>
  <c r="H30" i="28"/>
  <c r="E30" i="28"/>
  <c r="L30" i="28" s="1"/>
  <c r="C30" i="28"/>
  <c r="B30" i="28"/>
  <c r="A30" i="28"/>
  <c r="H29" i="28"/>
  <c r="E29" i="28"/>
  <c r="L29" i="28" s="1"/>
  <c r="C29" i="28"/>
  <c r="B29" i="28"/>
  <c r="A29" i="28"/>
  <c r="H28" i="28"/>
  <c r="E28" i="28"/>
  <c r="L28" i="28" s="1"/>
  <c r="C28" i="28"/>
  <c r="B28" i="28"/>
  <c r="A28" i="28"/>
  <c r="H27" i="28"/>
  <c r="E27" i="28"/>
  <c r="L27" i="28" s="1"/>
  <c r="C27" i="28"/>
  <c r="B27" i="28"/>
  <c r="A27" i="28"/>
  <c r="H26" i="28"/>
  <c r="E26" i="28"/>
  <c r="L26" i="28" s="1"/>
  <c r="C26" i="28"/>
  <c r="B26" i="28"/>
  <c r="A26" i="28"/>
  <c r="H25" i="28"/>
  <c r="E25" i="28"/>
  <c r="L25" i="28" s="1"/>
  <c r="C25" i="28"/>
  <c r="B25" i="28"/>
  <c r="A25" i="28"/>
  <c r="H24" i="28"/>
  <c r="E24" i="28"/>
  <c r="L24" i="28" s="1"/>
  <c r="C24" i="28"/>
  <c r="B24" i="28"/>
  <c r="A24" i="28"/>
  <c r="H23" i="28"/>
  <c r="E23" i="28"/>
  <c r="L23" i="28" s="1"/>
  <c r="C23" i="28"/>
  <c r="B23" i="28"/>
  <c r="A23" i="28"/>
  <c r="H22" i="28"/>
  <c r="E22" i="28"/>
  <c r="L22" i="28" s="1"/>
  <c r="C22" i="28"/>
  <c r="B22" i="28"/>
  <c r="A22" i="28"/>
  <c r="H21" i="28"/>
  <c r="E21" i="28"/>
  <c r="L21" i="28" s="1"/>
  <c r="C21" i="28"/>
  <c r="B21" i="28"/>
  <c r="A21" i="28"/>
  <c r="H20" i="28"/>
  <c r="E20" i="28"/>
  <c r="L20" i="28" s="1"/>
  <c r="C20" i="28"/>
  <c r="B20" i="28"/>
  <c r="A20" i="28"/>
  <c r="H19" i="28"/>
  <c r="E19" i="28"/>
  <c r="L19" i="28" s="1"/>
  <c r="C19" i="28"/>
  <c r="B19" i="28"/>
  <c r="A19" i="28"/>
  <c r="H18" i="28"/>
  <c r="E18" i="28"/>
  <c r="L18" i="28" s="1"/>
  <c r="C18" i="28"/>
  <c r="B18" i="28"/>
  <c r="A18" i="28"/>
  <c r="H17" i="28"/>
  <c r="E17" i="28"/>
  <c r="C17" i="28"/>
  <c r="B17" i="28"/>
  <c r="A17" i="28"/>
  <c r="E16" i="28"/>
  <c r="L16" i="28" s="1"/>
  <c r="C16" i="28"/>
  <c r="B16" i="28"/>
  <c r="A16" i="28"/>
  <c r="E15" i="28"/>
  <c r="L15" i="28" s="1"/>
  <c r="C15" i="28"/>
  <c r="B15" i="28"/>
  <c r="A15" i="28"/>
  <c r="E14" i="28"/>
  <c r="L14" i="28" s="1"/>
  <c r="C14" i="28"/>
  <c r="B14" i="28"/>
  <c r="A14" i="28"/>
  <c r="E13" i="28"/>
  <c r="L13" i="28" s="1"/>
  <c r="C13" i="28"/>
  <c r="B13" i="28"/>
  <c r="A13" i="28"/>
  <c r="E12" i="28"/>
  <c r="L12" i="28" s="1"/>
  <c r="C12" i="28"/>
  <c r="B12" i="28"/>
  <c r="A12" i="28"/>
  <c r="E11" i="28"/>
  <c r="L11" i="28" s="1"/>
  <c r="C11" i="28"/>
  <c r="B11" i="28"/>
  <c r="A11" i="28"/>
  <c r="H10" i="28"/>
  <c r="C10" i="28"/>
  <c r="B10" i="28"/>
  <c r="A10" i="28"/>
  <c r="H9" i="28"/>
  <c r="E9" i="28"/>
  <c r="L9" i="28" s="1"/>
  <c r="C9" i="28"/>
  <c r="B9" i="28"/>
  <c r="A9" i="28"/>
  <c r="H8" i="28"/>
  <c r="E8" i="28"/>
  <c r="L8" i="28" s="1"/>
  <c r="C8" i="28"/>
  <c r="B8" i="28"/>
  <c r="A8" i="28"/>
  <c r="H7" i="28"/>
  <c r="G7" i="28"/>
  <c r="E7" i="28"/>
  <c r="C7" i="28"/>
  <c r="B7" i="28"/>
  <c r="A7" i="28"/>
  <c r="H6" i="28"/>
  <c r="E6" i="28"/>
  <c r="L6" i="28" s="1"/>
  <c r="C6" i="28"/>
  <c r="B6" i="28"/>
  <c r="A6" i="28"/>
  <c r="H5" i="28"/>
  <c r="E5" i="28"/>
  <c r="L5" i="28" s="1"/>
  <c r="C5" i="28"/>
  <c r="B5" i="28"/>
  <c r="A5" i="28"/>
  <c r="C2" i="28"/>
  <c r="G302" i="1"/>
  <c r="G298" i="1"/>
  <c r="H295" i="1"/>
  <c r="G295" i="1" s="1"/>
  <c r="H294" i="1"/>
  <c r="G294" i="1" s="1"/>
  <c r="H293" i="1"/>
  <c r="G293" i="1" s="1"/>
  <c r="G292" i="1"/>
  <c r="G291" i="1"/>
  <c r="G290" i="1"/>
  <c r="G289" i="1"/>
  <c r="G282" i="1"/>
  <c r="G279" i="1"/>
  <c r="G278" i="1"/>
  <c r="G277" i="1"/>
  <c r="H274" i="1"/>
  <c r="G274" i="1" s="1"/>
  <c r="H273" i="1"/>
  <c r="H272" i="1"/>
  <c r="G271" i="1"/>
  <c r="H268" i="1"/>
  <c r="G268" i="1" s="1"/>
  <c r="H267" i="1"/>
  <c r="G267" i="1"/>
  <c r="H266" i="1"/>
  <c r="G266" i="1"/>
  <c r="G265" i="1"/>
  <c r="L260" i="1"/>
  <c r="G260" i="1"/>
  <c r="G259" i="1"/>
  <c r="G258" i="1"/>
  <c r="G257" i="1"/>
  <c r="G255" i="1"/>
  <c r="F249" i="1"/>
  <c r="G248" i="1"/>
  <c r="G247" i="1"/>
  <c r="G246" i="1"/>
  <c r="G245" i="1"/>
  <c r="F243" i="1"/>
  <c r="G242" i="1"/>
  <c r="G241" i="1"/>
  <c r="G240" i="1"/>
  <c r="G239" i="1"/>
  <c r="F237" i="1"/>
  <c r="E195" i="28"/>
  <c r="L195" i="28" s="1"/>
  <c r="E194" i="28"/>
  <c r="L194" i="28" s="1"/>
  <c r="G221" i="1"/>
  <c r="G216" i="1"/>
  <c r="G212" i="1"/>
  <c r="G210" i="1"/>
  <c r="G209" i="1"/>
  <c r="G206" i="1"/>
  <c r="G205" i="1"/>
  <c r="H198" i="1"/>
  <c r="G198" i="1" s="1"/>
  <c r="G197" i="1"/>
  <c r="G196" i="1"/>
  <c r="G195" i="1"/>
  <c r="G194" i="1"/>
  <c r="G193" i="1"/>
  <c r="G192" i="1"/>
  <c r="G191" i="1"/>
  <c r="G190" i="1"/>
  <c r="G189" i="1"/>
  <c r="G188" i="1"/>
  <c r="H182" i="1"/>
  <c r="G182" i="1" s="1"/>
  <c r="G181" i="1"/>
  <c r="G179" i="1"/>
  <c r="G178" i="1"/>
  <c r="G177" i="1"/>
  <c r="G175" i="1"/>
  <c r="G174" i="1"/>
  <c r="G173" i="1"/>
  <c r="H168" i="1"/>
  <c r="G168" i="1" s="1"/>
  <c r="G154" i="1"/>
  <c r="G152" i="1"/>
  <c r="G151" i="1"/>
  <c r="H149" i="1"/>
  <c r="G149" i="1"/>
  <c r="H183" i="1"/>
  <c r="E124" i="28"/>
  <c r="L124" i="28" s="1"/>
  <c r="G138" i="1"/>
  <c r="G136" i="1"/>
  <c r="G116" i="28"/>
  <c r="G101" i="1"/>
  <c r="G98" i="1"/>
  <c r="H87" i="1"/>
  <c r="G87" i="1" s="1"/>
  <c r="G85" i="1"/>
  <c r="G82" i="1"/>
  <c r="G80" i="1"/>
  <c r="G79" i="1"/>
  <c r="H72" i="1"/>
  <c r="G72" i="1"/>
  <c r="H89" i="1"/>
  <c r="G71" i="1"/>
  <c r="G70" i="1"/>
  <c r="G69" i="1"/>
  <c r="G68" i="1"/>
  <c r="G67" i="1"/>
  <c r="G66" i="1"/>
  <c r="G65" i="1"/>
  <c r="G64" i="1"/>
  <c r="G63" i="1"/>
  <c r="G62" i="1"/>
  <c r="G61" i="1"/>
  <c r="G60" i="1"/>
  <c r="G59" i="1"/>
  <c r="G42" i="1"/>
  <c r="G39" i="1"/>
  <c r="O34" i="28"/>
  <c r="H37" i="1"/>
  <c r="G37" i="1" s="1"/>
  <c r="O33" i="28"/>
  <c r="G35" i="1"/>
  <c r="G34" i="1"/>
  <c r="G33" i="1"/>
  <c r="G32" i="1"/>
  <c r="G31" i="1"/>
  <c r="G30" i="1"/>
  <c r="G29" i="1"/>
  <c r="G28" i="1"/>
  <c r="G26" i="1"/>
  <c r="G25" i="1"/>
  <c r="H23" i="1"/>
  <c r="G23" i="1" s="1"/>
  <c r="O21" i="28"/>
  <c r="O20" i="28"/>
  <c r="G20" i="1"/>
  <c r="G18" i="1"/>
  <c r="G11" i="1"/>
  <c r="G10" i="1"/>
  <c r="G8" i="1"/>
  <c r="G7" i="1"/>
  <c r="L291" i="28"/>
  <c r="Y291" i="28" s="1"/>
  <c r="D6" i="73" l="1"/>
  <c r="F9" i="80" s="1"/>
  <c r="N24" i="80"/>
  <c r="D24" i="80" s="1"/>
  <c r="F24" i="80" s="1"/>
  <c r="N23" i="80"/>
  <c r="D23" i="80" s="1"/>
  <c r="F23" i="80" s="1"/>
  <c r="M18" i="80"/>
  <c r="D18" i="80" s="1"/>
  <c r="D37" i="80"/>
  <c r="F37" i="80" s="1"/>
  <c r="N16" i="80"/>
  <c r="D16" i="80" s="1"/>
  <c r="F16" i="80" s="1"/>
  <c r="N17" i="80"/>
  <c r="D17" i="80" s="1"/>
  <c r="F17" i="80" s="1"/>
  <c r="N14" i="80"/>
  <c r="L7" i="80"/>
  <c r="E9" i="80" s="1"/>
  <c r="M20" i="73"/>
  <c r="F20" i="73" s="1"/>
  <c r="M14" i="73"/>
  <c r="D14" i="73" s="1"/>
  <c r="D9" i="73"/>
  <c r="D8" i="73"/>
  <c r="M12" i="73"/>
  <c r="F12" i="73" s="1"/>
  <c r="F14" i="80" s="1"/>
  <c r="M19" i="73"/>
  <c r="D19" i="73" s="1"/>
  <c r="F19" i="73" s="1"/>
  <c r="G124" i="28"/>
  <c r="F124" i="28"/>
  <c r="K15" i="73"/>
  <c r="K5" i="73"/>
  <c r="E6" i="73" s="1"/>
  <c r="H298" i="42"/>
  <c r="H299" i="42" s="1"/>
  <c r="P298" i="42"/>
  <c r="P299" i="42" s="1"/>
  <c r="X298" i="42"/>
  <c r="X299" i="42" s="1"/>
  <c r="AF298" i="42"/>
  <c r="AF299" i="42" s="1"/>
  <c r="AN298" i="42"/>
  <c r="AN299" i="42" s="1"/>
  <c r="AV298" i="42"/>
  <c r="AV299" i="42" s="1"/>
  <c r="E298" i="42"/>
  <c r="E299" i="42" s="1"/>
  <c r="D10" i="73"/>
  <c r="F10" i="73" s="1"/>
  <c r="L263" i="28"/>
  <c r="L262" i="28"/>
  <c r="M13" i="73"/>
  <c r="W180" i="28"/>
  <c r="W198" i="28"/>
  <c r="W280" i="28"/>
  <c r="W7" i="28"/>
  <c r="W56" i="28"/>
  <c r="W64" i="28"/>
  <c r="W74" i="28"/>
  <c r="W91" i="28"/>
  <c r="W116" i="28"/>
  <c r="W121" i="28"/>
  <c r="W132" i="28"/>
  <c r="W137" i="28"/>
  <c r="W142" i="28"/>
  <c r="W147" i="28"/>
  <c r="W155" i="28"/>
  <c r="W169" i="28"/>
  <c r="W177" i="28"/>
  <c r="W185" i="28"/>
  <c r="W190" i="28"/>
  <c r="W203" i="28"/>
  <c r="W211" i="28"/>
  <c r="W216" i="28"/>
  <c r="W225" i="28"/>
  <c r="W231" i="28"/>
  <c r="W283" i="28"/>
  <c r="W150" i="28"/>
  <c r="W18" i="28"/>
  <c r="W26" i="28"/>
  <c r="W34" i="28"/>
  <c r="W61" i="28"/>
  <c r="W71" i="28"/>
  <c r="W79" i="28"/>
  <c r="W123" i="28"/>
  <c r="W144" i="28"/>
  <c r="W152" i="28"/>
  <c r="W160" i="28"/>
  <c r="W166" i="28"/>
  <c r="W174" i="28"/>
  <c r="W182" i="28"/>
  <c r="W195" i="28"/>
  <c r="W200" i="28"/>
  <c r="W208" i="28"/>
  <c r="W218" i="28"/>
  <c r="W222" i="28"/>
  <c r="W227" i="28"/>
  <c r="W233" i="28"/>
  <c r="W235" i="28"/>
  <c r="W237" i="28"/>
  <c r="W239" i="28"/>
  <c r="W278" i="28"/>
  <c r="W206" i="28"/>
  <c r="W16" i="28"/>
  <c r="W37" i="28"/>
  <c r="W23" i="28"/>
  <c r="W53" i="28"/>
  <c r="W58" i="28"/>
  <c r="W66" i="28"/>
  <c r="W139" i="28"/>
  <c r="W149" i="28"/>
  <c r="W157" i="28"/>
  <c r="W163" i="28"/>
  <c r="W171" i="28"/>
  <c r="W179" i="28"/>
  <c r="W187" i="28"/>
  <c r="W197" i="28"/>
  <c r="W205" i="28"/>
  <c r="W213" i="28"/>
  <c r="W241" i="28"/>
  <c r="W245" i="28"/>
  <c r="W281" i="28"/>
  <c r="W32" i="28"/>
  <c r="W6" i="28"/>
  <c r="W9" i="28"/>
  <c r="W20" i="28"/>
  <c r="W28" i="28"/>
  <c r="W36" i="28"/>
  <c r="W55" i="28"/>
  <c r="W63" i="28"/>
  <c r="W73" i="28"/>
  <c r="W89" i="28"/>
  <c r="W120" i="28"/>
  <c r="W131" i="28"/>
  <c r="W141" i="28"/>
  <c r="W146" i="28"/>
  <c r="W154" i="28"/>
  <c r="W168" i="28"/>
  <c r="W176" i="28"/>
  <c r="W184" i="28"/>
  <c r="W189" i="28"/>
  <c r="W202" i="28"/>
  <c r="W210" i="28"/>
  <c r="W220" i="28"/>
  <c r="W224" i="28"/>
  <c r="W230" i="28"/>
  <c r="W284" i="28"/>
  <c r="W24" i="28"/>
  <c r="W54" i="28"/>
  <c r="W59" i="28"/>
  <c r="W69" i="28"/>
  <c r="W77" i="28"/>
  <c r="W214" i="28"/>
  <c r="W242" i="28"/>
  <c r="W12" i="28"/>
  <c r="W21" i="28"/>
  <c r="W29" i="28"/>
  <c r="W118" i="28"/>
  <c r="W11" i="28"/>
  <c r="W13" i="28"/>
  <c r="W15" i="28"/>
  <c r="W17" i="28"/>
  <c r="W25" i="28"/>
  <c r="W33" i="28"/>
  <c r="W60" i="28"/>
  <c r="W70" i="28"/>
  <c r="W78" i="28"/>
  <c r="W115" i="28"/>
  <c r="W122" i="28"/>
  <c r="W136" i="28"/>
  <c r="W151" i="28"/>
  <c r="W159" i="28"/>
  <c r="W165" i="28"/>
  <c r="W173" i="28"/>
  <c r="W181" i="28"/>
  <c r="W199" i="28"/>
  <c r="W207" i="28"/>
  <c r="W215" i="28"/>
  <c r="W217" i="28"/>
  <c r="W226" i="28"/>
  <c r="W279" i="28"/>
  <c r="W135" i="28"/>
  <c r="W164" i="28"/>
  <c r="W172" i="28"/>
  <c r="W14" i="28"/>
  <c r="W31" i="28"/>
  <c r="W76" i="28"/>
  <c r="W134" i="28"/>
  <c r="W22" i="28"/>
  <c r="W30" i="28"/>
  <c r="W52" i="28"/>
  <c r="W57" i="28"/>
  <c r="W65" i="28"/>
  <c r="W75" i="28"/>
  <c r="W117" i="28"/>
  <c r="W133" i="28"/>
  <c r="W138" i="28"/>
  <c r="W143" i="28"/>
  <c r="W148" i="28"/>
  <c r="W156" i="28"/>
  <c r="W162" i="28"/>
  <c r="W170" i="28"/>
  <c r="W178" i="28"/>
  <c r="W186" i="28"/>
  <c r="W194" i="28"/>
  <c r="W196" i="28"/>
  <c r="W204" i="28"/>
  <c r="W212" i="28"/>
  <c r="W232" i="28"/>
  <c r="W234" i="28"/>
  <c r="W236" i="28"/>
  <c r="W238" i="28"/>
  <c r="W240" i="28"/>
  <c r="W282" i="28"/>
  <c r="W158" i="28"/>
  <c r="W10" i="28"/>
  <c r="W5" i="28"/>
  <c r="W8" i="28"/>
  <c r="W19" i="28"/>
  <c r="W27" i="28"/>
  <c r="W35" i="28"/>
  <c r="W62" i="28"/>
  <c r="W72" i="28"/>
  <c r="W80" i="28"/>
  <c r="W119" i="28"/>
  <c r="W130" i="28"/>
  <c r="W140" i="28"/>
  <c r="W145" i="28"/>
  <c r="W153" i="28"/>
  <c r="W167" i="28"/>
  <c r="W175" i="28"/>
  <c r="W183" i="28"/>
  <c r="W188" i="28"/>
  <c r="W201" i="28"/>
  <c r="W209" i="28"/>
  <c r="W219" i="28"/>
  <c r="W223" i="28"/>
  <c r="W228" i="28"/>
  <c r="W277" i="28"/>
  <c r="L231" i="28"/>
  <c r="Y231" i="28" s="1"/>
  <c r="L7" i="28"/>
  <c r="L17" i="28"/>
  <c r="F233" i="28"/>
  <c r="Y233" i="28"/>
  <c r="Y277" i="28"/>
  <c r="O151" i="28"/>
  <c r="L279" i="28"/>
  <c r="L282" i="28"/>
  <c r="Q282" i="28" s="1"/>
  <c r="L280" i="28"/>
  <c r="X233" i="28"/>
  <c r="L283" i="28"/>
  <c r="Q283" i="28" s="1"/>
  <c r="L278" i="28"/>
  <c r="L281" i="28"/>
  <c r="Y170" i="28"/>
  <c r="L284" i="28"/>
  <c r="Q284" i="28" s="1"/>
  <c r="X266" i="28"/>
  <c r="X267" i="28"/>
  <c r="E143" i="28"/>
  <c r="L143" i="28" s="1"/>
  <c r="M18" i="73" s="1"/>
  <c r="F18" i="73" s="1"/>
  <c r="F21" i="80" s="1"/>
  <c r="E230" i="1"/>
  <c r="E10" i="28"/>
  <c r="L10" i="28" s="1"/>
  <c r="L261" i="28" s="1"/>
  <c r="G12" i="1"/>
  <c r="Y66" i="28"/>
  <c r="G13" i="1"/>
  <c r="G14" i="1"/>
  <c r="G15" i="1"/>
  <c r="G16" i="1"/>
  <c r="G17" i="1"/>
  <c r="E91" i="28"/>
  <c r="L91" i="28" s="1"/>
  <c r="O133" i="28"/>
  <c r="E237" i="1"/>
  <c r="O65" i="28"/>
  <c r="O19" i="28"/>
  <c r="E243" i="1"/>
  <c r="X268" i="28"/>
  <c r="Y55" i="28"/>
  <c r="F9" i="28"/>
  <c r="Y136" i="28"/>
  <c r="E249" i="1"/>
  <c r="H199" i="1"/>
  <c r="F230" i="1"/>
  <c r="F250" i="1" s="1"/>
  <c r="Y156" i="28"/>
  <c r="L8" i="80" l="1"/>
  <c r="N21" i="80"/>
  <c r="K9" i="73"/>
  <c r="F9" i="73" s="1"/>
  <c r="L11" i="80"/>
  <c r="D20" i="73"/>
  <c r="G143" i="28"/>
  <c r="F143" i="28"/>
  <c r="D12" i="73"/>
  <c r="F14" i="73"/>
  <c r="D13" i="73"/>
  <c r="F13" i="73" s="1"/>
  <c r="D15" i="73"/>
  <c r="F15" i="73" s="1"/>
  <c r="K8" i="73"/>
  <c r="L8" i="73" s="1"/>
  <c r="L10" i="80" s="1"/>
  <c r="E8" i="73"/>
  <c r="K6" i="73"/>
  <c r="L6" i="73" s="1"/>
  <c r="L9" i="80" s="1"/>
  <c r="L265" i="28"/>
  <c r="B19" i="71"/>
  <c r="B21" i="71" s="1"/>
  <c r="G19" i="71" s="1"/>
  <c r="B9" i="71"/>
  <c r="F27" i="71" s="1"/>
  <c r="X231" i="28"/>
  <c r="F34" i="28"/>
  <c r="G178" i="28"/>
  <c r="Q178" i="28" s="1"/>
  <c r="Q138" i="28"/>
  <c r="F80" i="28"/>
  <c r="Q153" i="28"/>
  <c r="G153" i="28" s="1"/>
  <c r="Q120" i="28"/>
  <c r="G120" i="28" s="1"/>
  <c r="F164" i="28"/>
  <c r="Q55" i="28"/>
  <c r="G55" i="28" s="1"/>
  <c r="F131" i="28"/>
  <c r="Q168" i="28"/>
  <c r="G168" i="28" s="1"/>
  <c r="Y280" i="28"/>
  <c r="Q280" i="28"/>
  <c r="Y281" i="28"/>
  <c r="Q281" i="28"/>
  <c r="Q151" i="28"/>
  <c r="Y237" i="28"/>
  <c r="Y279" i="28"/>
  <c r="Q279" i="28"/>
  <c r="Y122" i="28"/>
  <c r="Q122" i="28"/>
  <c r="G122" i="28" s="1"/>
  <c r="Y238" i="28"/>
  <c r="Y239" i="28"/>
  <c r="Y278" i="28"/>
  <c r="Q278" i="28"/>
  <c r="Q131" i="28"/>
  <c r="G131" i="28" s="1"/>
  <c r="F162" i="28"/>
  <c r="Y162" i="28"/>
  <c r="F148" i="28"/>
  <c r="Y148" i="28"/>
  <c r="Y283" i="28"/>
  <c r="X151" i="28"/>
  <c r="Y151" i="28"/>
  <c r="Y73" i="28"/>
  <c r="X129" i="28"/>
  <c r="Y129" i="28"/>
  <c r="F214" i="28"/>
  <c r="Y214" i="28"/>
  <c r="F18" i="28"/>
  <c r="Y18" i="28"/>
  <c r="F142" i="28"/>
  <c r="Y142" i="28"/>
  <c r="X21" i="28"/>
  <c r="Y21" i="28"/>
  <c r="F213" i="28"/>
  <c r="Y213" i="28"/>
  <c r="X241" i="28"/>
  <c r="Y241" i="28"/>
  <c r="F76" i="28"/>
  <c r="Y76" i="28"/>
  <c r="F25" i="28"/>
  <c r="Y25" i="28"/>
  <c r="X201" i="28"/>
  <c r="Y201" i="28"/>
  <c r="X117" i="28"/>
  <c r="Y117" i="28"/>
  <c r="F228" i="28"/>
  <c r="Y228" i="28"/>
  <c r="X178" i="28"/>
  <c r="Y178" i="28"/>
  <c r="X78" i="28"/>
  <c r="Y78" i="28"/>
  <c r="X5" i="28"/>
  <c r="Y5" i="28"/>
  <c r="X150" i="28"/>
  <c r="Y150" i="28"/>
  <c r="F140" i="28"/>
  <c r="Y140" i="28"/>
  <c r="F138" i="28"/>
  <c r="Y138" i="28"/>
  <c r="X127" i="28"/>
  <c r="Y127" i="28"/>
  <c r="X242" i="28"/>
  <c r="Y242" i="28"/>
  <c r="F63" i="28"/>
  <c r="Y63" i="28"/>
  <c r="X216" i="28"/>
  <c r="Y216" i="28"/>
  <c r="X58" i="28"/>
  <c r="Y58" i="28"/>
  <c r="X206" i="28"/>
  <c r="Y206" i="28"/>
  <c r="F137" i="28"/>
  <c r="Y137" i="28"/>
  <c r="X16" i="28"/>
  <c r="Y16" i="28"/>
  <c r="X219" i="28"/>
  <c r="Y219" i="28"/>
  <c r="X208" i="28"/>
  <c r="Y208" i="28"/>
  <c r="F235" i="28"/>
  <c r="Y235" i="28"/>
  <c r="X72" i="28"/>
  <c r="Y72" i="28"/>
  <c r="F169" i="28"/>
  <c r="Y169" i="28"/>
  <c r="Y180" i="28"/>
  <c r="X74" i="28"/>
  <c r="Y74" i="28"/>
  <c r="F227" i="28"/>
  <c r="Y227" i="28"/>
  <c r="F184" i="28"/>
  <c r="Y184" i="28"/>
  <c r="Y284" i="28"/>
  <c r="F135" i="28"/>
  <c r="Y135" i="28"/>
  <c r="X245" i="28"/>
  <c r="Y245" i="28"/>
  <c r="F130" i="28"/>
  <c r="Y130" i="28"/>
  <c r="F224" i="28"/>
  <c r="Y224" i="28"/>
  <c r="X133" i="28"/>
  <c r="Y133" i="28"/>
  <c r="X197" i="28"/>
  <c r="Y197" i="28"/>
  <c r="X222" i="28"/>
  <c r="Y222" i="28"/>
  <c r="X36" i="28"/>
  <c r="Y36" i="28"/>
  <c r="X190" i="28"/>
  <c r="Y190" i="28"/>
  <c r="X53" i="28"/>
  <c r="Y53" i="28"/>
  <c r="X198" i="28"/>
  <c r="Y198" i="28"/>
  <c r="F223" i="28"/>
  <c r="Y223" i="28"/>
  <c r="X132" i="28"/>
  <c r="Y132" i="28"/>
  <c r="X14" i="28"/>
  <c r="Y14" i="28"/>
  <c r="X167" i="28"/>
  <c r="Y167" i="28"/>
  <c r="X185" i="28"/>
  <c r="Y185" i="28"/>
  <c r="X200" i="28"/>
  <c r="Y200" i="28"/>
  <c r="Y65" i="28"/>
  <c r="F177" i="28"/>
  <c r="Y177" i="28"/>
  <c r="F218" i="28"/>
  <c r="Y218" i="28"/>
  <c r="X17" i="28"/>
  <c r="Y17" i="28"/>
  <c r="F212" i="28"/>
  <c r="Y212" i="28"/>
  <c r="F77" i="28"/>
  <c r="Y77" i="28"/>
  <c r="F226" i="28"/>
  <c r="Y226" i="28"/>
  <c r="X80" i="28"/>
  <c r="Y80" i="28"/>
  <c r="X210" i="28"/>
  <c r="Y210" i="28"/>
  <c r="F9" i="30"/>
  <c r="H9" i="30" s="1"/>
  <c r="Y57" i="28"/>
  <c r="X179" i="28"/>
  <c r="Y179" i="28"/>
  <c r="X33" i="28"/>
  <c r="Y33" i="28"/>
  <c r="F174" i="28"/>
  <c r="Y174" i="28"/>
  <c r="X20" i="28"/>
  <c r="Y20" i="28"/>
  <c r="X160" i="28"/>
  <c r="Y160" i="28"/>
  <c r="X195" i="28"/>
  <c r="Y195" i="28"/>
  <c r="F144" i="28"/>
  <c r="Y144" i="28"/>
  <c r="Y183" i="28"/>
  <c r="F116" i="28"/>
  <c r="Y116" i="28"/>
  <c r="X194" i="28"/>
  <c r="Y194" i="28"/>
  <c r="X199" i="28"/>
  <c r="Y199" i="28"/>
  <c r="X118" i="28"/>
  <c r="Y118" i="28"/>
  <c r="X24" i="28"/>
  <c r="Y24" i="28"/>
  <c r="X131" i="28"/>
  <c r="Y131" i="28"/>
  <c r="F20" i="30"/>
  <c r="Y60" i="28"/>
  <c r="X164" i="28"/>
  <c r="Y164" i="28"/>
  <c r="X12" i="28"/>
  <c r="Y12" i="28"/>
  <c r="F211" i="28"/>
  <c r="Y211" i="28"/>
  <c r="Y79" i="28"/>
  <c r="X165" i="28"/>
  <c r="Y165" i="28"/>
  <c r="X34" i="28"/>
  <c r="Y34" i="28"/>
  <c r="F8" i="28"/>
  <c r="Y8" i="28"/>
  <c r="X230" i="28"/>
  <c r="Y230" i="28"/>
  <c r="X204" i="28"/>
  <c r="Y204" i="28"/>
  <c r="X157" i="28"/>
  <c r="Y157" i="28"/>
  <c r="X75" i="28"/>
  <c r="Y75" i="28"/>
  <c r="X155" i="28"/>
  <c r="Y155" i="28"/>
  <c r="X32" i="28"/>
  <c r="Y32" i="28"/>
  <c r="X119" i="28"/>
  <c r="Y119" i="28"/>
  <c r="X7" i="28"/>
  <c r="Y7" i="28"/>
  <c r="X196" i="28"/>
  <c r="Y196" i="28"/>
  <c r="X69" i="28"/>
  <c r="Y69" i="28"/>
  <c r="X215" i="28"/>
  <c r="Y215" i="28"/>
  <c r="F62" i="28"/>
  <c r="Y62" i="28"/>
  <c r="X202" i="28"/>
  <c r="Y202" i="28"/>
  <c r="X52" i="28"/>
  <c r="Y52" i="28"/>
  <c r="X171" i="28"/>
  <c r="Y171" i="28"/>
  <c r="X15" i="28"/>
  <c r="Y15" i="28"/>
  <c r="F146" i="28"/>
  <c r="Y146" i="28"/>
  <c r="X9" i="28"/>
  <c r="Y9" i="28"/>
  <c r="F149" i="28"/>
  <c r="Y149" i="28"/>
  <c r="Y282" i="28"/>
  <c r="X126" i="28"/>
  <c r="Y126" i="28"/>
  <c r="F175" i="28"/>
  <c r="Y175" i="28"/>
  <c r="F64" i="28"/>
  <c r="Y64" i="28"/>
  <c r="X124" i="28"/>
  <c r="Y124" i="28"/>
  <c r="F145" i="28"/>
  <c r="Y145" i="28"/>
  <c r="F35" i="28"/>
  <c r="Y35" i="28"/>
  <c r="X70" i="28"/>
  <c r="Y70" i="28"/>
  <c r="F221" i="28"/>
  <c r="Y221" i="28"/>
  <c r="X220" i="28"/>
  <c r="Y220" i="28"/>
  <c r="F182" i="28"/>
  <c r="Y182" i="28"/>
  <c r="F31" i="28"/>
  <c r="Y31" i="28"/>
  <c r="X121" i="28"/>
  <c r="Y121" i="28"/>
  <c r="X203" i="28"/>
  <c r="Y203" i="28"/>
  <c r="X225" i="28"/>
  <c r="Y225" i="28"/>
  <c r="X232" i="28"/>
  <c r="Y232" i="28"/>
  <c r="X153" i="28"/>
  <c r="Y153" i="28"/>
  <c r="F71" i="28"/>
  <c r="Y71" i="28"/>
  <c r="X152" i="28"/>
  <c r="Y152" i="28"/>
  <c r="F6" i="28"/>
  <c r="Y6" i="28"/>
  <c r="F186" i="28"/>
  <c r="Y186" i="28"/>
  <c r="F59" i="28"/>
  <c r="Y59" i="28"/>
  <c r="F181" i="28"/>
  <c r="Y181" i="28"/>
  <c r="F27" i="28"/>
  <c r="Y27" i="28"/>
  <c r="X189" i="28"/>
  <c r="Y189" i="28"/>
  <c r="F30" i="28"/>
  <c r="Y30" i="28"/>
  <c r="X163" i="28"/>
  <c r="Y163" i="28"/>
  <c r="X13" i="28"/>
  <c r="Y13" i="28"/>
  <c r="F141" i="28"/>
  <c r="Y141" i="28"/>
  <c r="X240" i="28"/>
  <c r="Y240" i="28"/>
  <c r="F139" i="28"/>
  <c r="Y139" i="28"/>
  <c r="F236" i="28"/>
  <c r="Y236" i="28"/>
  <c r="X61" i="28"/>
  <c r="Y61" i="28"/>
  <c r="X158" i="28"/>
  <c r="Y158" i="28"/>
  <c r="F56" i="28"/>
  <c r="Y56" i="28"/>
  <c r="F29" i="28"/>
  <c r="Y29" i="28"/>
  <c r="X120" i="28"/>
  <c r="Y120" i="28"/>
  <c r="F217" i="28"/>
  <c r="Y217" i="28"/>
  <c r="X168" i="28"/>
  <c r="Y168" i="28"/>
  <c r="F172" i="28"/>
  <c r="Y172" i="28"/>
  <c r="X128" i="28"/>
  <c r="Y128" i="28"/>
  <c r="X125" i="28"/>
  <c r="Y125" i="28"/>
  <c r="X187" i="28"/>
  <c r="Y187" i="28"/>
  <c r="F28" i="28"/>
  <c r="Y28" i="28"/>
  <c r="X209" i="28"/>
  <c r="Y209" i="28"/>
  <c r="X207" i="28"/>
  <c r="Y207" i="28"/>
  <c r="X188" i="28"/>
  <c r="Y188" i="28"/>
  <c r="X115" i="28"/>
  <c r="Y115" i="28"/>
  <c r="X166" i="28"/>
  <c r="Y166" i="28"/>
  <c r="X123" i="28"/>
  <c r="Y123" i="28"/>
  <c r="F23" i="28"/>
  <c r="Y23" i="28"/>
  <c r="X205" i="28"/>
  <c r="Y205" i="28"/>
  <c r="X176" i="28"/>
  <c r="Y176" i="28"/>
  <c r="X54" i="28"/>
  <c r="Y54" i="28"/>
  <c r="X173" i="28"/>
  <c r="Y173" i="28"/>
  <c r="X19" i="28"/>
  <c r="Y19" i="28"/>
  <c r="F159" i="28"/>
  <c r="Y159" i="28"/>
  <c r="F22" i="28"/>
  <c r="Y22" i="28"/>
  <c r="F154" i="28"/>
  <c r="Y154" i="28"/>
  <c r="X11" i="28"/>
  <c r="Y11" i="28"/>
  <c r="X89" i="28"/>
  <c r="Y89" i="28"/>
  <c r="F134" i="28"/>
  <c r="Y134" i="28"/>
  <c r="X234" i="28"/>
  <c r="Y234" i="28"/>
  <c r="X26" i="28"/>
  <c r="Y26" i="28"/>
  <c r="F147" i="28"/>
  <c r="Y147" i="28"/>
  <c r="F37" i="28"/>
  <c r="Y37" i="28"/>
  <c r="X4" i="28"/>
  <c r="Y4" i="28"/>
  <c r="X122" i="28"/>
  <c r="F122" i="28"/>
  <c r="X278" i="28"/>
  <c r="X283" i="28"/>
  <c r="X280" i="28"/>
  <c r="X279" i="28"/>
  <c r="X291" i="28"/>
  <c r="X281" i="28"/>
  <c r="X284" i="28"/>
  <c r="X282" i="28"/>
  <c r="F11" i="30"/>
  <c r="H11" i="30" s="1"/>
  <c r="F61" i="28"/>
  <c r="F17" i="30"/>
  <c r="F171" i="28"/>
  <c r="X277" i="28"/>
  <c r="F60" i="28"/>
  <c r="F26" i="28"/>
  <c r="F24" i="28"/>
  <c r="X238" i="28"/>
  <c r="X237" i="28"/>
  <c r="X239" i="28"/>
  <c r="X18" i="28"/>
  <c r="X130" i="28"/>
  <c r="X212" i="28"/>
  <c r="F52" i="28"/>
  <c r="F7" i="30"/>
  <c r="H7" i="30" s="1"/>
  <c r="F73" i="28"/>
  <c r="X116" i="28"/>
  <c r="F120" i="28"/>
  <c r="X35" i="28"/>
  <c r="X57" i="28"/>
  <c r="X139" i="28"/>
  <c r="X223" i="28"/>
  <c r="X137" i="28"/>
  <c r="F8" i="30"/>
  <c r="F53" i="28"/>
  <c r="X138" i="28"/>
  <c r="F57" i="28"/>
  <c r="X186" i="28"/>
  <c r="X56" i="28"/>
  <c r="D1" i="28"/>
  <c r="G151" i="28"/>
  <c r="X60" i="28"/>
  <c r="H239" i="28"/>
  <c r="Q239" i="28" s="1"/>
  <c r="F14" i="30"/>
  <c r="X227" i="28"/>
  <c r="X62" i="28"/>
  <c r="X140" i="28"/>
  <c r="X182" i="28"/>
  <c r="X147" i="28"/>
  <c r="X141" i="28"/>
  <c r="G164" i="28"/>
  <c r="Q164" i="28" s="1"/>
  <c r="X148" i="28"/>
  <c r="X218" i="28"/>
  <c r="X28" i="28"/>
  <c r="X64" i="28"/>
  <c r="X226" i="28"/>
  <c r="X156" i="28"/>
  <c r="X31" i="28"/>
  <c r="X170" i="28"/>
  <c r="X77" i="28"/>
  <c r="X217" i="28"/>
  <c r="X174" i="28"/>
  <c r="X134" i="28"/>
  <c r="X214" i="28"/>
  <c r="X23" i="28"/>
  <c r="F170" i="28"/>
  <c r="X162" i="28"/>
  <c r="X181" i="28"/>
  <c r="X27" i="28"/>
  <c r="X235" i="28"/>
  <c r="X22" i="28"/>
  <c r="X65" i="28"/>
  <c r="X146" i="28"/>
  <c r="X169" i="28"/>
  <c r="X76" i="28"/>
  <c r="X142" i="28"/>
  <c r="X25" i="28"/>
  <c r="F234" i="28"/>
  <c r="X8" i="28"/>
  <c r="X224" i="28"/>
  <c r="X154" i="28"/>
  <c r="X73" i="28"/>
  <c r="X211" i="28"/>
  <c r="X236" i="28"/>
  <c r="X144" i="28"/>
  <c r="X228" i="28"/>
  <c r="X183" i="28"/>
  <c r="X37" i="28"/>
  <c r="F151" i="28"/>
  <c r="Y143" i="28"/>
  <c r="X221" i="28"/>
  <c r="X135" i="28"/>
  <c r="X59" i="28"/>
  <c r="X184" i="28"/>
  <c r="X63" i="28"/>
  <c r="X149" i="28"/>
  <c r="X180" i="28"/>
  <c r="X175" i="28"/>
  <c r="X29" i="28"/>
  <c r="X172" i="28"/>
  <c r="H225" i="28"/>
  <c r="Q225" i="28" s="1"/>
  <c r="X213" i="28"/>
  <c r="X136" i="28"/>
  <c r="X55" i="28"/>
  <c r="X66" i="28"/>
  <c r="F58" i="28"/>
  <c r="X145" i="28"/>
  <c r="X159" i="28"/>
  <c r="X30" i="28"/>
  <c r="X6" i="28"/>
  <c r="X177" i="28"/>
  <c r="X79" i="28"/>
  <c r="X71" i="28"/>
  <c r="F17" i="28"/>
  <c r="F5" i="28"/>
  <c r="F179" i="28"/>
  <c r="F55" i="28"/>
  <c r="G34" i="28"/>
  <c r="Q34" i="28" s="1"/>
  <c r="G65" i="28"/>
  <c r="Q65" i="28" s="1"/>
  <c r="F66" i="28"/>
  <c r="F65" i="28"/>
  <c r="F21" i="28"/>
  <c r="E250" i="1"/>
  <c r="H238" i="28"/>
  <c r="Q238" i="28" s="1"/>
  <c r="G21" i="28"/>
  <c r="Q21" i="28" s="1"/>
  <c r="G179" i="28"/>
  <c r="Q179" i="28" s="1"/>
  <c r="F185" i="28"/>
  <c r="F188" i="28"/>
  <c r="F133" i="28"/>
  <c r="G133" i="28"/>
  <c r="Q133" i="28" s="1"/>
  <c r="F153" i="28"/>
  <c r="F117" i="28"/>
  <c r="F168" i="28"/>
  <c r="F167" i="28"/>
  <c r="F29" i="30"/>
  <c r="F75" i="28"/>
  <c r="F74" i="28"/>
  <c r="F28" i="30"/>
  <c r="H28" i="30" s="1"/>
  <c r="F33" i="28"/>
  <c r="F7" i="28"/>
  <c r="G163" i="28"/>
  <c r="Q163" i="28" s="1"/>
  <c r="F163" i="28"/>
  <c r="F79" i="28"/>
  <c r="G79" i="28"/>
  <c r="Q79" i="28" s="1"/>
  <c r="G80" i="28"/>
  <c r="Q80" i="28" s="1"/>
  <c r="G33" i="28"/>
  <c r="Q33" i="28" s="1"/>
  <c r="F72" i="28"/>
  <c r="F26" i="30"/>
  <c r="H26" i="30" s="1"/>
  <c r="F178" i="28"/>
  <c r="H220" i="28"/>
  <c r="Q220" i="28" s="1"/>
  <c r="F219" i="28"/>
  <c r="H237" i="28"/>
  <c r="Q237" i="28" s="1"/>
  <c r="F230" i="28"/>
  <c r="F10" i="30"/>
  <c r="F222" i="28"/>
  <c r="D18" i="73" l="1"/>
  <c r="F32" i="71"/>
  <c r="F23" i="71"/>
  <c r="F29" i="71" s="1"/>
  <c r="G239" i="28"/>
  <c r="G237" i="28"/>
  <c r="X10" i="28"/>
  <c r="Y10" i="28"/>
  <c r="F91" i="28"/>
  <c r="Y91" i="28"/>
  <c r="G238" i="28"/>
  <c r="F239" i="28"/>
  <c r="F10" i="28"/>
  <c r="X91" i="28"/>
  <c r="X143" i="28"/>
  <c r="F225" i="28"/>
  <c r="F238" i="28"/>
  <c r="F30" i="30"/>
  <c r="H29" i="30"/>
  <c r="H30" i="30" s="1"/>
  <c r="F220" i="28"/>
  <c r="F12" i="30"/>
  <c r="H10" i="30"/>
  <c r="H12" i="30" s="1"/>
  <c r="F237" i="28"/>
  <c r="F49" i="80" l="1"/>
  <c r="F30" i="71"/>
  <c r="L295" i="28"/>
  <c r="J295" i="28"/>
  <c r="H32" i="30"/>
  <c r="F15" i="30"/>
  <c r="F18" i="30" s="1"/>
  <c r="F32" i="30"/>
  <c r="C22" i="30" l="1"/>
  <c r="F21" i="30"/>
  <c r="C21" i="30"/>
  <c r="F23" i="7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tc={C4AE4376-FDBE-4348-83A7-D8ECA04EEAC3}</author>
    <author>tc={79F6A927-FE80-4093-AD7D-D2C2D5E3D7C7}</author>
  </authors>
  <commentList>
    <comment ref="U9" authorId="0" shapeId="0" xr:uid="{C4AE4376-FDBE-4348-83A7-D8ECA04EEAC3}">
      <text>
        <t>[Threaded comment]
Your version of Excel allows you to read this threaded comment; however, any edits to it will get removed if the file is opened in a newer version of Excel. Learn more: https://go.microsoft.com/fwlink/?linkid=870924
Comment:
    to catch Village/Town/City in name</t>
      </text>
    </comment>
    <comment ref="U10" authorId="1" shapeId="0" xr:uid="{79F6A927-FE80-4093-AD7D-D2C2D5E3D7C7}">
      <text>
        <t>[Threaded comment]
Your version of Excel allows you to read this threaded comment; however, any edits to it will get removed if the file is opened in a newer version of Excel. Learn more: https://go.microsoft.com/fwlink/?linkid=870924
Comment:
    validation errors for length</t>
      </text>
    </comment>
  </commentList>
</comments>
</file>

<file path=xl/sharedStrings.xml><?xml version="1.0" encoding="utf-8"?>
<sst xmlns="http://schemas.openxmlformats.org/spreadsheetml/2006/main" count="5223" uniqueCount="1808">
  <si>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</si>
  <si>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</si>
  <si>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</si>
  <si>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</si>
  <si>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</si>
  <si>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</si>
  <si>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</si>
  <si>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</si>
  <si>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</si>
  <si>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</si>
  <si>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</si>
  <si>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</si>
  <si>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</si>
  <si>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</si>
  <si>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</si>
  <si>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</si>
  <si>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</si>
  <si>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</si>
  <si>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</si>
  <si>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</si>
  <si>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</si>
  <si>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</si>
  <si>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</si>
  <si>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</si>
  <si>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</si>
  <si>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</si>
  <si>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</si>
  <si>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</si>
  <si>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</si>
  <si>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</si>
  <si>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</si>
  <si>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</si>
  <si>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</si>
  <si>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</si>
  <si>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</si>
  <si>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</si>
  <si>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</si>
  <si>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</si>
  <si>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</si>
  <si>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</si>
  <si>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</si>
  <si>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</si>
  <si>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</si>
  <si>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</si>
  <si>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</si>
  <si>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</si>
  <si>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</si>
  <si>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</si>
  <si>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</si>
  <si>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</si>
  <si>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</si>
  <si>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</si>
  <si>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</si>
  <si>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</si>
  <si>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</si>
  <si>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</si>
  <si>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</si>
  <si>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</si>
  <si>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</si>
  <si>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</si>
  <si>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</si>
  <si>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</si>
  <si>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</si>
  <si>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</si>
  <si>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</si>
  <si>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</si>
  <si>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</si>
  <si>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</si>
  <si>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</si>
  <si>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</si>
  <si>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</si>
  <si>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</si>
  <si>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</si>
  <si>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</si>
  <si>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</si>
  <si>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</si>
  <si>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</si>
  <si>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</si>
  <si>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</si>
  <si>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</si>
  <si>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</si>
  <si>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</si>
  <si>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</si>
  <si>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</si>
  <si>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</si>
  <si>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</si>
  <si>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</si>
  <si>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</si>
  <si>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</si>
  <si>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</si>
  <si>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</si>
  <si>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</si>
  <si>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</si>
  <si>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</si>
  <si>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</si>
  <si>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</si>
  <si>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</si>
  <si>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</si>
  <si>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</si>
  <si>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</si>
  <si>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</si>
  <si>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</si>
  <si>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</si>
  <si>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</si>
  <si>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</si>
  <si>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</si>
  <si>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</si>
  <si>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</si>
  <si>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</si>
  <si>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</si>
  <si>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</si>
  <si>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</si>
  <si>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</si>
  <si>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</si>
  <si>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</si>
  <si>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</si>
  <si>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</si>
  <si>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</si>
  <si>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</si>
  <si>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</si>
  <si>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</si>
  <si>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</si>
  <si>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</si>
  <si>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</si>
  <si>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</si>
  <si>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</si>
  <si>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</si>
  <si>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</si>
  <si>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</si>
  <si>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</si>
  <si>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</si>
  <si>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</si>
  <si>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</si>
  <si>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</si>
  <si>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</si>
  <si>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</si>
  <si>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</si>
  <si>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</si>
  <si>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</si>
  <si>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</si>
  <si>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</si>
  <si>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</si>
  <si>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</si>
  <si>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</si>
  <si>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</si>
  <si>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</si>
  <si>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</si>
  <si>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</si>
  <si>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</si>
  <si>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</si>
  <si>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</si>
  <si>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</si>
  <si>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</si>
  <si>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</si>
  <si>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</si>
  <si>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</si>
  <si>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</si>
  <si>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</si>
  <si>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</si>
  <si>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</si>
  <si>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</si>
  <si>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</si>
  <si>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</si>
  <si>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</si>
  <si>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</si>
  <si>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</si>
  <si>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</si>
  <si>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</si>
  <si>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</si>
  <si>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</si>
  <si>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</si>
  <si>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</si>
  <si>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</si>
  <si>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</si>
  <si>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</si>
  <si>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</si>
  <si>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</si>
  <si>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</si>
  <si>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</si>
  <si>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</si>
  <si>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</si>
  <si>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</si>
  <si>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</si>
  <si>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</si>
  <si>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</si>
  <si>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</si>
  <si>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</si>
  <si>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</si>
  <si>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</si>
  <si>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</si>
  <si>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</si>
  <si>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</si>
  <si>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</si>
  <si>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</si>
  <si>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</si>
  <si>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</si>
  <si>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</si>
  <si>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</si>
  <si>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</si>
  <si>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</si>
  <si>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</si>
  <si>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</si>
  <si>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</si>
  <si>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</si>
  <si>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</si>
  <si>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</si>
  <si>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</si>
  <si>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</si>
  <si>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</si>
  <si>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</si>
  <si>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</si>
  <si>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</si>
  <si>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</si>
  <si>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</si>
  <si>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</si>
  <si>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</si>
  <si>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</si>
  <si>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</si>
  <si>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</si>
  <si>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</si>
  <si>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</si>
  <si>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</si>
  <si>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</si>
  <si>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</si>
  <si>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</si>
  <si>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</si>
  <si>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</si>
  <si>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</si>
  <si>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</si>
  <si>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</si>
  <si>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</si>
  <si>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</si>
  <si>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</si>
  <si>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</si>
  <si>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</si>
  <si>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</si>
  <si>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</si>
  <si>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</si>
  <si>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</si>
  <si>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</si>
  <si>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</si>
  <si>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</si>
  <si>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</si>
  <si>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</si>
  <si>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</si>
  <si>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</si>
  <si>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</si>
  <si>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</si>
  <si>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</si>
  <si>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</si>
  <si>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</si>
  <si>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</si>
  <si>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</si>
  <si>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</si>
  <si>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</si>
  <si>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</si>
  <si>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</si>
  <si>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ARC</t>
  </si>
  <si>
    <t>OPEB- Obligation</t>
  </si>
  <si>
    <t>OPEB- Actuarial Value of Assets</t>
  </si>
  <si>
    <t>OPEB- UAAL</t>
  </si>
  <si>
    <t>OPEB- UAAL % of Payroll</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</si>
  <si>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</si>
  <si>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</si>
  <si>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</si>
  <si>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</si>
  <si>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</si>
  <si>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</si>
  <si>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</si>
  <si>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</si>
  <si>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</si>
  <si>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</si>
  <si>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</si>
  <si>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</si>
  <si>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</si>
  <si>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</si>
  <si>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</si>
  <si>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</si>
  <si>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</si>
  <si>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</si>
  <si>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</si>
  <si>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</si>
  <si>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</si>
  <si>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</si>
  <si>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</si>
  <si>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</si>
  <si>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</si>
  <si>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</si>
  <si>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</si>
  <si>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</si>
  <si>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</si>
  <si>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</si>
  <si>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</si>
  <si>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</si>
  <si>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</si>
  <si>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</si>
  <si>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</si>
  <si>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Unit Number</t>
  </si>
  <si>
    <t>CCH 4</t>
  </si>
  <si>
    <t>CCH 5</t>
  </si>
  <si>
    <t>CCH 6</t>
  </si>
  <si>
    <t>CCH 7</t>
  </si>
  <si>
    <t>CCH 9</t>
  </si>
  <si>
    <t>CCH 11</t>
  </si>
  <si>
    <t>CCH 12</t>
  </si>
  <si>
    <t>CCH 13</t>
  </si>
  <si>
    <t>C-EF- Current liabilities (Inc. Def Rev, Excl. BANs &amp; Comp Abs)</t>
  </si>
  <si>
    <t>CCH 14</t>
  </si>
  <si>
    <t>CCH 16</t>
  </si>
  <si>
    <t>CCH 17</t>
  </si>
  <si>
    <t>CCH 19</t>
  </si>
  <si>
    <t>CCH 20</t>
  </si>
  <si>
    <t>CCH 21</t>
  </si>
  <si>
    <t>CCH 22</t>
  </si>
  <si>
    <t>CCH 23</t>
  </si>
  <si>
    <t>CCH 31</t>
  </si>
  <si>
    <t xml:space="preserve">Combined Totals of all Proprietary Funds - Depreciation &amp; Amortization Expense </t>
  </si>
  <si>
    <t>CCH 32</t>
  </si>
  <si>
    <t>Combined Totals of all Proprietary Funds - Cash Flow from Operating</t>
  </si>
  <si>
    <t>CCH 33</t>
  </si>
  <si>
    <t>Hospital-EF- Unrestricted Cash &amp; Invest</t>
  </si>
  <si>
    <t>CCH 34</t>
  </si>
  <si>
    <t>CCH 35</t>
  </si>
  <si>
    <t>CCH 36</t>
  </si>
  <si>
    <t xml:space="preserve">Hospital-EF- Total LT Debt (non current portion only) (BS) </t>
  </si>
  <si>
    <t>CCH 37</t>
  </si>
  <si>
    <t>CCH 38</t>
  </si>
  <si>
    <t>Hospital-EF- Principal Paid on LTD (SCF)</t>
  </si>
  <si>
    <t>CCH 39</t>
  </si>
  <si>
    <t>Hospital-EF- Net Patient Revenue (IS)</t>
  </si>
  <si>
    <t>CCH 40</t>
  </si>
  <si>
    <t>Hospital-EF- Interest expenses (IS)</t>
  </si>
  <si>
    <t>CCH 41</t>
  </si>
  <si>
    <t>WS-EF- Current Assets (unrestricted, excl. inventory and prepaids)</t>
  </si>
  <si>
    <t>CCH 43</t>
  </si>
  <si>
    <t>CCH 44</t>
  </si>
  <si>
    <t>CCH 45</t>
  </si>
  <si>
    <t>CCH 46</t>
  </si>
  <si>
    <t>CCH 47</t>
  </si>
  <si>
    <t>CCH 48</t>
  </si>
  <si>
    <t>CCH 49</t>
  </si>
  <si>
    <t>CCH 50</t>
  </si>
  <si>
    <t>CCH 51</t>
  </si>
  <si>
    <t>CCH 52</t>
  </si>
  <si>
    <t>CCH 53</t>
  </si>
  <si>
    <t>CCH 54</t>
  </si>
  <si>
    <t>CCH 55</t>
  </si>
  <si>
    <t>CCH 61</t>
  </si>
  <si>
    <t>CCH 80</t>
  </si>
  <si>
    <t>CCH 81</t>
  </si>
  <si>
    <t>CCH 82</t>
  </si>
  <si>
    <t>CCH 83</t>
  </si>
  <si>
    <t>CCH 84</t>
  </si>
  <si>
    <t>CCH 85</t>
  </si>
  <si>
    <t>CCH 88</t>
  </si>
  <si>
    <t>CCH 89</t>
  </si>
  <si>
    <t>CCH 90</t>
  </si>
  <si>
    <t>CCH 91</t>
  </si>
  <si>
    <t>CCH 92</t>
  </si>
  <si>
    <t>CCH 93</t>
  </si>
  <si>
    <t>CCH 94</t>
  </si>
  <si>
    <t>CCH 97</t>
  </si>
  <si>
    <t>CCH 98</t>
  </si>
  <si>
    <t>CCH 99</t>
  </si>
  <si>
    <t>CCH 100</t>
  </si>
  <si>
    <t>CCH 101</t>
  </si>
  <si>
    <t>CCH 102</t>
  </si>
  <si>
    <t>CCH 103</t>
  </si>
  <si>
    <t>Hospital-EF- Capital Outlays</t>
  </si>
  <si>
    <t>CCH 104</t>
  </si>
  <si>
    <t>CCH 107</t>
  </si>
  <si>
    <t>CCH 108</t>
  </si>
  <si>
    <t xml:space="preserve">Counties Only- Local Current Expense to BOEs </t>
  </si>
  <si>
    <t>CCH 147</t>
  </si>
  <si>
    <t xml:space="preserve">Counties Only- Capital Outlay Contribution to BOEs </t>
  </si>
  <si>
    <t>CCH 148</t>
  </si>
  <si>
    <t xml:space="preserve">BOE Only-- Local Current Exp. Revenue from County. </t>
  </si>
  <si>
    <t>CCH 149</t>
  </si>
  <si>
    <t xml:space="preserve">BOE- Only-- Capital outlay revenue from county (GF, SRF, CPF) </t>
  </si>
  <si>
    <t>CCH 150</t>
  </si>
  <si>
    <t>CCH 171</t>
  </si>
  <si>
    <t>CCH 191</t>
  </si>
  <si>
    <t>CCH 192</t>
  </si>
  <si>
    <t>Combined Totals of all Proprietary Funds - Capital Contributions</t>
  </si>
  <si>
    <t>CCH 193</t>
  </si>
  <si>
    <t>Hospital-EF- Capital contributions (only positive)</t>
  </si>
  <si>
    <t>CCH 194</t>
  </si>
  <si>
    <t>GF- Total cash &amp; investments (restricted &amp; unrestricted)</t>
  </si>
  <si>
    <t>CCH 231</t>
  </si>
  <si>
    <t>All cash and investments (unit-wide, w/ fiduciary fds, &amp; restricted cash)</t>
  </si>
  <si>
    <t>CCH 251</t>
  </si>
  <si>
    <t>CCH 252</t>
  </si>
  <si>
    <t>CCH 253</t>
  </si>
  <si>
    <t>CCH 254</t>
  </si>
  <si>
    <t>CCH 255</t>
  </si>
  <si>
    <t>BOE Only- Timber Receipts Revenue</t>
  </si>
  <si>
    <t>CCH 274</t>
  </si>
  <si>
    <t>CCH 294</t>
  </si>
  <si>
    <t>Public Housing Authority- HUD Capital grants amount (SCF, don't include operating grants)</t>
  </si>
  <si>
    <t>CCH 314</t>
  </si>
  <si>
    <t>Public Housing Authority- Amount paid for capital asset acquisition (SCF)</t>
  </si>
  <si>
    <t>CCH 315</t>
  </si>
  <si>
    <t>Public Housing Authority - Operating income (loss)</t>
  </si>
  <si>
    <t>CCH 316</t>
  </si>
  <si>
    <t>CCH 320</t>
  </si>
  <si>
    <t>CCH 321</t>
  </si>
  <si>
    <t>CCH 322</t>
  </si>
  <si>
    <t>CCH 323</t>
  </si>
  <si>
    <t>CCH 324</t>
  </si>
  <si>
    <t>CCH 325</t>
  </si>
  <si>
    <t>CCH 326</t>
  </si>
  <si>
    <t>CCH 327</t>
  </si>
  <si>
    <t>CCH 328</t>
  </si>
  <si>
    <t>CCH 330</t>
  </si>
  <si>
    <t>CCH 331</t>
  </si>
  <si>
    <t>CCH 332</t>
  </si>
  <si>
    <t>CCH 333</t>
  </si>
  <si>
    <t>CCH 334</t>
  </si>
  <si>
    <t>CCH 335</t>
  </si>
  <si>
    <t>CCH 336</t>
  </si>
  <si>
    <t>CCH 337</t>
  </si>
  <si>
    <t>CCH 338</t>
  </si>
  <si>
    <t>CCH 339</t>
  </si>
  <si>
    <t>CCH 340</t>
  </si>
  <si>
    <t>CCH 341</t>
  </si>
  <si>
    <t>CCH 342</t>
  </si>
  <si>
    <t>CCH 343</t>
  </si>
  <si>
    <t>CCH 344</t>
  </si>
  <si>
    <t>CCH 346</t>
  </si>
  <si>
    <t>CCH 347</t>
  </si>
  <si>
    <t>CCH 349</t>
  </si>
  <si>
    <t>CCH 350</t>
  </si>
  <si>
    <t>CCH 351</t>
  </si>
  <si>
    <t>CCH 352</t>
  </si>
  <si>
    <t>CCH 353</t>
  </si>
  <si>
    <t>CCH 354</t>
  </si>
  <si>
    <t>CCH 357</t>
  </si>
  <si>
    <t>CCH 359</t>
  </si>
  <si>
    <t>CCH 360</t>
  </si>
  <si>
    <t>CCH 361</t>
  </si>
  <si>
    <t>CCH 362</t>
  </si>
  <si>
    <t>CCH 363</t>
  </si>
  <si>
    <t>CCH 364</t>
  </si>
  <si>
    <t>CCH 365</t>
  </si>
  <si>
    <t>CCH 366</t>
  </si>
  <si>
    <t>CCH 367</t>
  </si>
  <si>
    <t>CCH 368</t>
  </si>
  <si>
    <t>CCH 369</t>
  </si>
  <si>
    <t>CCH 370</t>
  </si>
  <si>
    <t>CCH 371</t>
  </si>
  <si>
    <t>CCH 373</t>
  </si>
  <si>
    <t>CCH 375</t>
  </si>
  <si>
    <t>CCH 376</t>
  </si>
  <si>
    <t>CCH 377</t>
  </si>
  <si>
    <t>CCH 378</t>
  </si>
  <si>
    <t>CCH 379</t>
  </si>
  <si>
    <t>CCH 380</t>
  </si>
  <si>
    <t>CCH 381</t>
  </si>
  <si>
    <t>CCH 382</t>
  </si>
  <si>
    <t>CCH 383</t>
  </si>
  <si>
    <t>CCH 384</t>
  </si>
  <si>
    <t>CCH 385</t>
  </si>
  <si>
    <t>CCH 386</t>
  </si>
  <si>
    <t>CCH 387</t>
  </si>
  <si>
    <t>CCH 388</t>
  </si>
  <si>
    <t>CCH 389</t>
  </si>
  <si>
    <t>CCH 391</t>
  </si>
  <si>
    <t>CCH 500</t>
  </si>
  <si>
    <t>CCH 501</t>
  </si>
  <si>
    <t>CCH 502</t>
  </si>
  <si>
    <t>CCH 503</t>
  </si>
  <si>
    <t>CCH 504</t>
  </si>
  <si>
    <t>CCH 505</t>
  </si>
  <si>
    <t>CCH 506</t>
  </si>
  <si>
    <t>CCH 507</t>
  </si>
  <si>
    <t>CCH 508</t>
  </si>
  <si>
    <t>CCH 509</t>
  </si>
  <si>
    <t>CCH 510</t>
  </si>
  <si>
    <t>CCH 511</t>
  </si>
  <si>
    <t>CCH 512</t>
  </si>
  <si>
    <t>CCH 513</t>
  </si>
  <si>
    <t>CCH 514</t>
  </si>
  <si>
    <t>CCH 515</t>
  </si>
  <si>
    <t>CCH 516</t>
  </si>
  <si>
    <t>CCH 517</t>
  </si>
  <si>
    <t>CCH 518</t>
  </si>
  <si>
    <t>CCH 519</t>
  </si>
  <si>
    <t>CCH 520</t>
  </si>
  <si>
    <t>CCH 521</t>
  </si>
  <si>
    <t>CCH 522</t>
  </si>
  <si>
    <t>CCH 523</t>
  </si>
  <si>
    <t>CCH 524</t>
  </si>
  <si>
    <t>CCH 525</t>
  </si>
  <si>
    <t>CCH 526</t>
  </si>
  <si>
    <t>CCH 527</t>
  </si>
  <si>
    <t>CCH 528</t>
  </si>
  <si>
    <t>CCH 529</t>
  </si>
  <si>
    <t>CCH 530</t>
  </si>
  <si>
    <t>CCH 531</t>
  </si>
  <si>
    <t>CCH 532</t>
  </si>
  <si>
    <t>CCH 533</t>
  </si>
  <si>
    <t>CCH 534</t>
  </si>
  <si>
    <t>CCH 535</t>
  </si>
  <si>
    <t>CCH 536</t>
  </si>
  <si>
    <t>CCH 537</t>
  </si>
  <si>
    <t>CCH 538</t>
  </si>
  <si>
    <t>CCH 539</t>
  </si>
  <si>
    <t>CCH 540</t>
  </si>
  <si>
    <t>CCH 541</t>
  </si>
  <si>
    <t>CCH 542</t>
  </si>
  <si>
    <t>CCH 543</t>
  </si>
  <si>
    <t>CCH 544</t>
  </si>
  <si>
    <t>CCH 545</t>
  </si>
  <si>
    <t>CCH 546</t>
  </si>
  <si>
    <t>CCH 547</t>
  </si>
  <si>
    <t>Hospital - No Budget required</t>
  </si>
  <si>
    <t>CCH 993</t>
  </si>
  <si>
    <t>Hospital - No Contract required</t>
  </si>
  <si>
    <t>CCH 994</t>
  </si>
  <si>
    <t>Units with Electric Operations have. 07,. 08,. 09</t>
  </si>
  <si>
    <t>CCH 995</t>
  </si>
  <si>
    <t>Units with Water Sewer Operations have. 01</t>
  </si>
  <si>
    <t>CCH 996</t>
  </si>
  <si>
    <t>CCH 998</t>
  </si>
  <si>
    <t>CCH 999</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</si>
  <si>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</si>
  <si>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</si>
  <si>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</si>
  <si>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</si>
  <si>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</si>
  <si>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</si>
  <si>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</si>
  <si>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</si>
  <si>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</si>
  <si>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</si>
  <si>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</si>
  <si>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</si>
  <si>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</si>
  <si>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</si>
  <si>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</si>
  <si>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Unit paid to Officers under LEO</t>
  </si>
  <si>
    <t xml:space="preserve">OPEB 
1-implicit rate only  
2-no benefit 
3-benfit 
4- state health plan  </t>
  </si>
  <si>
    <t>Law Enforcement Officers - Actuarial value of Assets</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</si>
  <si>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</si>
  <si>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</si>
  <si>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</si>
  <si>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</si>
  <si>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</si>
  <si>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</si>
  <si>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</si>
  <si>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</si>
  <si>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</si>
  <si>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</si>
  <si>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</si>
  <si>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</si>
  <si>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</si>
  <si>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</si>
  <si>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</si>
  <si>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</si>
  <si>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</si>
  <si>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</si>
  <si>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</si>
  <si>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</si>
  <si>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</si>
  <si>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</si>
  <si>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</si>
  <si>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</si>
  <si>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use on upload template</t>
  </si>
  <si>
    <t>Gen Fund - Total Expenditures</t>
  </si>
  <si>
    <t>Gen Fund - Proceeds from LTD</t>
  </si>
  <si>
    <t>CCH 548</t>
  </si>
  <si>
    <t>CCH 549</t>
  </si>
  <si>
    <t>Debt Service payments made from Bond investments</t>
  </si>
  <si>
    <t>CCH 550</t>
  </si>
  <si>
    <t>CCH 551</t>
  </si>
  <si>
    <t>CCH 552</t>
  </si>
  <si>
    <t>not currently used</t>
  </si>
  <si>
    <t>CCH 553</t>
  </si>
  <si>
    <t>Single Audit Only - total amount of federal awards and grants expended as found on SEFSA</t>
  </si>
  <si>
    <t>CCH 554</t>
  </si>
  <si>
    <t>Single Audit Only - Total amount of federal awards and grants that were audited as major as found on SEFSA</t>
  </si>
  <si>
    <t>CCH 555</t>
  </si>
  <si>
    <t>Single Audit Only - total amount of state awards and grants expended as found on SEFSA</t>
  </si>
  <si>
    <t>CCH 556</t>
  </si>
  <si>
    <t>Single Audit Only - Total amount of state awards and grants that were audited as major as found on SEFSA</t>
  </si>
  <si>
    <t>CCH 557</t>
  </si>
  <si>
    <t>CCH 558</t>
  </si>
  <si>
    <t>CCH 559</t>
  </si>
  <si>
    <t>CCH 560</t>
  </si>
  <si>
    <t>CCH 561</t>
  </si>
  <si>
    <t>CCH 562</t>
  </si>
  <si>
    <t>CCH 563</t>
  </si>
  <si>
    <t>CCH 564</t>
  </si>
  <si>
    <t>CCH 565</t>
  </si>
  <si>
    <t>CCH 566</t>
  </si>
  <si>
    <t>CCH 567</t>
  </si>
  <si>
    <t>CCH 568</t>
  </si>
  <si>
    <t>CCH 569</t>
  </si>
  <si>
    <t>CCH 570</t>
  </si>
  <si>
    <t>CCH 571</t>
  </si>
  <si>
    <t>CCH 572</t>
  </si>
  <si>
    <t>CCH 573</t>
  </si>
  <si>
    <t>CCH 574</t>
  </si>
  <si>
    <t>CCH 992</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</si>
  <si>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</si>
  <si>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</si>
  <si>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</si>
  <si>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</si>
  <si>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</si>
  <si>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</si>
  <si>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</si>
  <si>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</si>
  <si>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</si>
  <si>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</si>
  <si>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</si>
  <si>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</si>
  <si>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</si>
  <si>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</si>
  <si>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Gen Fund - Current Liabilities</t>
  </si>
  <si>
    <t>C-EF- Current Assets (unrestricted, excl. inventory and prepaids)</t>
  </si>
  <si>
    <t>C-EF Current Assets (unrestricted, incl. inventory and prepaids)</t>
  </si>
  <si>
    <t>GF- Total expenditures</t>
  </si>
  <si>
    <t>GF- Proceeds from all LT debt issuance (COPs, IPs, Notes, CLs, etc.)</t>
  </si>
  <si>
    <t>C-EF- Change in Net Assets</t>
  </si>
  <si>
    <t>Hospital-EF - Patient A/Rec, net</t>
  </si>
  <si>
    <t>Hospital-EF- Total Gross Capital Assets (BS), w/o acc. dep.</t>
  </si>
  <si>
    <t xml:space="preserve">Hospital-EF- Unrestricted Fund Equity/Net Assets </t>
  </si>
  <si>
    <t>WS - Total Current Assets</t>
  </si>
  <si>
    <t>WS - Select Current Liabilities</t>
  </si>
  <si>
    <t>E-EF- Current Assets (unrestricted, excl. inventory and prepaids)</t>
  </si>
  <si>
    <t>Electric - Total Current Assets</t>
  </si>
  <si>
    <t>E-EF- Net Transfers In(Out)- with GF only</t>
  </si>
  <si>
    <t>E-EF- Gross Capital Assets</t>
  </si>
  <si>
    <t>Hospital-EF - Total Operating Revenues</t>
  </si>
  <si>
    <t xml:space="preserve">Hospital-EF- Total Operating Expenses. May include Interest Exp. </t>
  </si>
  <si>
    <t>WS Cap Asset - Land &amp; other Non-Construction</t>
  </si>
  <si>
    <t>WS-EF- Accumulated Infrastructure Deprec Expense</t>
  </si>
  <si>
    <t>Gov - Select Current Liabilities</t>
  </si>
  <si>
    <t>GA- Total Program revenues (SOA)</t>
  </si>
  <si>
    <t>GA- Total Net transfers in(out) (SOA)</t>
  </si>
  <si>
    <t>WS-EF- Total depreciable capital assets, gross</t>
  </si>
  <si>
    <t>WS-EF- Total Accum Deprec on all capital assets.</t>
  </si>
  <si>
    <t>GF- Restricted cash &amp; investments</t>
  </si>
  <si>
    <t>CCH 575</t>
  </si>
  <si>
    <t>CCH 576</t>
  </si>
  <si>
    <t>Yes  or "1" indicates unit has defined benefit other than the ones adm. By the state</t>
  </si>
  <si>
    <t>CCH 577</t>
  </si>
  <si>
    <t>WS-Advance From - Liability</t>
  </si>
  <si>
    <t>CCH 578</t>
  </si>
  <si>
    <t>WS-Advance To - Asset</t>
  </si>
  <si>
    <t>CCH 579</t>
  </si>
  <si>
    <t>EF-Advance From - Liability</t>
  </si>
  <si>
    <t>CCH 580</t>
  </si>
  <si>
    <t>EF-Advance To - Asset</t>
  </si>
  <si>
    <t>CCH 581</t>
  </si>
  <si>
    <t>TDA- Government Wide current and long-term debt</t>
  </si>
  <si>
    <t>CCH 582</t>
  </si>
  <si>
    <t>Bus- Total Expenses</t>
  </si>
  <si>
    <t>CCH 583</t>
  </si>
  <si>
    <t>Bus-Total Revenues</t>
  </si>
  <si>
    <t>CCH 584</t>
  </si>
  <si>
    <t>County only-timber receipts sent to the schools</t>
  </si>
  <si>
    <t>CCH 585</t>
  </si>
  <si>
    <t>GF - Advance from</t>
  </si>
  <si>
    <t>CCH 586</t>
  </si>
  <si>
    <t>Local Curr Exp trx to Fund 8</t>
  </si>
  <si>
    <t>CCH 587</t>
  </si>
  <si>
    <t>Capital Outlay trx to Fund 8</t>
  </si>
  <si>
    <t>CCH 588</t>
  </si>
  <si>
    <t>County-supplemental school tax reported in Agency fund</t>
  </si>
  <si>
    <t>CCH 589</t>
  </si>
  <si>
    <t xml:space="preserve">This is a description question that is retained on the data input tab - This information is not uploaded to CCH or our data base </t>
  </si>
  <si>
    <t>CCH 590</t>
  </si>
  <si>
    <t>Statement of Activities                               (all governmental and business funds)</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</si>
  <si>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</si>
  <si>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</si>
  <si>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</si>
  <si>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</si>
  <si>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</si>
  <si>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</si>
  <si>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</si>
  <si>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</si>
  <si>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</si>
  <si>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Unit Contact Question</t>
  </si>
  <si>
    <t>Interest income from statement of activitites</t>
  </si>
  <si>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</si>
  <si>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</si>
  <si>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</si>
  <si>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</si>
  <si>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</si>
  <si>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</si>
  <si>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</si>
  <si>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</si>
  <si>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</si>
  <si>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</si>
  <si>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</si>
  <si>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</si>
  <si>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</si>
  <si>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</si>
  <si>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</si>
  <si>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</si>
  <si>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</si>
  <si>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</si>
  <si>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</si>
  <si>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Data Import</t>
  </si>
  <si>
    <t/>
  </si>
  <si>
    <t>If you have LEO pension assets and are reporting under GASB 68 please enter "Plan Fiduciary Net Position" which can be found on your RSI schedules.</t>
  </si>
  <si>
    <t>Health benefits - plan's fiduary net postion as a % of total OPEB liability</t>
  </si>
  <si>
    <t>Vision benefits - plan's fiduary net postion as a % of total OPEB liability</t>
  </si>
  <si>
    <t>Dental benefits - plan's fiduary net postion as a % of total OPEB liability</t>
  </si>
  <si>
    <t>Other benefits - plan's fiduary net postion as a % of total OPEB liability</t>
  </si>
  <si>
    <t>LEOSSA – What is the plan’s fiduciary net position as a percentage of the total pension liability?  Please enter as percentage value; for example, 83.5% should be entered as 83.5.  If assets have not been set aside in a trust, please enter 0.0</t>
  </si>
  <si>
    <t>LEO - plan's fiduary net position as a % of total pension liability</t>
  </si>
  <si>
    <t>FS., OPEB  note or RSI</t>
  </si>
  <si>
    <t>Compliance opinion - enter "1" for clean Opinion or "2" for other than clean opinion</t>
  </si>
  <si>
    <t>FS., Pension note or RSI</t>
  </si>
  <si>
    <t>Notes to the Financial Statements - Pension Note</t>
  </si>
  <si>
    <t>Net OPEB Liability (RHBF)</t>
  </si>
  <si>
    <t>FS., OPEB note or RSI</t>
  </si>
  <si>
    <t>Does the County collect real estate property taxes on your behalf? Select "1" for "yes and "2" for "No"</t>
  </si>
  <si>
    <t>Not loaded to CCH</t>
  </si>
  <si>
    <t>County collects real estate property on your behalf</t>
  </si>
  <si>
    <t>Net Pension Liability</t>
  </si>
  <si>
    <t>Determination of Fiscal Health</t>
  </si>
  <si>
    <t>Fund Balance, Unassigned</t>
  </si>
  <si>
    <t>Debt Service Fund</t>
  </si>
  <si>
    <t>Please enter the Total Fund Balance for any Debt Service Funds</t>
  </si>
  <si>
    <t>Water Sewer Net Position Statement</t>
  </si>
  <si>
    <t>Total Fund Balance</t>
  </si>
  <si>
    <t>Quick Ratio</t>
  </si>
  <si>
    <t>General fund:</t>
  </si>
  <si>
    <t>Electric Fund:</t>
  </si>
  <si>
    <t>Water Sewer Funds:</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</si>
  <si>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</si>
  <si>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</si>
  <si>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</si>
  <si>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</si>
  <si>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</si>
  <si>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</si>
  <si>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</si>
  <si>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</si>
  <si>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</si>
  <si>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</si>
  <si>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</si>
  <si>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</si>
  <si>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</si>
  <si>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</si>
  <si>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</si>
  <si>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</si>
  <si>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</si>
  <si>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</si>
  <si>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</si>
  <si>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</si>
  <si>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</si>
  <si>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</si>
  <si>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</si>
  <si>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t>Fund balance, Assigned (total of all assigned components)</t>
  </si>
  <si>
    <t>Amount of the General Fund Balance appropriated in next year's budget. As reported on the General Fund Balance Sheet.</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</si>
  <si>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</si>
  <si>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</si>
  <si>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</si>
  <si>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</si>
  <si>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</si>
  <si>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</si>
  <si>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</si>
  <si>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</si>
  <si>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</si>
  <si>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</si>
  <si>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</si>
  <si>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</si>
  <si>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</si>
  <si>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</si>
  <si>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</si>
  <si>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</si>
  <si>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</si>
  <si>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</si>
  <si>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</si>
  <si>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</si>
  <si>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</si>
  <si>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</si>
  <si>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</si>
  <si>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</si>
  <si>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</si>
  <si>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</si>
  <si>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</si>
  <si>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</si>
  <si>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</si>
  <si>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</si>
  <si>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</si>
  <si>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</si>
  <si>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Total FB for Debt Service Funds</t>
  </si>
  <si>
    <t>GF  FBA</t>
  </si>
  <si>
    <t>GF Exp and Tran out</t>
  </si>
  <si>
    <t>GF FBA% of Exp</t>
  </si>
  <si>
    <t>(506+536-4-5-6)+647</t>
  </si>
  <si>
    <t>WS debt service</t>
  </si>
  <si>
    <t>100+98</t>
  </si>
  <si>
    <t>44-510</t>
  </si>
  <si>
    <t>WS Current asset</t>
  </si>
  <si>
    <t>(506+536-4-5-6)+647/(532+20+509-533-508)</t>
  </si>
  <si>
    <t>532+20+509-533-508</t>
  </si>
  <si>
    <t>331+89</t>
  </si>
  <si>
    <t>WS Days in Sales</t>
  </si>
  <si>
    <t xml:space="preserve">Electric Days in Sales </t>
  </si>
  <si>
    <t>81*365/88</t>
  </si>
  <si>
    <t>91*365/97</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</si>
  <si>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</si>
  <si>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</si>
  <si>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</si>
  <si>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</si>
  <si>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</si>
  <si>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</si>
  <si>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</si>
  <si>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</si>
  <si>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</si>
  <si>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</si>
  <si>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Do you use prepared food/occupancy tax revenue stream to support debt?  Select "1" for Yes and "2" for No</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</si>
  <si>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</si>
  <si>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</si>
  <si>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</si>
  <si>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Unit was issued:
1) No UL
2) No UL but visit is needed
3) UL with response
4) SUL requiring written response
5) Communication to DPI</t>
  </si>
  <si>
    <t>OPEB-Plan's fiduciary net position as a % of total OPEB liability</t>
  </si>
  <si>
    <t>Do you use prepared food/occupancy tax revenue stream to support debt.  Yes =1 No=2</t>
  </si>
  <si>
    <t>(654-655-579-510)/(633-634-635-636-637-638-578)</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</si>
  <si>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</si>
  <si>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</si>
  <si>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</si>
  <si>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</si>
  <si>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</si>
  <si>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</si>
  <si>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</si>
  <si>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</si>
  <si>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</si>
  <si>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</si>
  <si>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</si>
  <si>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</si>
  <si>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</si>
  <si>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</si>
  <si>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</si>
  <si>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</si>
  <si>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</si>
  <si>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</si>
  <si>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</si>
  <si>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</si>
  <si>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Love Valley</t>
  </si>
  <si>
    <t>Lucama</t>
  </si>
  <si>
    <t>Lumberton</t>
  </si>
  <si>
    <t>Macclesfield</t>
  </si>
  <si>
    <t>Magnolia</t>
  </si>
  <si>
    <t>Maysville</t>
  </si>
  <si>
    <t>Supplemental School Tax</t>
  </si>
  <si>
    <t>Electric cash flow - debt service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</si>
  <si>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</si>
  <si>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</si>
  <si>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</si>
  <si>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</si>
  <si>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</si>
  <si>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</si>
  <si>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</si>
  <si>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</si>
  <si>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</si>
  <si>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</si>
  <si>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</si>
  <si>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</si>
  <si>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</si>
  <si>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</si>
  <si>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</si>
  <si>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</si>
  <si>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</si>
  <si>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</si>
  <si>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</si>
  <si>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</si>
  <si>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</si>
  <si>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GF FBA Less Powell Bill</t>
  </si>
  <si>
    <t>GF FBA% of Exp less Powell Bill</t>
  </si>
  <si>
    <t>(506+536-4-5-6-11)+647/(532+20+509-533-508)</t>
  </si>
  <si>
    <t>(506+536-4-5-6-11)+647</t>
  </si>
  <si>
    <t>Available Fund Balance + debt service fund balance less Powell Bill / Total Expenditures and Transfers-out less bond proceeds</t>
  </si>
  <si>
    <t>N/A</t>
  </si>
  <si>
    <t>NC DEPARTMENT OF STATE TREASURER- STATE AND LOCAL GOVERNMENT FINANCE DIVISION
 AUDIT REPORT TRANSMITTAL DOCUMENT
PORTAL ADDRESS: https://nctreasurerslgfd.leapfile.net</t>
  </si>
  <si>
    <t>Notes from meeting 04/21/20</t>
  </si>
  <si>
    <t>Transmittal Instructions</t>
  </si>
  <si>
    <t>Please see the INSTRUCTIONS worksheet before completing this form</t>
  </si>
  <si>
    <t>Section 1: Contact and General Info</t>
  </si>
  <si>
    <r>
      <t>Name of Primary Governmental Unit:</t>
    </r>
    <r>
      <rPr>
        <sz val="10"/>
        <color rgb="FF00B050"/>
        <rFont val="Verdana"/>
        <family val="2"/>
      </rPr>
      <t xml:space="preserve"> </t>
    </r>
    <r>
      <rPr>
        <i/>
        <sz val="10"/>
        <rFont val="Verdana"/>
        <family val="2"/>
      </rPr>
      <t>ie. City of Dogwood = Dogwood</t>
    </r>
  </si>
  <si>
    <t>formatted correctly message with  instructions, if not completed then submit error</t>
  </si>
  <si>
    <t>formatted correctly message, if not completed then submit error</t>
  </si>
  <si>
    <t>Does this unit have a Tourism Development Authority as a discretely presented component unit?</t>
  </si>
  <si>
    <t>E-mail address to notify the Primary Government Unit that report has been reviewed</t>
  </si>
  <si>
    <t xml:space="preserve">Name of Audit Firm </t>
  </si>
  <si>
    <t>date validation against the auditor list?</t>
  </si>
  <si>
    <t>Name of Auditor</t>
  </si>
  <si>
    <t>E-mail address to notify the Auditor that the report has been reviewed</t>
  </si>
  <si>
    <r>
      <t xml:space="preserve">E-mail address to send approved invoices </t>
    </r>
    <r>
      <rPr>
        <i/>
        <sz val="9.5"/>
        <rFont val="Verdana"/>
        <family val="2"/>
      </rPr>
      <t>(should be at the audit firm)</t>
    </r>
  </si>
  <si>
    <t>Unit Type</t>
  </si>
  <si>
    <t>Did the Auditor prepare the Unit's financial statements?</t>
  </si>
  <si>
    <r>
      <t xml:space="preserve">Type of Audit </t>
    </r>
    <r>
      <rPr>
        <i/>
        <sz val="10"/>
        <color rgb="FF000000"/>
        <rFont val="Verdana"/>
        <family val="2"/>
      </rPr>
      <t>(Financial Only, Yellow Book, Single Audit)</t>
    </r>
  </si>
  <si>
    <t>Who is the designated person with skills, knowledge and experience (SKE) for the unit?</t>
  </si>
  <si>
    <t>What is the designated SKE's title?</t>
  </si>
  <si>
    <t>Who is the designated SKE's employer?</t>
  </si>
  <si>
    <t>Is the Independent Auditor's Report Opinion Unmodified?</t>
  </si>
  <si>
    <r>
      <t xml:space="preserve">Is there a </t>
    </r>
    <r>
      <rPr>
        <b/>
        <i/>
        <sz val="10"/>
        <color rgb="FF000000"/>
        <rFont val="Verdana"/>
        <family val="2"/>
      </rPr>
      <t>finding</t>
    </r>
    <r>
      <rPr>
        <i/>
        <sz val="10"/>
        <color rgb="FF000000"/>
        <rFont val="Verdana"/>
        <family val="2"/>
      </rPr>
      <t xml:space="preserve"> </t>
    </r>
    <r>
      <rPr>
        <sz val="10"/>
        <color rgb="FF000000"/>
        <rFont val="Verdana"/>
        <family val="2"/>
      </rPr>
      <t xml:space="preserve">for lack of segregation of duties at this unit? </t>
    </r>
  </si>
  <si>
    <r>
      <t>Is there a</t>
    </r>
    <r>
      <rPr>
        <b/>
        <i/>
        <sz val="10"/>
        <color rgb="FF000000"/>
        <rFont val="Verdana"/>
        <family val="2"/>
      </rPr>
      <t xml:space="preserve"> finding</t>
    </r>
    <r>
      <rPr>
        <sz val="10"/>
        <color rgb="FF000000"/>
        <rFont val="Verdana"/>
        <family val="2"/>
      </rPr>
      <t xml:space="preserve"> for lack of technical skills, knowledge and experience (SKE) at this unit?</t>
    </r>
  </si>
  <si>
    <r>
      <t>Is there is a going concern</t>
    </r>
    <r>
      <rPr>
        <i/>
        <sz val="10"/>
        <color rgb="FF000000"/>
        <rFont val="Verdana"/>
        <family val="2"/>
      </rPr>
      <t xml:space="preserve"> </t>
    </r>
    <r>
      <rPr>
        <b/>
        <i/>
        <sz val="10"/>
        <color rgb="FF000000"/>
        <rFont val="Verdana"/>
        <family val="2"/>
      </rPr>
      <t>finding</t>
    </r>
    <r>
      <rPr>
        <sz val="10"/>
        <color rgb="FF000000"/>
        <rFont val="Verdana"/>
        <family val="2"/>
      </rPr>
      <t xml:space="preserve"> noted in the audit report? </t>
    </r>
  </si>
  <si>
    <r>
      <t xml:space="preserve">Number of significant deficiency </t>
    </r>
    <r>
      <rPr>
        <b/>
        <i/>
        <sz val="10"/>
        <color rgb="FF000000"/>
        <rFont val="Verdana"/>
        <family val="2"/>
      </rPr>
      <t>findings</t>
    </r>
    <r>
      <rPr>
        <sz val="10"/>
        <color rgb="FF000000"/>
        <rFont val="Verdana"/>
        <family val="2"/>
      </rPr>
      <t xml:space="preserve"> </t>
    </r>
    <r>
      <rPr>
        <i/>
        <sz val="10"/>
        <color rgb="FF000000"/>
        <rFont val="Verdana"/>
        <family val="2"/>
      </rPr>
      <t>(other than in Questions 15-18 )</t>
    </r>
  </si>
  <si>
    <r>
      <t xml:space="preserve">Number of material weaknesses </t>
    </r>
    <r>
      <rPr>
        <b/>
        <i/>
        <sz val="10"/>
        <color rgb="FF000000"/>
        <rFont val="Verdana"/>
        <family val="2"/>
      </rPr>
      <t>findings</t>
    </r>
    <r>
      <rPr>
        <sz val="10"/>
        <color rgb="FF000000"/>
        <rFont val="Verdana"/>
        <family val="2"/>
      </rPr>
      <t xml:space="preserve"> </t>
    </r>
    <r>
      <rPr>
        <i/>
        <sz val="10"/>
        <color rgb="FF000000"/>
        <rFont val="Verdana"/>
        <family val="2"/>
      </rPr>
      <t>(other than in Questions 15-18)</t>
    </r>
  </si>
  <si>
    <t xml:space="preserve">Is the Finance Officer bonded for at least $50,000? (GS 159-42(h) </t>
  </si>
  <si>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</si>
  <si>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</si>
  <si>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</si>
  <si>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</si>
  <si>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</si>
  <si>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</si>
  <si>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</si>
  <si>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</si>
  <si>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</si>
  <si>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</si>
  <si>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 xml:space="preserve">Is there is a going concern finding noted in the audit report </t>
  </si>
  <si>
    <t>Did the Unit have debt service payments deferred or restructured in this fiscal year (does not include refinancings designed to take advantage of lower interest rates)</t>
  </si>
  <si>
    <t>Were debt service payments made late  Deferred payments authorized by LGC or other state agencies should not be counted as late for purposes of this question.</t>
  </si>
  <si>
    <t>Were all bond covenants met</t>
  </si>
  <si>
    <t xml:space="preserve">Is the Finance Officer bonded for at least $50,000 (GS 159-42(h) </t>
  </si>
  <si>
    <t>TD-UL Issued based on report  (Y/N)</t>
  </si>
  <si>
    <t>TD-SUL Issued based on report (Y/N)</t>
  </si>
  <si>
    <t>TD-DPI Issued based on  report (Y/N)</t>
  </si>
  <si>
    <t>TD-Unit Visit Needed based on report (Y/N)</t>
  </si>
  <si>
    <t>TD-Choose one of the following related to Internal Controls:</t>
  </si>
  <si>
    <t># of significant deficiency findings (other than in Questions 15-17 )</t>
  </si>
  <si>
    <t># of material weaknesses findings (other than in Questions 15-17)</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</si>
  <si>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</si>
  <si>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</si>
  <si>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</si>
  <si>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</si>
  <si>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</si>
  <si>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</si>
  <si>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</si>
  <si>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</si>
  <si>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</si>
  <si>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</si>
  <si>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</si>
  <si>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</si>
  <si>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</si>
  <si>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</si>
  <si>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</si>
  <si>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</si>
  <si>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</si>
  <si>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</si>
  <si>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</si>
  <si>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</si>
  <si>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</si>
  <si>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</si>
  <si>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</si>
  <si>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</si>
  <si>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</si>
  <si>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</si>
  <si>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</si>
  <si>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</si>
  <si>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</si>
  <si>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</si>
  <si>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</si>
  <si>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</si>
  <si>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</si>
  <si>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</si>
  <si>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</si>
  <si>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Fork Township Sanitary District</t>
  </si>
  <si>
    <t>Four Oaks</t>
  </si>
  <si>
    <t>Franklinville</t>
  </si>
  <si>
    <t>Fremont</t>
  </si>
  <si>
    <t>Glen Alpine</t>
  </si>
  <si>
    <t>Goldsboro</t>
  </si>
  <si>
    <t>Greenevers</t>
  </si>
  <si>
    <t>Grover</t>
  </si>
  <si>
    <t>Halifax</t>
  </si>
  <si>
    <t>Hamilton</t>
  </si>
  <si>
    <t>Hamlet</t>
  </si>
  <si>
    <t>Hoffman</t>
  </si>
  <si>
    <t>Holly Ridge</t>
  </si>
  <si>
    <t>Hookerton</t>
  </si>
  <si>
    <t>Hyde County</t>
  </si>
  <si>
    <t>Madison County</t>
  </si>
  <si>
    <t>Milton</t>
  </si>
  <si>
    <t>Montreat</t>
  </si>
  <si>
    <t>Mount Olive</t>
  </si>
  <si>
    <t>Navassa</t>
  </si>
  <si>
    <t>Newport</t>
  </si>
  <si>
    <t>Newton Grove</t>
  </si>
  <si>
    <t>Norlina</t>
  </si>
  <si>
    <t>Norman</t>
  </si>
  <si>
    <t>Northampton County</t>
  </si>
  <si>
    <t>Norwood</t>
  </si>
  <si>
    <t>Oak City</t>
  </si>
  <si>
    <t>Orange County</t>
  </si>
  <si>
    <t>Pender County</t>
  </si>
  <si>
    <t>Pikeville</t>
  </si>
  <si>
    <t>Pilot Mountain</t>
  </si>
  <si>
    <t>Polkville</t>
  </si>
  <si>
    <t>Pollocksville</t>
  </si>
  <si>
    <t>Princeville</t>
  </si>
  <si>
    <t>Proctorville</t>
  </si>
  <si>
    <t>Ramseur</t>
  </si>
  <si>
    <t>Ranlo</t>
  </si>
  <si>
    <t>Red Springs</t>
  </si>
  <si>
    <t>Rich Square</t>
  </si>
  <si>
    <t>Robbins</t>
  </si>
  <si>
    <t>Robersonville</t>
  </si>
  <si>
    <t>Ronda</t>
  </si>
  <si>
    <t>Saint Pauls</t>
  </si>
  <si>
    <t>Scotland County</t>
  </si>
  <si>
    <t>Scotland Neck</t>
  </si>
  <si>
    <t>Sedalia</t>
  </si>
  <si>
    <t>Sharpsburg</t>
  </si>
  <si>
    <t>Snow Hill</t>
  </si>
  <si>
    <t>Spring Lake</t>
  </si>
  <si>
    <t>Stanly Water &amp; Sewer Authority</t>
  </si>
  <si>
    <t>Taylorsville</t>
  </si>
  <si>
    <t>Taylortown</t>
  </si>
  <si>
    <t>Tryon</t>
  </si>
  <si>
    <t>Tyrrell County</t>
  </si>
  <si>
    <t>Vanceboro</t>
  </si>
  <si>
    <t>Vass</t>
  </si>
  <si>
    <t>Whitakers</t>
  </si>
  <si>
    <t>Wilkesboro</t>
  </si>
  <si>
    <t>Data not collected in 2020</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</si>
  <si>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</si>
  <si>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</si>
  <si>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</si>
  <si>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</si>
  <si>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</si>
  <si>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</si>
  <si>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</si>
  <si>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</si>
  <si>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</si>
  <si>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</si>
  <si>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</si>
  <si>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</si>
  <si>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</si>
  <si>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</si>
  <si>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</si>
  <si>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 xml:space="preserve">Amount Transferred minus PILOT </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</si>
  <si>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</si>
  <si>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</si>
  <si>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</si>
  <si>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</si>
  <si>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</si>
  <si>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</si>
  <si>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</si>
  <si>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</si>
  <si>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</si>
  <si>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Avery, Bladen, Chowan, Craven, Duplin, Guilford, Harnett, Hoke, Jones, Mitchell, Onslow, Pasquotank, Watauga</t>
  </si>
  <si>
    <t>Increase</t>
  </si>
  <si>
    <t>Decrease</t>
  </si>
  <si>
    <t>No Change</t>
  </si>
  <si>
    <t>Performance Indicator</t>
  </si>
  <si>
    <t>This information was not collected in 2020</t>
  </si>
  <si>
    <t>Performance Indicator Worksheet</t>
  </si>
  <si>
    <t>Fiscal Year</t>
  </si>
  <si>
    <t>Unit Number:</t>
  </si>
  <si>
    <t>Explanation of Performance Indicator</t>
  </si>
  <si>
    <t>Equal or greater than 1</t>
  </si>
  <si>
    <t>The unit must address the material and/or significant findings or any other findings that the auditor reported to them.</t>
  </si>
  <si>
    <t>Less than 3%</t>
  </si>
  <si>
    <t>Unit results</t>
  </si>
  <si>
    <t>Unit Data from Audit Worksheet tab: '(506+536-4-5-6)+647/(532+509+20-533-508)</t>
  </si>
  <si>
    <t>Unit Data from Audit Worksheet tab : (654-655-579-510)/(633-634-635-636-637-638-578)</t>
  </si>
  <si>
    <t>901</t>
  </si>
  <si>
    <t>902</t>
  </si>
  <si>
    <t>903</t>
  </si>
  <si>
    <t>904</t>
  </si>
  <si>
    <t>905</t>
  </si>
  <si>
    <t>967</t>
  </si>
  <si>
    <t>969</t>
  </si>
  <si>
    <t>970</t>
  </si>
  <si>
    <t>971</t>
  </si>
  <si>
    <t>972</t>
  </si>
  <si>
    <t>Date the Auditor presented or plans to present the Audit to the Governing Board</t>
  </si>
  <si>
    <t>Did the audit disclose any statutory violations in the notes that were not covered by findings?  Select Yes or No</t>
  </si>
  <si>
    <t>The Auditor will submit the Audit Report to the LGC by December 1, 2021   Select Yes or No</t>
  </si>
  <si>
    <t>The Performance Indicator Tab in this worksheet has at least one performance indicator of concern (indicated by a red shaded cell)</t>
  </si>
  <si>
    <t>TD Info Completed by Auditor : CCH acct # 979</t>
  </si>
  <si>
    <t>TD Info Completed by Auditor : CCH acct # 977</t>
  </si>
  <si>
    <t>If TD Info Completed by Auditor : CCH accts # 907, 951, 953, 955, 957, 973 had entries they would trigger this indicator</t>
  </si>
  <si>
    <t>Of the transfers-in above in acct # 352, list amount of transfers-in that were used to support Water Sewer operations  (exclude capital transfers)</t>
  </si>
  <si>
    <t>This information was not collected in 2021</t>
  </si>
  <si>
    <t>Unit Data from Audit worksheet tab : (984-985)/985</t>
  </si>
  <si>
    <t>Unit Data from Audit worksheet tab :  CCH acct # 991</t>
  </si>
  <si>
    <t>Unit Data from Audit worksheet tab :  CCH acct # 987</t>
  </si>
  <si>
    <t>TD Info Completed by Auditor : CCH acct # 978</t>
  </si>
  <si>
    <t xml:space="preserve">Electric Transfers-out have exceeded the amounts described in GS 159B-39.  If your unit is a member of the North Carolina Eastern Municipal Power Agency it appears you have violated the GS.  If you are not a member of the Eastern Municipal Power Agency we would like to understand what you are funding with the transfers-out and do you plan to continue this practice.  </t>
  </si>
  <si>
    <t>No over-expenditures</t>
  </si>
  <si>
    <t>The General Fund had a fund balance less than zero - Fund Deficit</t>
  </si>
  <si>
    <t>Unit Data from Audit worksheet tab :  CCH acct # 9</t>
  </si>
  <si>
    <t>In your response letter please review all the Electric performance indicators highlighted in red and provide a detailed financial plan that addresses these Electric issues.</t>
  </si>
  <si>
    <t xml:space="preserve">A Quick ratio less than 1 indicates that the amount the unit owes is larger than their cash investments and receivables.  This can indicate that the Fund may have difficulty in paying its current bills.  If this financial pattern remains the water and/or sewer system may not be sustainable in its current form.  </t>
  </si>
  <si>
    <t xml:space="preserve">This calculation subtracts (operating expenses - depreciation + debt principal paid) from operating revenues.  A negative balance in this indicates that your rate structure is not covering your operating expenses.  </t>
  </si>
  <si>
    <t>Please explain where the operating transfers-in are coming from, why they are being made, and if they will be continued.  Please exclude all capital transfers-in.  Only discuss transfers-in that are being used to support the operations of the Water Sewer Fund.  The rate structure of the Water Sewer fund should support the expenses of the Water Sewer Fund without operating subsidies from other funds.</t>
  </si>
  <si>
    <t>hidden data</t>
  </si>
  <si>
    <t>(532+509+20-533-508)</t>
  </si>
  <si>
    <t>GF  FBA without Powell Bill</t>
  </si>
  <si>
    <t>GF FBA% of Exp w/o Powell Bill</t>
  </si>
  <si>
    <t>WS Quick Ratio</t>
  </si>
  <si>
    <t>Operating Net Income (loss) excluding depreciation+ debt service principal</t>
  </si>
  <si>
    <t>+row295/CCH45</t>
  </si>
  <si>
    <t>Unrestricted cash / Total expenses less depreciation+depbt service principal</t>
  </si>
  <si>
    <t>Unit data from Audit Worksheet tab ; 84-85-49+331</t>
  </si>
  <si>
    <t>Unit Data from Audit worksheet tab : 80/(85+351-49+331)</t>
  </si>
  <si>
    <t>Elec  Quick Ratio</t>
  </si>
  <si>
    <t>Elec Quick ratio</t>
  </si>
  <si>
    <t>WS Unrestricted cash / Total expenses less depreciation+depbt service principal</t>
  </si>
  <si>
    <t>WS Operating Net Income (loss) excluding depreciation+ debt service principal</t>
  </si>
  <si>
    <t>80/(85+351-49+331)</t>
  </si>
  <si>
    <t>(657-658-511-581)/(639-640-641-642-643-644-580)</t>
  </si>
  <si>
    <t>Unit Data from Audit worksheet tab : (657-658-511-581)/(639-640-641-642-643-644-580)</t>
  </si>
  <si>
    <t>Elec Operating Net Income (loss) excluding depreciation+ debt service principal</t>
  </si>
  <si>
    <t>Elec Unrestricted cash / Total expenses less depreciation+depbt service principal</t>
  </si>
  <si>
    <t>47-511/48</t>
  </si>
  <si>
    <t>(90/(364+94-52+100)</t>
  </si>
  <si>
    <t>Unit Data from Audit worksheet tab : (90/(364+94-52+100)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</si>
  <si>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</si>
  <si>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</si>
  <si>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</si>
  <si>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</si>
  <si>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</si>
  <si>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</si>
  <si>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</si>
  <si>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</si>
  <si>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Unit Data from Audit worksheet tab :  CCH acct # 989 equaled "No"</t>
  </si>
  <si>
    <t>It is not uncommon for an Electric System with multiple performance indicators of concern to find that a proposed solution to one of the indicators also solves other performance indicators of concern.</t>
  </si>
  <si>
    <t>Unrestricted cash / Total expenses less depreciation+debt service principal</t>
  </si>
  <si>
    <t>Uni Number</t>
  </si>
  <si>
    <t>Electric Gross Annual Revenue</t>
  </si>
  <si>
    <t>527+356</t>
  </si>
  <si>
    <t>Tax rate for year audited</t>
  </si>
  <si>
    <t>Electric worksheet</t>
  </si>
  <si>
    <t>In addition to the any significant and material findings the Auditor can describe any additional issues the unit should address that affect the fiscal health or internal controls of the unit that were communicated to the unit during the Audit Presentation.</t>
  </si>
  <si>
    <t>Prior year CCH accounts 527, 356 and 93 along with current CCH account of this Data Input worksheet 648,366, 990 were used in this calculation</t>
  </si>
  <si>
    <t>Location of Documents for the 2021 Audit Submission Process</t>
  </si>
  <si>
    <t>Instructions for Audits with a Fiscal Year Ending Earlier than June 30, 2021</t>
  </si>
  <si>
    <t>Unit Name:</t>
  </si>
  <si>
    <t>A</t>
  </si>
  <si>
    <t>B</t>
  </si>
  <si>
    <t>C</t>
  </si>
  <si>
    <t>D</t>
  </si>
  <si>
    <t>E</t>
  </si>
  <si>
    <t>F</t>
  </si>
  <si>
    <t>G</t>
  </si>
  <si>
    <t>H</t>
  </si>
  <si>
    <t>Total expenditures used to determine a Unit's expenditure group</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</si>
  <si>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</si>
  <si>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</si>
  <si>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</si>
  <si>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</si>
  <si>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</si>
  <si>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</si>
  <si>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</si>
  <si>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</si>
  <si>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</si>
  <si>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</si>
  <si>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</si>
  <si>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</si>
  <si>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</si>
  <si>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</si>
  <si>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</si>
  <si>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</si>
  <si>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</si>
  <si>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</si>
  <si>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</si>
  <si>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</si>
  <si>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</si>
  <si>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</si>
  <si>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</si>
  <si>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</si>
  <si>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</si>
  <si>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</si>
  <si>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</si>
  <si>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</si>
  <si>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</si>
  <si>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</si>
  <si>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</si>
  <si>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</si>
  <si>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</si>
  <si>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</si>
  <si>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</si>
  <si>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</si>
  <si>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</si>
  <si>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</si>
  <si>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</si>
  <si>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</si>
  <si>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</si>
  <si>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</si>
  <si>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</si>
  <si>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</si>
  <si>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</si>
  <si>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</si>
  <si>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</si>
  <si>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</si>
  <si>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</si>
  <si>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</si>
  <si>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</si>
  <si>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</si>
  <si>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</si>
  <si>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</si>
  <si>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</si>
  <si>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</si>
  <si>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</si>
  <si>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</si>
  <si>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</si>
  <si>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</si>
  <si>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</si>
  <si>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</si>
  <si>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</si>
  <si>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</si>
  <si>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</si>
  <si>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</si>
  <si>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</si>
  <si>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</si>
  <si>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</si>
  <si>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</si>
  <si>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</si>
  <si>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</si>
  <si>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</si>
  <si>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</si>
  <si>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</si>
  <si>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</si>
  <si>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</si>
  <si>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</si>
  <si>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</si>
  <si>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</si>
  <si>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</si>
  <si>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</si>
  <si>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</si>
  <si>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</si>
  <si>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</si>
  <si>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</si>
  <si>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</si>
  <si>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</si>
  <si>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</si>
  <si>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</si>
  <si>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</si>
  <si>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</si>
  <si>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</si>
  <si>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</si>
  <si>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</si>
  <si>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</si>
  <si>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</si>
  <si>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</si>
  <si>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</si>
  <si>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</si>
  <si>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</si>
  <si>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</si>
  <si>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</si>
  <si>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</si>
  <si>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</si>
  <si>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</si>
  <si>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</si>
  <si>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</si>
  <si>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</si>
  <si>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</si>
  <si>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</si>
  <si>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</si>
  <si>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</si>
  <si>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</si>
  <si>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</si>
  <si>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</si>
  <si>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</si>
  <si>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</si>
  <si>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The budgeted tax levy for the General fund had more than 3% uncollected for the fiscal year audited - decreases are shown by a negative %</t>
  </si>
  <si>
    <t>The local government had a mandate placed on them by DEQ, a court order or some similar requirement (that has no realistic appeal path) that the financial effect will be greater than 3% of the WS Budget and is not yet budgeted.</t>
  </si>
  <si>
    <t>This tab need to have the most up-to-date UAL list on it at the time it is finalized</t>
  </si>
  <si>
    <t>34% -- Average of similar units is 68%</t>
  </si>
  <si>
    <t>25% -- Average of similar units is 50%</t>
  </si>
  <si>
    <t>71% -- Average of similar units is 142%</t>
  </si>
  <si>
    <t>100 -- Average of similar units is 300%</t>
  </si>
  <si>
    <t>Total of above CCH Accounts</t>
  </si>
  <si>
    <t>Total from Master Upload file</t>
  </si>
  <si>
    <t>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t>
  </si>
  <si>
    <t>84-85+49-331</t>
  </si>
  <si>
    <t>93-94+52-100</t>
  </si>
  <si>
    <t xml:space="preserve"> 93-94+52-100</t>
  </si>
  <si>
    <t>School Current Expense Report</t>
  </si>
  <si>
    <t>General Fund-Rev, Exp. Change in Fund Balance or General Fund Budget Actual</t>
  </si>
  <si>
    <t>Local Current Expense sent to Boards of Education (some units present this information in the detailed general fund statements after the notes)
Exclude: amounts for community colleges and 
                  supplemental taxes
Include: amounts spent on resource officers, 
                  nurses and Timber receipts</t>
  </si>
  <si>
    <t xml:space="preserve">How much of the above number in account 147 is from Timber Receipts sent to the schools </t>
  </si>
  <si>
    <t>Amount of Supplemental School Tax revenue recorded in the governmental funds.</t>
  </si>
  <si>
    <t>Amount of Supplemental School Tax revenue recorded in agency funds.</t>
  </si>
  <si>
    <t>All Gov. Funds Rev, Exp. Change in Fund Balance</t>
  </si>
  <si>
    <t>Capital Outlay contributions to the BOEs (include amounts from general fund, capital project funds and any other fund sent to the BOE as part of capital outlay)</t>
  </si>
  <si>
    <t>School Capital Outlay Report to the Legislature</t>
  </si>
  <si>
    <t xml:space="preserve">Amount of Supplemental School Tax revenue recorded in agency funds.
</t>
  </si>
  <si>
    <t># of other matters that auditor asked the unit to respond to.</t>
  </si>
  <si>
    <t>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t>
  </si>
  <si>
    <t>If the unit had PIs of concern, the issues were presented to the board and informed they needed to send Response Letter in 60 days</t>
  </si>
  <si>
    <t>item</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</si>
  <si>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</si>
  <si>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</si>
  <si>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</si>
  <si>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</si>
  <si>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</si>
  <si>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</si>
  <si>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</si>
  <si>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</si>
  <si>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Governmental Activities - Benchmarking Tool uses account 336 in the code to calculate liquidity quick ratio.  Must be included on imported to CCH and SQL database.</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</si>
  <si>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</si>
  <si>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</si>
  <si>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</si>
  <si>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</si>
  <si>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</si>
  <si>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</si>
  <si>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</si>
  <si>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</si>
  <si>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</si>
  <si>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</si>
  <si>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</si>
  <si>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Version Date 5/11/2021</t>
  </si>
  <si>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increasing revenues or decreasing expenditures.  </t>
  </si>
  <si>
    <t>This performance indicator calculates the number of months the unit has cash to pay it's annualized expenses (excluding depreciation)  The normal billing cycle is one month and an extra month gives a unit cash balance to handle unusual monthly expenditures.  This 16% would be a bare minimum necessary to keep the fund from experiencing cash flow issues</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</si>
  <si>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</si>
  <si>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Do you operate a landfill that will be closing  or have a significant portion closing within the next 5 years?  Select "1" for Yes and "2" for No</t>
  </si>
  <si>
    <t>Does the entity have an  effective pre-audit process to ensure that pervasive budgetary over- expenditures do not occur at the budget ordinance level? Select Yes or No</t>
  </si>
  <si>
    <t xml:space="preserve">Does the entity have an  effective pre-audit process to ensure that pervasive budgetary over- expenditures do not occur at the budget ordinance level? </t>
  </si>
  <si>
    <t xml:space="preserve">Estimated cost not yet budgeted of any mandate placed on unit by DEQ, a court order or some similar requirement (that has no realistic appeal path). </t>
  </si>
  <si>
    <t>The Unit had Statutory Violations listed in the Audit Report that should be addressed in the Unit Response Letter</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</si>
  <si>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</si>
  <si>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</si>
  <si>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</si>
  <si>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</si>
  <si>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</si>
  <si>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</si>
  <si>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</si>
  <si>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</si>
  <si>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</si>
  <si>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If unit is an employer participant in one of the State Cost Sharing Plans rows 182 - 184 should be blank.  Unless they have an additional single employer plan.</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</si>
  <si>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</si>
  <si>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</si>
  <si>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</si>
  <si>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</si>
  <si>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The Counties listed in cell H256 are scheduled to revalue property listing by 1/1/2022 according to the Dept. of Revenue records.  Please indicate if you expect your revaluation to: 
Enter  "20" for increase, 
            "21" for decrease, 
            "22" for no change,
            "23" if this question is not applicable</t>
  </si>
  <si>
    <t>Did the Unit have any of the following occur:
1.  Bond covenants were not met
2.  Debt service payments made late?  Deferred payments authorized by LGC or other state
     agencies should not be counted as late for purposes of this question.</t>
  </si>
  <si>
    <t>The unit had problems with debt service payments being late and/or did not comply with the bond covenants?</t>
  </si>
  <si>
    <t>TD Info Completed by Auditor : CCH acct # 974</t>
  </si>
  <si>
    <r>
      <t xml:space="preserve">Primary Government's  FYE </t>
    </r>
    <r>
      <rPr>
        <i/>
        <sz val="10"/>
        <color rgb="FF000000"/>
        <rFont val="Verdana"/>
        <family val="2"/>
      </rPr>
      <t>(MM/DD/YYYY)</t>
    </r>
  </si>
  <si>
    <r>
      <t xml:space="preserve">Date </t>
    </r>
    <r>
      <rPr>
        <i/>
        <sz val="10"/>
        <color theme="1"/>
        <rFont val="Verdana"/>
        <family val="2"/>
      </rPr>
      <t>(MM/DD/YYYY)</t>
    </r>
  </si>
  <si>
    <t>Hide This Column</t>
  </si>
  <si>
    <t>Muni</t>
  </si>
  <si>
    <t>Muni, county, utility authority</t>
  </si>
  <si>
    <t>Muni, Utility Authority</t>
  </si>
  <si>
    <t>As of the creation of this worksheet your unit was on the Unit Assistance List.  Please provide details of what progress you have made to date to improve the issues that placed you on the list and future progress you intend to make.  If you are unaware that you are on the Unit Assistance List please email LGCMonitoring@nctreasurer.com and request a copy of the letter notifying you of your status on the Unit Assistance List.</t>
  </si>
  <si>
    <t>Minimum Threshold</t>
  </si>
  <si>
    <t>In your response letter please review all the Water Sewer performance indicators highlighted in red and provide a detailed financial plan that addresses these water sewer issues.  It is not uncommon for a Water Sewer System with multiple performance indicators of concern to find that a proposed solution to one of the indicators also solves other performance indicators of concern.</t>
  </si>
  <si>
    <r>
      <t xml:space="preserve">If any </t>
    </r>
    <r>
      <rPr>
        <i/>
        <sz val="14"/>
        <color theme="1"/>
        <rFont val="Calibri"/>
        <family val="2"/>
        <scheme val="minor"/>
      </rPr>
      <t>Units Results</t>
    </r>
    <r>
      <rPr>
        <sz val="14"/>
        <color theme="1"/>
        <rFont val="Calibri"/>
        <family val="2"/>
        <scheme val="minor"/>
      </rPr>
      <t xml:space="preserve"> in Column F are shaded red then the unit must submit a "Response to the Auditor's Findings, Recommendations, and Fiscal Matters"  within 60 days from the Auditors board presentation.  The Response must address all performance indicators shaded in red.</t>
    </r>
  </si>
  <si>
    <t>Enterprise Funds:</t>
  </si>
  <si>
    <t>Miscellaneous</t>
  </si>
  <si>
    <t>Less than zero is below threshold</t>
  </si>
  <si>
    <t>Enterprise Funds other than WS and Electric</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</si>
  <si>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</si>
  <si>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</si>
  <si>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</si>
  <si>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</si>
  <si>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</si>
  <si>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</si>
  <si>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Combined Proprietary Funds - Change in Cash Flow Statement</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</si>
  <si>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</si>
  <si>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</si>
  <si>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</si>
  <si>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</si>
  <si>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BOE</t>
  </si>
  <si>
    <t>Hospital</t>
  </si>
  <si>
    <t>Net Position</t>
  </si>
  <si>
    <t>Unrestricted Cash &amp; Investments - all but exclude "Held by Trustee" or "3rd party restricted"</t>
  </si>
  <si>
    <t>Net Patient Accounts Receivable</t>
  </si>
  <si>
    <t>Unrestricted fund equity or net position</t>
  </si>
  <si>
    <t>Revenue, Expenses, Changes in Net Position</t>
  </si>
  <si>
    <t>Net Patient Revenues</t>
  </si>
  <si>
    <t>Total Operating Revenues</t>
  </si>
  <si>
    <t xml:space="preserve">Capital Contributions </t>
  </si>
  <si>
    <t>Change in Net Position</t>
  </si>
  <si>
    <t>Cash Flows</t>
  </si>
  <si>
    <t>Capital Outlays</t>
  </si>
  <si>
    <t>Principal Paid - Long-term Debt</t>
  </si>
  <si>
    <t>Total Long-term debt (non current portion only) - enter as a positive</t>
  </si>
  <si>
    <t>Total Operating Expenses. May include Interest Expense - Enter as a positive</t>
  </si>
  <si>
    <t xml:space="preserve">Interest Expense - Enter as a positive </t>
  </si>
  <si>
    <r>
      <t>Gross Capital Assets-</t>
    </r>
    <r>
      <rPr>
        <b/>
        <sz val="11"/>
        <rFont val="Calibri"/>
        <family val="2"/>
        <scheme val="minor"/>
      </rPr>
      <t>Prior Year</t>
    </r>
  </si>
  <si>
    <r>
      <t>Gross Annual Revenue-</t>
    </r>
    <r>
      <rPr>
        <b/>
        <sz val="11"/>
        <rFont val="Calibri"/>
        <family val="2"/>
        <scheme val="minor"/>
      </rPr>
      <t>Prior Year</t>
    </r>
  </si>
  <si>
    <r>
      <rPr>
        <b/>
        <i/>
        <sz val="11"/>
        <rFont val="Calibri"/>
        <family val="2"/>
        <scheme val="minor"/>
      </rPr>
      <t>Amount Transferred minus PILOT (cell F23)</t>
    </r>
    <r>
      <rPr>
        <i/>
        <sz val="11"/>
        <rFont val="Calibri"/>
        <family val="2"/>
        <scheme val="minor"/>
      </rPr>
      <t xml:space="preserve"> is calculated by taking the Amount Transferred per Audit (cell F14) and subtracting the greater amount of PILOT (cells F19 and G19). When cell F23 exceeds the statutory calculation in cell F27, you will get an error message "No, unit exceeds limit by:"</t>
    </r>
  </si>
  <si>
    <r>
      <rPr>
        <b/>
        <i/>
        <sz val="11"/>
        <rFont val="Calibri"/>
        <family val="2"/>
        <scheme val="minor"/>
      </rPr>
      <t>Payment in Lieu of Taxes Error (cells F32 - F33):</t>
    </r>
    <r>
      <rPr>
        <i/>
        <sz val="11"/>
        <rFont val="Calibri"/>
        <family val="2"/>
        <scheme val="minor"/>
      </rPr>
      <t xml:space="preserve">  When the "Actual Pilot" (cell F19) doesn't agree with the "Calculated Pilot" (cell G19) you will get an error message requiring you to investigate variance.</t>
    </r>
  </si>
  <si>
    <r>
      <t xml:space="preserve">Notes From Auditor
</t>
    </r>
    <r>
      <rPr>
        <sz val="11"/>
        <color theme="1"/>
        <rFont val="Calibri"/>
        <family val="2"/>
        <scheme val="minor"/>
      </rPr>
      <t>The Auditor can use the cells below to provide additional details that are pertinent to the performance indicator.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</si>
  <si>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</si>
  <si>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</si>
  <si>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</si>
  <si>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Total Gross Capital Assets - without accumulated depreciation</t>
  </si>
  <si>
    <t>Combined Totals of all Proprietary Funds - Amount of Inventories and Prepaids in current assets</t>
  </si>
  <si>
    <t>Statement of Net Position - combined totals from all Proprietary Funds</t>
  </si>
  <si>
    <t>Mental Health Net Position - Net Investment in Capital Assets</t>
  </si>
  <si>
    <t>Mental Health Net Position - Restricted Net Position</t>
  </si>
  <si>
    <t>Total Transfers in    (Preference is that transfers-in  are not netted against transfers-out)</t>
  </si>
  <si>
    <t>Total Transfers out    (Preference is that transfers-in  are not netted against transfers-out)</t>
  </si>
  <si>
    <t>Mental Health-Balance Sheet - Non GAAP</t>
  </si>
  <si>
    <t>Total Liabilities payable from restricted assets (only complete if this if unit has listed this account in their financial statements for the Mental Health Enterprise Fund Non GAAP and the auditor has listed the cash to be used to pay the liabilities as restricted)</t>
  </si>
  <si>
    <t>Current Liabilities 
Exclude: all deferred inflows
                 current debt service payments
Include: Liabilities payable from restricted assets.</t>
  </si>
  <si>
    <t xml:space="preserve">Mental Health Enterprise Fund Non GAAP deferred inflows or liabilities derived from cash receipts.   </t>
  </si>
  <si>
    <t>Total expenditures  
Exclude: expenditures in the ""other financing sources (uses)"" section.</t>
  </si>
  <si>
    <t xml:space="preserve">All unrestricted cash and investments.  
Exclude restricted cash and cash held by a third party. </t>
  </si>
  <si>
    <t>Total Proceeds from all long-term debt issuances 
Exclude: proceeds from refundings</t>
  </si>
  <si>
    <t>Mental Health Enterprise Fund Non GAAP-Rev, Exp. Change in Fund Balance</t>
  </si>
  <si>
    <t>Mental Health Enterprise Fund Non GAAP -  Total Encumbrances.  You will have to refer to the note disclosure where the amount of encumbrances is listed.</t>
  </si>
  <si>
    <t>Please enter the principal and interest due next fiscal year on existing borrowings.</t>
  </si>
  <si>
    <t>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t>
  </si>
  <si>
    <t>Please enter your tax rate for ad valorem in effect for fiscal year audited.  Example 60 cents per 100 would be entered as .60</t>
  </si>
  <si>
    <t>Business Type - Total Transfers In</t>
  </si>
  <si>
    <t>Business Type - Total Transfers Out</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</si>
  <si>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</si>
  <si>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</si>
  <si>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</si>
  <si>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</si>
  <si>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Liabilities from Restricted Assets</t>
  </si>
  <si>
    <t xml:space="preserve">MH Enterprise Fund Non GAAP - Total Expenditures </t>
  </si>
  <si>
    <t xml:space="preserve">MH- Proceeds from LTD </t>
  </si>
  <si>
    <t>MH Enterprise Fund Non GAAP - Positive debt refund</t>
  </si>
  <si>
    <t>MH Enterprise Fund Non GAAP - Transfers Out</t>
  </si>
  <si>
    <t>MH Enterprise Fund Non GAAP - Encumbrances</t>
  </si>
  <si>
    <t>MH Enterprise Fund P &amp; I Due next year</t>
  </si>
  <si>
    <t>Hospital/MH -EF- Total Gross Capital Assets (BS), w/o acc. dep.</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</si>
  <si>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</si>
  <si>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</si>
  <si>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</si>
  <si>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</si>
  <si>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</si>
  <si>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</si>
  <si>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</si>
  <si>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</si>
  <si>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</si>
  <si>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</si>
  <si>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</si>
  <si>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</si>
  <si>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</si>
  <si>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</si>
  <si>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</si>
  <si>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</si>
  <si>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</si>
  <si>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</si>
  <si>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</si>
  <si>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</si>
  <si>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</si>
  <si>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</si>
  <si>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</si>
  <si>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</si>
  <si>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</si>
  <si>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</si>
  <si>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</si>
  <si>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</si>
  <si>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</si>
  <si>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</si>
  <si>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</si>
  <si>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</si>
  <si>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</si>
  <si>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</si>
  <si>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</si>
  <si>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</si>
  <si>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</si>
  <si>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</si>
  <si>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</si>
  <si>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</si>
  <si>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</si>
  <si>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</si>
  <si>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</si>
  <si>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</si>
  <si>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</si>
  <si>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</si>
  <si>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t xml:space="preserve">Amount of </t>
    </r>
    <r>
      <rPr>
        <u/>
        <sz val="11"/>
        <color indexed="8"/>
        <rFont val="Calibri"/>
        <family val="2"/>
        <scheme val="minor"/>
      </rPr>
      <t>Local Current Expense Funds</t>
    </r>
    <r>
      <rPr>
        <sz val="11"/>
        <color indexed="8"/>
        <rFont val="Calibri"/>
        <family val="2"/>
        <scheme val="minor"/>
      </rPr>
      <t xml:space="preserve"> received from the County transferred to Fund 8 this year.</t>
    </r>
  </si>
  <si>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</si>
  <si>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</si>
  <si>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t xml:space="preserve">Total Long-term debt (non current portion only) - </t>
    </r>
    <r>
      <rPr>
        <sz val="11"/>
        <color indexed="10"/>
        <rFont val="Calibri"/>
        <family val="2"/>
        <scheme val="minor"/>
      </rPr>
      <t>enter as a positive</t>
    </r>
  </si>
  <si>
    <r>
      <t xml:space="preserve">Total Operating Expenses. May include Interest Expense - </t>
    </r>
    <r>
      <rPr>
        <sz val="11"/>
        <color indexed="10"/>
        <rFont val="Calibri"/>
        <family val="2"/>
        <scheme val="minor"/>
      </rPr>
      <t>Enter as a positive</t>
    </r>
  </si>
  <si>
    <r>
      <t xml:space="preserve">Interest Expense - </t>
    </r>
    <r>
      <rPr>
        <sz val="11"/>
        <color indexed="10"/>
        <rFont val="Calibri"/>
        <family val="2"/>
        <scheme val="minor"/>
      </rPr>
      <t xml:space="preserve">Enter as a positive </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</si>
  <si>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</si>
  <si>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</si>
  <si>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</si>
  <si>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</si>
  <si>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</si>
  <si>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</si>
  <si>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</si>
  <si>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</si>
  <si>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</si>
  <si>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</si>
  <si>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</si>
  <si>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</si>
  <si>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</si>
  <si>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</si>
  <si>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</si>
  <si>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</si>
  <si>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</si>
  <si>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</si>
  <si>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</si>
  <si>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</si>
  <si>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</si>
  <si>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</si>
  <si>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or No</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</si>
  <si>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 or No</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</si>
  <si>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</si>
  <si>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</si>
  <si>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</si>
  <si>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</si>
  <si>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</si>
  <si>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</si>
  <si>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</si>
  <si>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</si>
  <si>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</si>
  <si>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</si>
  <si>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</si>
  <si>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</si>
  <si>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</si>
  <si>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</si>
  <si>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</si>
  <si>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</si>
  <si>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</si>
  <si>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</si>
  <si>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</si>
  <si>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</si>
  <si>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</si>
  <si>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</si>
  <si>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</si>
  <si>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</si>
  <si>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</si>
  <si>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</si>
  <si>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</si>
  <si>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</si>
  <si>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</si>
  <si>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</si>
  <si>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</si>
  <si>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</si>
  <si>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</si>
  <si>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</si>
  <si>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</si>
  <si>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</si>
  <si>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</si>
  <si>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</si>
  <si>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</si>
  <si>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</si>
  <si>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</si>
  <si>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</si>
  <si>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</si>
  <si>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</si>
  <si>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</si>
  <si>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</si>
  <si>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</si>
  <si>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</si>
  <si>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Hospital-EF- Unrestricted Cash &amp; Invest. [Incl.all but Held by Trustee or 3rd party restricted](BS)</t>
  </si>
  <si>
    <t>Unit Data from Audit Worksheet tab: '(506+536-4-5-6-11)+647/(532+509+20-533-508)</t>
  </si>
  <si>
    <t>County only</t>
  </si>
  <si>
    <t>hide for muni, county, utility</t>
  </si>
  <si>
    <t>MH Enterprise Fund Non GAAP - Negative debt refund</t>
  </si>
  <si>
    <t>Mental Health Net Position - Unrestricted Net Position</t>
  </si>
  <si>
    <t>Messages</t>
  </si>
  <si>
    <t>not on 2020 Data</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</si>
  <si>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</si>
  <si>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</si>
  <si>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t>Comb-Proprietary Funds-Current Assets 
Exclude: any restricted assets
                  deferred outflows</t>
  </si>
  <si>
    <t>Mental Health Enterprise Fund Non GAAP (Budget Actual Statements behind the notes)</t>
  </si>
  <si>
    <t>Mental Health or Hospital-EF- Patient Accounts Receivable, Net of Allowance for Bad Debt</t>
  </si>
  <si>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</si>
  <si>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</si>
  <si>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</si>
  <si>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</si>
  <si>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</si>
  <si>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</si>
  <si>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</si>
  <si>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</si>
  <si>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</si>
  <si>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</si>
  <si>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</si>
  <si>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</si>
  <si>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</si>
  <si>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</si>
  <si>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</si>
  <si>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</si>
  <si>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</si>
  <si>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Debt Service Fund Balance</t>
  </si>
  <si>
    <t>Is there is a going concern finding noted in the audit report</t>
  </si>
  <si>
    <t>Did unit have problems with debt service payments being late, debt restructured or not meeting bond covenants</t>
  </si>
  <si>
    <t>Were there statutory violations disclosed in the audit</t>
  </si>
  <si>
    <t>Were major funds overspent</t>
  </si>
  <si>
    <t>If you answered "yes" to question CCH #988 above, will you have the closure/postclosure cost fully funded by the date of closure</t>
  </si>
  <si>
    <t>Greater than 16% (2 months)</t>
  </si>
  <si>
    <t>It appears your Water Sewer fund(s) have  transfers-in for the support of operations that are greater than 3% of the total of operating and non-operating expenses.  Please discuss the purpose of such transfers-in and if you plan to continue these transfers-in.</t>
  </si>
  <si>
    <t>Unit Data from Audit worksheet tab :  CCH acct # 986 is greater than (CCH 85+CCH 351)*.03</t>
  </si>
  <si>
    <t>If you encounter an Excel error in the various indicators such as "false", "#DIV/0!" OR "#NA", normally the reason is you did not to answer one of the questions used to calculate the formula - Column G provides the accounts and formula used in the calculation.  If the Unit Results cell is red, please verify that the data is entered correctly in the "Unit Data From Audit Worksheet" or "TD Info Completed by Auditor" as indicated for accounts listed in Column G.</t>
  </si>
  <si>
    <t>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increase revenues or decrease expenditures.  The Threshold tab in this worksheet discusses the various expenditure groupings.</t>
  </si>
  <si>
    <t>On the Unit Assistance List</t>
  </si>
  <si>
    <t>You have indicated that you have a  landfill that will be closing  or have a significant portion closing within the next 5 years  and will have the closure/postclosure cost fully funded by the date of closure.</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</si>
  <si>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</si>
  <si>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Note one month of expenditures is equal to 8.33%.  In your Response Letter please provide detail plans on how your unit will improve your available fund balance.  Normally, a unit has to either increasing revenues or decreasing expenditures.  </t>
  </si>
  <si>
    <t>Unit Data from Audit Worksheet tab: (13-534)/14</t>
  </si>
  <si>
    <t>Available Fund Balance + debt service fund balance / Total Expenditures and Transfers-out less bond proceeds</t>
  </si>
  <si>
    <t>Select Unit Name from Drop Down List</t>
  </si>
  <si>
    <t>The General Fund had a fund balance available less than 8% or one month of expenditures</t>
  </si>
  <si>
    <t>Section 1: Data Collection NOTE:  the data submitted below may be used in various published reports</t>
  </si>
  <si>
    <t>The  name of the Primary Government for the file name and in question 1 should not contain the words "Town of", Village of" etc…..The City of Dogwood = Dogwood</t>
  </si>
  <si>
    <t>Copy of final Ual as of 4/23/2021 based on June 30 2020 audited financals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</si>
  <si>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</si>
  <si>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</si>
  <si>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</si>
  <si>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</si>
  <si>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</si>
  <si>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</si>
  <si>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</si>
  <si>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</si>
  <si>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</si>
  <si>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</si>
  <si>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</si>
  <si>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</si>
  <si>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</si>
  <si>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</si>
  <si>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</si>
  <si>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</si>
  <si>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</si>
  <si>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</si>
  <si>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</si>
  <si>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</si>
  <si>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</si>
  <si>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</si>
  <si>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</si>
  <si>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</si>
  <si>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</si>
  <si>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</si>
  <si>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</si>
  <si>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</si>
  <si>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</si>
  <si>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</si>
  <si>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</si>
  <si>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</si>
  <si>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</si>
  <si>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</si>
  <si>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</si>
  <si>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</si>
  <si>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</si>
  <si>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</si>
  <si>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</si>
  <si>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</si>
  <si>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</si>
  <si>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</si>
  <si>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</si>
  <si>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</si>
  <si>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</si>
  <si>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Davie County</t>
  </si>
  <si>
    <t>Graham County</t>
  </si>
  <si>
    <t>Martin County</t>
  </si>
  <si>
    <t>Person County</t>
  </si>
  <si>
    <t>Bay River Metropolitan Sewer District</t>
  </si>
  <si>
    <t>Brunswick Regional Water Sewer - H2GO</t>
  </si>
  <si>
    <t>Maggie Valley Sanitary District</t>
  </si>
  <si>
    <t>Ocracoke Sanitary District</t>
  </si>
  <si>
    <t>Swan Quarter Sanitary District</t>
  </si>
  <si>
    <t>PERFORMANCE INDICATORS OF CONCERN</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</si>
  <si>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then the unit must submit a "Response to the Auditor's Findings, Recommendations, and Fiscal Matters" within 60 days from the auditor's board presentation.  The response must address all performance indicators shaded in red.</t>
  </si>
  <si>
    <t>Fiscal Year 2021</t>
  </si>
  <si>
    <t>In the past, units of government have been grouped by population to evaluate various ratios and benchmarking.  This year we have also grouped units by expenditure which is a more effective comparison for some ratios.  Beginning with this year, units of government have been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</si>
  <si>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GENERAL FUND:</t>
  </si>
  <si>
    <t>Unit Results</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</si>
  <si>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less Powell Bill.  This number is them divided by the total of total expenditures plus transfers out less bond proceeds.</t>
  </si>
  <si>
    <t>It is not uncommon for a Water Sewer System with multiple performance indicators of concern to find that a proposed solution to one of the indicators also solves other performance indicators of concern.</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</si>
  <si>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</si>
  <si>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2019</t>
  </si>
  <si>
    <t>2020</t>
  </si>
  <si>
    <t>2021</t>
  </si>
  <si>
    <t>Greater than zero</t>
  </si>
  <si>
    <t xml:space="preserve">This calculation subtracts operating expenses (which also includes depreciation and debt principal paid) from operating revenues.  A negative balance indicates that your rates are not covering your operating expenses.  </t>
  </si>
  <si>
    <t>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This 16% would be the bare minimum necessary to keep the fund from experiencing cash flow issues.</t>
  </si>
  <si>
    <t>Unit Data from Audit worksheet tab :  CCH acct # 986 is greater than (CCH 112+CCH 109)*.03</t>
  </si>
  <si>
    <t>The rate structure of the Water Sewer fund should support the expenses of the Fund without operating subsidies or transfers from other funds.</t>
  </si>
  <si>
    <t>ELECTRIC FUND:</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</si>
  <si>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</si>
  <si>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 xml:space="preserve">This calculation subtracts operating expenses (which also includes depreciation and debt principal paid) from operating revenues.  A negative balance in this indicates that your rates are not covering your operating expenses.  </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</si>
  <si>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</si>
  <si>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</si>
  <si>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</si>
  <si>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shows that the local government did not collect 3% (or more) of its budgeted tax levy.  This could be an indicator of negative economic events, inaccurate budgeting, and/or issues with the collection process.  Uncollected revenues at the 3% level represent several pennies of the tax rate.</t>
  </si>
  <si>
    <t>You indicated that you expect a decrease in property value for your next property revaluation.   In your Response Letter please discuss the magnitude of the drop in valuation, the overall cause of the drop and how your County plans to recover the lost revenues.</t>
  </si>
  <si>
    <t>Any estimated decrease</t>
  </si>
  <si>
    <t>You indicated that you expect a decrease in property value for your next property revaluation which could result in lost tax revenue.</t>
  </si>
  <si>
    <t>The unit had expenditures that exceeded the legal budget ordinance.  This indicates that the unit's purchase order system, contract approval process and / or payment process is not in compliance with North Carolina General Statute 159.</t>
  </si>
  <si>
    <t xml:space="preserve">The local government has indicated there is substantial unbudgeted costs that could significantly impact their operations and/or customer rates.  </t>
  </si>
  <si>
    <t>If a unit has no performance indicators of concern that would require them to submit a Response to Audit Findings, Recommendations and Fiscal Matters, but they are currently on the  Unit Assistance List, they must still submit a Response to Audit Findings, Recommendations and Fiscal Matters.  Their response should discuss the financial plan they have developed to address the issues that placed them on the Unit Assistance List and the progress they have made to date.</t>
  </si>
  <si>
    <t>This indicator lists whether the unit has a statutory violation.</t>
  </si>
  <si>
    <t>This indicator lists whether or not the unit has issues with debt service payments or bond covenants.</t>
  </si>
  <si>
    <t>This indicator tells if you have a landfill that is estimated to close within 5 years but the unit may not have enough funds for the closure/post closure costs.</t>
  </si>
  <si>
    <t>This indicator states whether or not your auditor has identified material and/or significant findings or any other findings for your unit.</t>
  </si>
  <si>
    <t>This indicator shows if there were transfer out of the Electric Fund.  This only applies to units that are subject to  GS 159B-39 : Apex, Ayden, Belhaven, Benson, Clayton, Edenton, Elizabeth City, Farmville, Fremont, Greenville, Hamilton, Hertford, Hobgood, Hookerton, Kinston, LaGrange, Laurinburg, Louisburg, Lumberton, New Bern, Pikeville, Red Springs, Robersonville, Rocky Mount, Scotland Neck, Selma, Smithfield, Southport, Tarboro, Wake Forest, Washington, and Wilson.</t>
  </si>
  <si>
    <t>Please explain the additional issue the unit needs to address in column H to the right.</t>
  </si>
  <si>
    <t>This indicator lists any other issues that the unit should address.</t>
  </si>
  <si>
    <t>If you encounter an Excel error in the various indicators such as "false", "#DIV/0!" OR "#NA", normally the reason is you did not to answer one of the questions used to calculate the formula - This column provides the accounts and formula used in the calculation.  If the Unit Results cell is red, please verify that the data is entered correctly in the "Unit Data From Audit Worksheet" or "TD Info Completed by Auditor" as indicated for accounts listed in Column G.</t>
  </si>
  <si>
    <t>Print Area is set to exclude column I and J</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</si>
  <si>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This number is them divided by the total of total expenditures plus transfers out less bond proceeds.</t>
  </si>
  <si>
    <t>Water Sewer Fund</t>
  </si>
  <si>
    <t>The Auditor will submit the Audit Report to the LGC within five months plus one day after the fiscal year end.  (for units with a June 30th fiscal year-end this would be December 1)   Select Yes or No</t>
  </si>
  <si>
    <t>The 2021 Audit Report is expected to be submitted within five months plus one day from the fiscal year end per the auditor.  (December 1st for most units)</t>
  </si>
  <si>
    <t>5 months plus one day after the fiscal year end</t>
  </si>
  <si>
    <t>Unit data from Audit Worksheet tab ; 84-85+49-331</t>
  </si>
  <si>
    <t>Unit Data from Audit worksheet tab : 93-94+52-100</t>
  </si>
  <si>
    <t>do not delete row</t>
  </si>
  <si>
    <t>Ahoskie</t>
  </si>
  <si>
    <t>Alamance</t>
  </si>
  <si>
    <t>Albemarle</t>
  </si>
  <si>
    <t>Alliance</t>
  </si>
  <si>
    <t>Angier</t>
  </si>
  <si>
    <t>Ansonville</t>
  </si>
  <si>
    <t>Apex</t>
  </si>
  <si>
    <t>Arapahoe</t>
  </si>
  <si>
    <t>Archdale</t>
  </si>
  <si>
    <t>Archer Lodge</t>
  </si>
  <si>
    <t>Asheboro</t>
  </si>
  <si>
    <t>Asheville</t>
  </si>
  <si>
    <t>Atkinson</t>
  </si>
  <si>
    <t>Atlantic Beach</t>
  </si>
  <si>
    <t>Aurora</t>
  </si>
  <si>
    <t>Autryville</t>
  </si>
  <si>
    <t>Bakersville</t>
  </si>
  <si>
    <t>Bald Head Island</t>
  </si>
  <si>
    <t>Banner Elk</t>
  </si>
  <si>
    <t>Bayboro</t>
  </si>
  <si>
    <t>Bear Grass</t>
  </si>
  <si>
    <t>Beaufort</t>
  </si>
  <si>
    <t>Beech Mountain</t>
  </si>
  <si>
    <t>Belwood</t>
  </si>
  <si>
    <t>Benson</t>
  </si>
  <si>
    <t>Bermuda Run</t>
  </si>
  <si>
    <t>Bessemer City</t>
  </si>
  <si>
    <t>Bethania</t>
  </si>
  <si>
    <t>Beulaville</t>
  </si>
  <si>
    <t>Biltmore Forest</t>
  </si>
  <si>
    <t>Biscoe</t>
  </si>
  <si>
    <t>Black Mountain</t>
  </si>
  <si>
    <t>Bladenboro</t>
  </si>
  <si>
    <t>Blowing Rock</t>
  </si>
  <si>
    <t>Bogue</t>
  </si>
  <si>
    <t>Boiling Spring Lakes</t>
  </si>
  <si>
    <t>Boiling Springs</t>
  </si>
  <si>
    <t>Bolivia</t>
  </si>
  <si>
    <t>Boone</t>
  </si>
  <si>
    <t>Boonville</t>
  </si>
  <si>
    <t>Bostic</t>
  </si>
  <si>
    <t>Bridgeton</t>
  </si>
  <si>
    <t>Broadway</t>
  </si>
  <si>
    <t>Brookford</t>
  </si>
  <si>
    <t>Brunswick</t>
  </si>
  <si>
    <t>Bryson City</t>
  </si>
  <si>
    <t>Burgaw</t>
  </si>
  <si>
    <t>Burlington</t>
  </si>
  <si>
    <t>Burnsville</t>
  </si>
  <si>
    <t>Butner</t>
  </si>
  <si>
    <t>Year 2019</t>
  </si>
  <si>
    <t xml:space="preserve">                                                       -  </t>
  </si>
  <si>
    <t xml:space="preserve">                                     -  </t>
  </si>
  <si>
    <t>Hospital-EF- Change in Net Position</t>
  </si>
  <si>
    <t>OPEB- Annual Cost/Expenses</t>
  </si>
  <si>
    <t>WS-EF- Net Infrastructure Capital Assets-incl deprec. Exclude vehciles, furniture, computers, etc</t>
  </si>
  <si>
    <t>Retiree Premiums pd by unit</t>
  </si>
  <si>
    <t>Amt interest-investment income for Gov. Prop. Funds</t>
  </si>
  <si>
    <t>"OPEB 
1-implicit rate only 
2-no benefit 
3-benfit 
4- state health plan  "</t>
  </si>
  <si>
    <t>The Unfunded actuarially accrued liability for the unit's LEO benefit.</t>
  </si>
  <si>
    <t>Internal Control-1) no IC issues 2)Inmaterial 3) Unit letter for IC 4) Unit visit for IC</t>
  </si>
  <si>
    <t>CCH 997</t>
  </si>
  <si>
    <t>LGC Records indicate that your unit has an operational Water and/or Sewer system and needs to complete the Water Sewer Question</t>
  </si>
  <si>
    <t>Master 2020</t>
  </si>
  <si>
    <t>Year 2020</t>
  </si>
  <si>
    <t xml:space="preserve">                                    -  </t>
  </si>
  <si>
    <t>Electric-Current Liabilities - bond anticipation</t>
  </si>
  <si>
    <t xml:space="preserve"> GF - Fund balance, Assigned</t>
  </si>
  <si>
    <t xml:space="preserve">Total Current assets as listed on the Electric Net Position Statement. </t>
  </si>
  <si>
    <t>total expenditures for FBA Calculation</t>
  </si>
  <si>
    <t xml:space="preserve"> 331+89 </t>
  </si>
  <si>
    <t xml:space="preserve">                                                  -  </t>
  </si>
  <si>
    <t>Electric Gross Capital Assets</t>
  </si>
  <si>
    <t xml:space="preserve">Performance Indicator Tab Target for FBA - County </t>
  </si>
  <si>
    <t>should equal column E on 2021 DIW</t>
  </si>
  <si>
    <t>Please indicate if you expect your revaluation to increase, decrease, or no change.  If you are not listed please select N/A</t>
  </si>
  <si>
    <t>I</t>
  </si>
  <si>
    <t>Do you operate a landfill that will be closing  or have a significant portion closing within the next 5 years</t>
  </si>
  <si>
    <t>Please have the completed audit report available to complete this form.  ALL questions must be answered before submitting to the portal.</t>
  </si>
  <si>
    <t>New for Fiscal 2021 -  Data Input Workbook incorporates the
Unit Data from Audit Worksheet, TD Info Completed by Auditor Worksheet, Performance Indicators Print Worksheet</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</si>
  <si>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</si>
  <si>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</si>
  <si>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</si>
  <si>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</si>
  <si>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</si>
  <si>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</si>
  <si>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</si>
  <si>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</si>
  <si>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</si>
  <si>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on lines 319-323 of the worksheet.  The worksheet must be </t>
    </r>
    <r>
      <rPr>
        <b/>
        <sz val="12"/>
        <color indexed="8"/>
        <rFont val="Cambria"/>
        <family val="1"/>
      </rPr>
      <t>submitted with the unit’s audit report</t>
    </r>
    <r>
      <rPr>
        <sz val="12"/>
        <color indexed="8"/>
        <rFont val="Cambria"/>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</si>
  <si>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</si>
  <si>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</si>
  <si>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</si>
  <si>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 xml:space="preserve">The TD Info Completed by Auditor Worksheet is to be filled out using the completed audit report for the fiscal year 2021. </t>
  </si>
  <si>
    <t>Please remember the original 2021 audit report submission cannot be processed unless we receive the following:</t>
  </si>
  <si>
    <t xml:space="preserve">- PDF file of the Audit Report named “Unit Name 2021 Audit”             </t>
  </si>
  <si>
    <t>- PDF file of all communication letters from the auditor to the unit  named “Unit Name 2021 comm #1”, “Unit Name 2021 comm #2”, etc.</t>
  </si>
  <si>
    <t xml:space="preserve">- Excel file named “Unit Name 2021 Data Input Workbook" </t>
  </si>
  <si>
    <t>We cannot complete our review process when "protection" is placed on the submitted documents.</t>
  </si>
  <si>
    <r>
      <t xml:space="preserve">We have added questions to the  2021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</si>
  <si>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</si>
  <si>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</si>
  <si>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r>
      <t xml:space="preserve">If you are performing an audit for a year earlier than June 30, 2021, please email </t>
    </r>
    <r>
      <rPr>
        <b/>
        <sz val="12"/>
        <color theme="1"/>
        <rFont val="Cambria"/>
        <family val="1"/>
      </rPr>
      <t>LGCAudit@nctreasurer.com</t>
    </r>
    <r>
      <rPr>
        <sz val="12"/>
        <color theme="1"/>
        <rFont val="Cambria"/>
        <family val="1"/>
      </rPr>
      <t>, as you will need to use the appropriate transmittal and data input document for that time period.</t>
    </r>
  </si>
  <si>
    <t xml:space="preserve">NC DEPARTMENT OF STATE TREASURER- STATE AND LOCAL GOVERNMENT FINANCE DIVISION
 TD Info Completed by Auditor
</t>
  </si>
  <si>
    <t>Please do not enter prior's years beginning balance as an adjustment in column F.</t>
  </si>
  <si>
    <t>Formula in cell E250</t>
  </si>
  <si>
    <t>Formula in cell E251</t>
  </si>
  <si>
    <t>Version Date 8/19/2021</t>
  </si>
  <si>
    <t>If you appropriated General Fund Balance in your 2021 budget and your "change in fund balance": (account # 23 above) is negative, please select from the drop down box in column F either "operations" or "capital", whichever best describes what the fund balance was used for.  If you select "Capital" please briefly describe in column G to the right the capital items.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</si>
</sst>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0.0_);[Red]\(#,##0.0\)"/>
    <numFmt numFmtId="184" formatCode="_(* #,##0.00000_);_(* \(#,##0.00000\);_(* &quot;-&quot;??_);_(@_)"/>
  </numFmts>
  <fonts count="215"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11"/>
      <color indexed="9"/>
      <name val="Calibri"/>
      <family val="2"/>
      <scheme val="minor"/>
    </font>
    <font>
      <sz val="8"/>
      <name val="Calibri"/>
      <family val="2"/>
      <scheme val="minor"/>
    </font>
    <font>
      <sz val="11"/>
      <color rgb="FFC00000"/>
      <name val="Calibri"/>
      <family val="2"/>
      <scheme val="minor"/>
    </font>
    <font>
      <sz val="9"/>
      <color theme="1"/>
      <name val="Century Schoolbook"/>
      <family val="1"/>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sz val="8"/>
      <color theme="0"/>
      <name val="Calibri"/>
      <family val="2"/>
      <scheme val="minor"/>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color rgb="FF000000"/>
      <name val="Verdana"/>
      <family val="2"/>
    </font>
    <font>
      <b/>
      <sz val="12"/>
      <color rgb="FF000000"/>
      <name val="Verdana"/>
      <family val="2"/>
    </font>
    <font>
      <sz val="10"/>
      <color theme="0"/>
      <name val="Verdana"/>
      <family val="2"/>
    </font>
    <font>
      <b/>
      <sz val="22"/>
      <color theme="0"/>
      <name val="Verdana"/>
      <family val="2"/>
    </font>
    <font>
      <b/>
      <sz val="10"/>
      <color rgb="FFFF0000"/>
      <name val="Verdana"/>
      <family val="2"/>
    </font>
    <font>
      <b/>
      <sz val="10"/>
      <name val="Verdana"/>
      <family val="2"/>
    </font>
    <font>
      <sz val="10"/>
      <name val="Verdana"/>
      <family val="2"/>
    </font>
    <font>
      <b/>
      <sz val="14"/>
      <color theme="0"/>
      <name val="Verdana"/>
      <family val="2"/>
    </font>
    <font>
      <sz val="14"/>
      <color theme="0"/>
      <name val="Verdana"/>
      <family val="2"/>
    </font>
    <font>
      <sz val="10"/>
      <color theme="0" tint="-0.14999847407452621"/>
      <name val="Verdana"/>
      <family val="2"/>
    </font>
    <font>
      <sz val="10"/>
      <color rgb="FF00B050"/>
      <name val="Verdana"/>
      <family val="2"/>
    </font>
    <font>
      <i/>
      <sz val="10"/>
      <name val="Verdana"/>
      <family val="2"/>
    </font>
    <font>
      <sz val="10"/>
      <color rgb="FFFF0000"/>
      <name val="Verdana"/>
      <family val="2"/>
    </font>
    <font>
      <i/>
      <sz val="10"/>
      <color rgb="FF000000"/>
      <name val="Verdana"/>
      <family val="2"/>
    </font>
    <font>
      <sz val="9.5"/>
      <name val="Verdana"/>
      <family val="2"/>
    </font>
    <font>
      <u/>
      <sz val="10"/>
      <color theme="0"/>
      <name val="Verdana"/>
      <family val="2"/>
    </font>
    <font>
      <i/>
      <sz val="9.5"/>
      <name val="Verdana"/>
      <family val="2"/>
    </font>
    <font>
      <b/>
      <sz val="20"/>
      <color theme="3" tint="0.39997558519241921"/>
      <name val="Verdana"/>
      <family val="2"/>
    </font>
    <font>
      <sz val="10"/>
      <color theme="1"/>
      <name val="Verdana"/>
      <family val="2"/>
    </font>
    <font>
      <b/>
      <i/>
      <sz val="10"/>
      <color rgb="FF000000"/>
      <name val="Verdana"/>
      <family val="2"/>
    </font>
    <font>
      <i/>
      <sz val="10"/>
      <color theme="1"/>
      <name val="Verdana"/>
      <family val="2"/>
    </font>
    <font>
      <sz val="11"/>
      <color theme="1"/>
      <name val="Verdana"/>
      <family val="2"/>
    </font>
    <font>
      <sz val="12"/>
      <color theme="0"/>
      <name val="Verdana"/>
      <family val="2"/>
    </font>
    <font>
      <sz val="16"/>
      <color rgb="FFFF0000"/>
      <name val="Walbaum Display Heavy"/>
      <family val="1"/>
    </font>
    <font>
      <b/>
      <sz val="12"/>
      <name val="Verdana"/>
      <family val="2"/>
    </font>
    <font>
      <sz val="10"/>
      <name val="Arial"/>
      <family val="2"/>
    </font>
    <font>
      <sz val="8"/>
      <color rgb="FF000000"/>
      <name val="Verdana"/>
      <family val="2"/>
    </font>
    <font>
      <b/>
      <sz val="9"/>
      <color rgb="FFFF0000"/>
      <name val="Verdana"/>
      <family val="2"/>
    </font>
    <font>
      <sz val="8"/>
      <name val="Arial"/>
      <family val="2"/>
    </font>
    <font>
      <sz val="12"/>
      <name val="Garamond"/>
      <family val="1"/>
    </font>
    <font>
      <sz val="10"/>
      <color rgb="FF000000"/>
      <name val="Times New Roman"/>
      <family val="1"/>
    </font>
    <font>
      <sz val="11"/>
      <color rgb="FF000000"/>
      <name val="Calibri"/>
      <family val="2"/>
      <scheme val="minor"/>
    </font>
    <font>
      <b/>
      <sz val="8"/>
      <color rgb="FFFF0000"/>
      <name val="Verdana"/>
      <family val="2"/>
    </font>
    <font>
      <b/>
      <sz val="18"/>
      <color rgb="FFFF0000"/>
      <name val="Calibri"/>
      <family val="2"/>
      <scheme val="minor"/>
    </font>
    <font>
      <i/>
      <sz val="14"/>
      <color theme="1"/>
      <name val="Calibri"/>
      <family val="2"/>
      <scheme val="minor"/>
    </font>
    <font>
      <i/>
      <sz val="14"/>
      <color theme="3"/>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b/>
      <sz val="11"/>
      <color rgb="FF0070C0"/>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b/>
      <sz val="11"/>
      <color indexed="8"/>
      <name val="Century Schoolbook"/>
      <family val="1"/>
    </font>
    <font>
      <sz val="9"/>
      <color theme="1"/>
      <name val="Century Schoolbook"/>
      <family val="2"/>
    </font>
    <font>
      <b/>
      <sz val="11"/>
      <color rgb="FFFF0000"/>
      <name val="Verdana"/>
      <family val="2"/>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
      <b/>
      <sz val="10"/>
      <name val="Times New Roman"/>
      <family val="1"/>
    </font>
  </fonts>
  <fills count="86">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theme="0" tint="-0.249977111117893"/>
        <bgColor indexed="64"/>
      </patternFill>
    </fill>
  </fills>
  <borders count="1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medium">
        <color theme="3"/>
      </right>
      <top style="medium">
        <color theme="3"/>
      </top>
      <bottom style="medium">
        <color theme="3"/>
      </bottom>
      <diagonal/>
    </border>
    <border>
      <left style="medium">
        <color indexed="64"/>
      </left>
      <right style="medium">
        <color indexed="64"/>
      </right>
      <top style="medium">
        <color indexed="64"/>
      </top>
      <bottom/>
      <diagonal/>
    </border>
    <border>
      <left/>
      <right style="medium">
        <color theme="3"/>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1" tint="0.499984740745262"/>
      </left>
      <right style="thin">
        <color theme="1" tint="0.499984740745262"/>
      </right>
      <top/>
      <bottom style="thin">
        <color theme="1" tint="0.499984740745262"/>
      </bottom>
      <diagonal/>
    </border>
    <border>
      <left style="thin">
        <color theme="0"/>
      </left>
      <right/>
      <top/>
      <bottom/>
      <diagonal/>
    </border>
    <border>
      <left/>
      <right style="thin">
        <color theme="0"/>
      </right>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tint="0.499984740745262"/>
      </left>
      <right/>
      <top/>
      <bottom style="thin">
        <color theme="1" tint="0.4999847407452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style="medium">
        <color indexed="64"/>
      </top>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top style="thin">
        <color theme="1" tint="0.499984740745262"/>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theme="0"/>
      </right>
      <top/>
      <bottom style="thin">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right style="medium">
        <color indexed="64"/>
      </right>
      <top/>
      <bottom style="thin">
        <color theme="1" tint="0.499984740745262"/>
      </bottom>
      <diagonal/>
    </border>
    <border>
      <left style="medium">
        <color indexed="64"/>
      </left>
      <right style="thin">
        <color theme="0"/>
      </right>
      <top/>
      <bottom/>
      <diagonal/>
    </border>
    <border>
      <left style="thin">
        <color theme="0"/>
      </left>
      <right/>
      <top style="medium">
        <color indexed="64"/>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theme="1" tint="0.499984740745262"/>
      </left>
      <right/>
      <top style="thin">
        <color theme="1" tint="0.499984740745262"/>
      </top>
      <bottom/>
      <diagonal/>
    </border>
    <border>
      <left style="thin">
        <color indexed="64"/>
      </left>
      <right style="medium">
        <color indexed="64"/>
      </right>
      <top/>
      <bottom style="medium">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indexed="64"/>
      </left>
      <right style="medium">
        <color indexed="64"/>
      </right>
      <top/>
      <bottom/>
      <diagonal/>
    </border>
  </borders>
  <cellStyleXfs count="31722">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2"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9" fillId="0" borderId="0"/>
    <xf numFmtId="0" fontId="20" fillId="0" borderId="0"/>
    <xf numFmtId="0" fontId="19" fillId="0" borderId="0"/>
    <xf numFmtId="0" fontId="29" fillId="0" borderId="0"/>
    <xf numFmtId="0" fontId="1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0"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20"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2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29" fillId="0" borderId="0"/>
    <xf numFmtId="0" fontId="19" fillId="0" borderId="0"/>
    <xf numFmtId="0" fontId="19" fillId="0" borderId="0"/>
    <xf numFmtId="0" fontId="19" fillId="0" borderId="0"/>
    <xf numFmtId="0" fontId="19" fillId="0" borderId="0"/>
    <xf numFmtId="0" fontId="34" fillId="0" borderId="0"/>
    <xf numFmtId="0" fontId="29" fillId="0" borderId="0"/>
    <xf numFmtId="0" fontId="19" fillId="0" borderId="0"/>
    <xf numFmtId="0" fontId="19" fillId="0" borderId="0"/>
    <xf numFmtId="0" fontId="34" fillId="0" borderId="0"/>
    <xf numFmtId="0" fontId="11" fillId="0" borderId="0"/>
    <xf numFmtId="0" fontId="11"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19" fillId="0" borderId="0"/>
    <xf numFmtId="0" fontId="34" fillId="0" borderId="0"/>
    <xf numFmtId="0" fontId="19" fillId="0" borderId="0"/>
    <xf numFmtId="0" fontId="34" fillId="0" borderId="0"/>
    <xf numFmtId="0" fontId="34" fillId="0" borderId="0"/>
    <xf numFmtId="0" fontId="19" fillId="0" borderId="0"/>
    <xf numFmtId="0" fontId="34" fillId="0" borderId="0"/>
    <xf numFmtId="0" fontId="34" fillId="0" borderId="0"/>
    <xf numFmtId="0" fontId="34" fillId="0" borderId="0"/>
    <xf numFmtId="0" fontId="2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30" fillId="0" borderId="0"/>
    <xf numFmtId="0" fontId="11" fillId="0" borderId="0"/>
    <xf numFmtId="0" fontId="11" fillId="0" borderId="0"/>
    <xf numFmtId="0" fontId="11" fillId="0" borderId="0"/>
    <xf numFmtId="0" fontId="11"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9" fillId="0" borderId="0"/>
    <xf numFmtId="0" fontId="30" fillId="0" borderId="0"/>
    <xf numFmtId="0" fontId="11" fillId="0" borderId="0"/>
    <xf numFmtId="0" fontId="11" fillId="0" borderId="0"/>
    <xf numFmtId="0" fontId="11" fillId="0" borderId="0"/>
    <xf numFmtId="0" fontId="1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2" fillId="0" borderId="0"/>
    <xf numFmtId="0" fontId="21" fillId="0" borderId="0"/>
    <xf numFmtId="0" fontId="28"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34" fillId="0" borderId="0"/>
    <xf numFmtId="0" fontId="31" fillId="0" borderId="0"/>
    <xf numFmtId="0" fontId="21" fillId="0" borderId="0"/>
    <xf numFmtId="0" fontId="34" fillId="0" borderId="0"/>
    <xf numFmtId="0" fontId="21" fillId="0" borderId="0"/>
    <xf numFmtId="0" fontId="34"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21" fillId="0" borderId="0"/>
    <xf numFmtId="0" fontId="34" fillId="0" borderId="0"/>
    <xf numFmtId="0" fontId="34" fillId="0" borderId="0"/>
    <xf numFmtId="0" fontId="21" fillId="0" borderId="0"/>
    <xf numFmtId="0" fontId="34" fillId="0" borderId="0"/>
    <xf numFmtId="0" fontId="34" fillId="0" borderId="0"/>
    <xf numFmtId="0" fontId="34" fillId="0" borderId="0"/>
    <xf numFmtId="0" fontId="3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5"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30"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0" fontId="12" fillId="0" borderId="0" applyNumberForma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33"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xf numFmtId="0" fontId="70" fillId="0" borderId="0"/>
    <xf numFmtId="0" fontId="70" fillId="0" borderId="0"/>
    <xf numFmtId="0" fontId="69" fillId="0" borderId="0"/>
    <xf numFmtId="0" fontId="70" fillId="0" borderId="0"/>
    <xf numFmtId="0" fontId="70" fillId="0" borderId="0"/>
    <xf numFmtId="0" fontId="71" fillId="0" borderId="0"/>
    <xf numFmtId="0" fontId="70"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1"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5" borderId="7" applyNumberFormat="0" applyFont="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69"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9" fillId="0" borderId="0"/>
    <xf numFmtId="0" fontId="69" fillId="0" borderId="0"/>
    <xf numFmtId="0" fontId="69" fillId="0" borderId="0"/>
    <xf numFmtId="0" fontId="69" fillId="0" borderId="0"/>
    <xf numFmtId="0" fontId="69" fillId="0" borderId="0"/>
    <xf numFmtId="0" fontId="11" fillId="0" borderId="0"/>
    <xf numFmtId="0" fontId="69" fillId="0" borderId="0"/>
    <xf numFmtId="0" fontId="6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4" fillId="0" borderId="0"/>
    <xf numFmtId="0" fontId="34" fillId="0" borderId="0"/>
    <xf numFmtId="0" fontId="21" fillId="0" borderId="0"/>
    <xf numFmtId="0" fontId="34" fillId="0" borderId="0"/>
    <xf numFmtId="0" fontId="34" fillId="0" borderId="0"/>
    <xf numFmtId="0" fontId="34" fillId="0" borderId="0"/>
    <xf numFmtId="0" fontId="69" fillId="0" borderId="0"/>
    <xf numFmtId="0" fontId="34" fillId="0" borderId="0"/>
    <xf numFmtId="0" fontId="34" fillId="0" borderId="0"/>
    <xf numFmtId="0" fontId="34" fillId="0" borderId="0"/>
    <xf numFmtId="0" fontId="34" fillId="0" borderId="0"/>
    <xf numFmtId="0" fontId="3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4" fillId="0" borderId="0"/>
    <xf numFmtId="0" fontId="34" fillId="0" borderId="0"/>
    <xf numFmtId="0" fontId="34" fillId="0" borderId="0"/>
    <xf numFmtId="0" fontId="34" fillId="0" borderId="0"/>
    <xf numFmtId="0" fontId="34" fillId="0" borderId="0"/>
    <xf numFmtId="0" fontId="11" fillId="0" borderId="0"/>
    <xf numFmtId="0" fontId="71" fillId="0" borderId="0"/>
    <xf numFmtId="0" fontId="71" fillId="0" borderId="0"/>
    <xf numFmtId="0" fontId="71" fillId="0" borderId="0"/>
    <xf numFmtId="0" fontId="71" fillId="0" borderId="0"/>
    <xf numFmtId="0" fontId="7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71" fillId="0" borderId="0"/>
    <xf numFmtId="0" fontId="34" fillId="0" borderId="0"/>
    <xf numFmtId="0" fontId="34" fillId="0" borderId="0"/>
    <xf numFmtId="0" fontId="34" fillId="0" borderId="0"/>
    <xf numFmtId="0" fontId="34" fillId="0" borderId="0"/>
    <xf numFmtId="0" fontId="7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21" fillId="0" borderId="0"/>
    <xf numFmtId="0" fontId="7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70" fillId="0" borderId="0"/>
    <xf numFmtId="0" fontId="11" fillId="0" borderId="0"/>
    <xf numFmtId="0" fontId="11"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1" fillId="0" borderId="0"/>
    <xf numFmtId="0" fontId="21" fillId="0" borderId="0"/>
    <xf numFmtId="0" fontId="11" fillId="0" borderId="0"/>
    <xf numFmtId="0" fontId="11" fillId="0" borderId="0"/>
    <xf numFmtId="44" fontId="34"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4" fillId="0" borderId="0" applyFont="0" applyFill="0" applyBorder="0" applyAlignment="0" applyProtection="0"/>
    <xf numFmtId="0" fontId="19" fillId="0" borderId="0"/>
    <xf numFmtId="0" fontId="11" fillId="0" borderId="0"/>
    <xf numFmtId="43" fontId="34" fillId="0" borderId="0" applyFont="0" applyFill="0" applyBorder="0" applyAlignment="0" applyProtection="0"/>
    <xf numFmtId="0" fontId="11" fillId="0" borderId="0"/>
    <xf numFmtId="0" fontId="19" fillId="0" borderId="0"/>
    <xf numFmtId="0" fontId="19"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71" fillId="0" borderId="0"/>
    <xf numFmtId="0" fontId="1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2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0" fontId="70" fillId="0" borderId="0"/>
    <xf numFmtId="0" fontId="19" fillId="0" borderId="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5" fillId="0" borderId="47" applyNumberFormat="0" applyFill="0" applyAlignment="0" applyProtection="0"/>
    <xf numFmtId="0" fontId="76" fillId="0" borderId="48" applyNumberFormat="0" applyFill="0" applyAlignment="0" applyProtection="0"/>
    <xf numFmtId="0" fontId="77" fillId="0" borderId="49" applyNumberFormat="0" applyFill="0" applyAlignment="0" applyProtection="0"/>
    <xf numFmtId="0" fontId="77" fillId="0" borderId="0" applyNumberFormat="0" applyFill="0" applyBorder="0" applyAlignment="0" applyProtection="0"/>
    <xf numFmtId="0" fontId="78" fillId="37" borderId="0" applyNumberFormat="0" applyBorder="0" applyAlignment="0" applyProtection="0"/>
    <xf numFmtId="0" fontId="79" fillId="38" borderId="0" applyNumberFormat="0" applyBorder="0" applyAlignment="0" applyProtection="0"/>
    <xf numFmtId="0" fontId="80" fillId="40" borderId="50" applyNumberFormat="0" applyAlignment="0" applyProtection="0"/>
    <xf numFmtId="0" fontId="81" fillId="41" borderId="51" applyNumberFormat="0" applyAlignment="0" applyProtection="0"/>
    <xf numFmtId="0" fontId="82" fillId="41" borderId="50" applyNumberFormat="0" applyAlignment="0" applyProtection="0"/>
    <xf numFmtId="0" fontId="83" fillId="0" borderId="52" applyNumberFormat="0" applyFill="0" applyAlignment="0" applyProtection="0"/>
    <xf numFmtId="0" fontId="84" fillId="42" borderId="53" applyNumberFormat="0" applyAlignment="0" applyProtection="0"/>
    <xf numFmtId="0" fontId="72" fillId="0" borderId="0" applyNumberFormat="0" applyFill="0" applyBorder="0" applyAlignment="0" applyProtection="0"/>
    <xf numFmtId="0" fontId="40" fillId="0" borderId="55" applyNumberFormat="0" applyFill="0" applyAlignment="0" applyProtection="0"/>
    <xf numFmtId="0" fontId="85" fillId="44" borderId="0" applyNumberFormat="0" applyBorder="0" applyAlignment="0" applyProtection="0"/>
    <xf numFmtId="0" fontId="85" fillId="45" borderId="0" applyNumberFormat="0" applyBorder="0" applyAlignment="0" applyProtection="0"/>
    <xf numFmtId="0" fontId="85" fillId="46" borderId="0" applyNumberFormat="0" applyBorder="0" applyAlignment="0" applyProtection="0"/>
    <xf numFmtId="0" fontId="85" fillId="47" borderId="0" applyNumberFormat="0" applyBorder="0" applyAlignment="0" applyProtection="0"/>
    <xf numFmtId="0" fontId="85" fillId="48" borderId="0" applyNumberFormat="0" applyBorder="0" applyAlignment="0" applyProtection="0"/>
    <xf numFmtId="0" fontId="85" fillId="49" borderId="0" applyNumberFormat="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94" fillId="39" borderId="0" applyNumberFormat="0" applyBorder="0" applyAlignment="0" applyProtection="0"/>
    <xf numFmtId="0" fontId="34" fillId="43" borderId="54" applyNumberFormat="0" applyFont="0" applyAlignment="0" applyProtection="0"/>
    <xf numFmtId="40" fontId="87" fillId="0" borderId="17">
      <alignment horizontal="right"/>
    </xf>
    <xf numFmtId="0" fontId="88" fillId="0" borderId="0">
      <alignment horizontal="left"/>
    </xf>
    <xf numFmtId="49" fontId="11" fillId="0" borderId="0"/>
    <xf numFmtId="0" fontId="88" fillId="0" borderId="0">
      <alignment horizontal="left"/>
    </xf>
    <xf numFmtId="177" fontId="87" fillId="0" borderId="17">
      <alignment horizontal="right"/>
    </xf>
    <xf numFmtId="49" fontId="87"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6" fillId="50" borderId="0">
      <alignment horizontal="right" vertical="center"/>
    </xf>
    <xf numFmtId="49" fontId="86" fillId="50" borderId="0">
      <alignment horizontal="left" vertical="center"/>
    </xf>
    <xf numFmtId="49" fontId="86" fillId="50" borderId="0">
      <alignment horizontal="center" vertical="center"/>
    </xf>
    <xf numFmtId="49" fontId="86" fillId="50" borderId="0">
      <alignment horizontal="center" vertical="center"/>
    </xf>
    <xf numFmtId="49" fontId="86" fillId="50" borderId="0">
      <alignment horizontal="right" vertical="center"/>
    </xf>
    <xf numFmtId="40" fontId="86" fillId="50" borderId="0">
      <alignment horizontal="right"/>
    </xf>
    <xf numFmtId="49" fontId="86"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6" fillId="50" borderId="0">
      <alignment horizontal="center" vertical="center"/>
    </xf>
    <xf numFmtId="49" fontId="86" fillId="50" borderId="0">
      <alignment horizontal="center" vertical="center"/>
    </xf>
    <xf numFmtId="177" fontId="86" fillId="50" borderId="0">
      <alignment horizontal="center" vertical="center"/>
    </xf>
    <xf numFmtId="49" fontId="86" fillId="50" borderId="0">
      <alignment horizontal="right"/>
    </xf>
    <xf numFmtId="40" fontId="87" fillId="0" borderId="19">
      <alignment horizontal="right"/>
    </xf>
    <xf numFmtId="0" fontId="88" fillId="0" borderId="0">
      <alignment horizontal="left"/>
    </xf>
    <xf numFmtId="49" fontId="11" fillId="0" borderId="0"/>
    <xf numFmtId="0" fontId="88" fillId="0" borderId="0">
      <alignment horizontal="left"/>
    </xf>
    <xf numFmtId="177" fontId="87" fillId="0" borderId="19">
      <alignment horizontal="right"/>
    </xf>
    <xf numFmtId="49" fontId="87" fillId="0" borderId="0">
      <alignment horizontal="right"/>
    </xf>
    <xf numFmtId="49" fontId="11" fillId="0" borderId="0"/>
    <xf numFmtId="49" fontId="11" fillId="0" borderId="0"/>
    <xf numFmtId="40" fontId="87" fillId="0" borderId="14">
      <alignment horizontal="right"/>
    </xf>
    <xf numFmtId="49" fontId="87" fillId="0" borderId="0">
      <alignment horizontal="left"/>
    </xf>
    <xf numFmtId="49" fontId="11" fillId="0" borderId="0"/>
    <xf numFmtId="49" fontId="87" fillId="0" borderId="0">
      <alignment horizontal="left"/>
    </xf>
    <xf numFmtId="177" fontId="87" fillId="0" borderId="14">
      <alignment horizontal="right"/>
    </xf>
    <xf numFmtId="49" fontId="87" fillId="0" borderId="0">
      <alignment horizontal="right"/>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7" fillId="51" borderId="0">
      <alignment horizontal="center" vertical="center"/>
    </xf>
    <xf numFmtId="49" fontId="11" fillId="51" borderId="0">
      <alignment horizontal="left" vertical="center"/>
    </xf>
    <xf numFmtId="49" fontId="87" fillId="51" borderId="0">
      <alignment horizontal="center" vertical="center"/>
    </xf>
    <xf numFmtId="0" fontId="87" fillId="52" borderId="0">
      <alignment horizontal="left"/>
    </xf>
    <xf numFmtId="49" fontId="11" fillId="0" borderId="0"/>
    <xf numFmtId="0" fontId="87" fillId="52" borderId="0">
      <alignment horizontal="left"/>
    </xf>
    <xf numFmtId="40" fontId="87" fillId="0" borderId="0">
      <alignment horizontal="right"/>
    </xf>
    <xf numFmtId="49" fontId="86" fillId="50" borderId="0"/>
    <xf numFmtId="49" fontId="86" fillId="50" borderId="0"/>
    <xf numFmtId="49" fontId="11" fillId="0" borderId="0"/>
    <xf numFmtId="0" fontId="89" fillId="53" borderId="0" applyFont="0" applyFill="0">
      <alignment horizontal="left" vertical="top" wrapText="1"/>
    </xf>
    <xf numFmtId="40" fontId="89" fillId="0" borderId="0"/>
    <xf numFmtId="40" fontId="89" fillId="0" borderId="0"/>
    <xf numFmtId="0" fontId="89" fillId="0" borderId="0">
      <alignment horizontal="left"/>
    </xf>
    <xf numFmtId="0" fontId="89" fillId="0" borderId="0">
      <alignment horizontal="center"/>
    </xf>
    <xf numFmtId="0" fontId="90" fillId="0" borderId="0">
      <alignment horizontal="center"/>
    </xf>
    <xf numFmtId="0" fontId="91" fillId="50" borderId="0">
      <alignment horizontal="left"/>
    </xf>
    <xf numFmtId="0" fontId="91" fillId="50" borderId="0">
      <alignment horizontal="left"/>
    </xf>
    <xf numFmtId="0" fontId="90" fillId="0" borderId="0">
      <alignment horizontal="center"/>
    </xf>
    <xf numFmtId="40" fontId="92" fillId="0" borderId="18"/>
    <xf numFmtId="40" fontId="92" fillId="0" borderId="18"/>
    <xf numFmtId="0" fontId="92" fillId="0" borderId="0"/>
    <xf numFmtId="0" fontId="92" fillId="0" borderId="0"/>
    <xf numFmtId="0" fontId="90" fillId="0" borderId="0">
      <alignment horizontal="center"/>
    </xf>
    <xf numFmtId="0" fontId="93" fillId="54" borderId="0">
      <alignment horizontal="left"/>
    </xf>
    <xf numFmtId="0" fontId="93" fillId="54" borderId="0">
      <alignment horizontal="left"/>
    </xf>
    <xf numFmtId="40" fontId="87" fillId="0" borderId="0">
      <alignment horizontal="right"/>
    </xf>
    <xf numFmtId="0" fontId="88" fillId="0" borderId="0">
      <alignment horizontal="left"/>
    </xf>
    <xf numFmtId="49" fontId="11" fillId="0" borderId="0"/>
    <xf numFmtId="0" fontId="88" fillId="0" borderId="0">
      <alignment horizontal="left"/>
    </xf>
    <xf numFmtId="177" fontId="87" fillId="0" borderId="0">
      <alignment horizontal="right"/>
    </xf>
    <xf numFmtId="49" fontId="87" fillId="0" borderId="0" applyBorder="0">
      <alignment horizontal="right"/>
    </xf>
    <xf numFmtId="0" fontId="11" fillId="0" borderId="0"/>
    <xf numFmtId="49" fontId="95" fillId="53" borderId="0">
      <alignment horizontal="left"/>
    </xf>
    <xf numFmtId="49" fontId="95" fillId="53" borderId="0">
      <alignment horizontal="left"/>
    </xf>
    <xf numFmtId="0" fontId="96" fillId="53" borderId="0">
      <alignment horizontal="left"/>
    </xf>
    <xf numFmtId="178" fontId="96" fillId="53" borderId="0">
      <alignment horizontal="left"/>
    </xf>
    <xf numFmtId="40" fontId="87" fillId="0" borderId="0">
      <alignment horizontal="right"/>
    </xf>
    <xf numFmtId="49" fontId="97" fillId="53" borderId="0">
      <alignment horizontal="left"/>
    </xf>
    <xf numFmtId="49" fontId="97" fillId="53" borderId="0">
      <alignment horizontal="left"/>
    </xf>
    <xf numFmtId="49" fontId="11" fillId="0" borderId="0"/>
    <xf numFmtId="40" fontId="87" fillId="0" borderId="14">
      <alignment horizontal="right"/>
    </xf>
    <xf numFmtId="49" fontId="87" fillId="0" borderId="0">
      <alignment horizontal="left"/>
    </xf>
    <xf numFmtId="49" fontId="11" fillId="0" borderId="0"/>
    <xf numFmtId="49" fontId="87" fillId="0" borderId="0">
      <alignment horizontal="left"/>
    </xf>
    <xf numFmtId="177" fontId="87" fillId="0" borderId="14">
      <alignment horizontal="right"/>
    </xf>
    <xf numFmtId="49" fontId="87" fillId="0" borderId="0">
      <alignment horizontal="right"/>
    </xf>
    <xf numFmtId="40" fontId="87" fillId="0" borderId="14">
      <alignment horizontal="right"/>
    </xf>
    <xf numFmtId="0" fontId="87" fillId="52" borderId="0">
      <alignment horizontal="left"/>
    </xf>
    <xf numFmtId="49" fontId="11" fillId="0" borderId="0"/>
    <xf numFmtId="0" fontId="87" fillId="52" borderId="0">
      <alignment horizontal="left"/>
    </xf>
    <xf numFmtId="177" fontId="87" fillId="0" borderId="14">
      <alignment horizontal="right"/>
    </xf>
    <xf numFmtId="49" fontId="87" fillId="0" borderId="0">
      <alignment horizontal="right"/>
    </xf>
    <xf numFmtId="0" fontId="92" fillId="0" borderId="0"/>
    <xf numFmtId="40" fontId="89" fillId="0" borderId="18"/>
    <xf numFmtId="40" fontId="89" fillId="0" borderId="18"/>
    <xf numFmtId="0" fontId="89" fillId="0" borderId="0"/>
    <xf numFmtId="0" fontId="89" fillId="0" borderId="0"/>
    <xf numFmtId="40" fontId="89" fillId="0" borderId="0"/>
    <xf numFmtId="179" fontId="89" fillId="0" borderId="0"/>
    <xf numFmtId="40" fontId="89" fillId="0" borderId="0"/>
    <xf numFmtId="0" fontId="89" fillId="0" borderId="0"/>
    <xf numFmtId="0" fontId="89" fillId="0" borderId="0"/>
    <xf numFmtId="40" fontId="87" fillId="0" borderId="18">
      <alignment horizontal="right"/>
    </xf>
    <xf numFmtId="49" fontId="87" fillId="0" borderId="0">
      <alignment horizontal="left"/>
    </xf>
    <xf numFmtId="49" fontId="11" fillId="0" borderId="0"/>
    <xf numFmtId="49" fontId="87" fillId="0" borderId="0">
      <alignment horizontal="left"/>
    </xf>
    <xf numFmtId="177" fontId="87" fillId="0" borderId="18">
      <alignment horizontal="right"/>
    </xf>
    <xf numFmtId="49" fontId="87" fillId="0" borderId="0">
      <alignment horizontal="right"/>
    </xf>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43" borderId="54"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2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7" fillId="11"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5"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1" fillId="0" borderId="0"/>
    <xf numFmtId="0" fontId="2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7" fillId="1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7" fillId="7" borderId="0" applyNumberFormat="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21"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11"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5"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9" fontId="32"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3" fillId="20" borderId="0" applyFont="0" applyBorder="0" applyAlignment="0">
      <alignment horizontal="center" wrapText="1"/>
    </xf>
    <xf numFmtId="0" fontId="34" fillId="0" borderId="0"/>
    <xf numFmtId="43" fontId="1" fillId="0" borderId="0" applyFont="0" applyFill="0" applyBorder="0" applyAlignment="0" applyProtection="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19" fillId="0" borderId="0"/>
    <xf numFmtId="0" fontId="34" fillId="0" borderId="0"/>
    <xf numFmtId="0" fontId="34" fillId="0" borderId="0"/>
    <xf numFmtId="0" fontId="34"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2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19"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11" fillId="0" borderId="0"/>
    <xf numFmtId="43" fontId="34" fillId="0" borderId="0" applyFont="0" applyFill="0" applyBorder="0" applyAlignment="0" applyProtection="0"/>
    <xf numFmtId="0" fontId="7" fillId="7" borderId="0" applyNumberFormat="0" applyBorder="0" applyAlignment="0" applyProtection="0"/>
    <xf numFmtId="0" fontId="34" fillId="0" borderId="0"/>
    <xf numFmtId="0" fontId="7" fillId="11" borderId="0" applyNumberFormat="0" applyBorder="0" applyAlignment="0" applyProtection="0"/>
    <xf numFmtId="0" fontId="34" fillId="0" borderId="0"/>
    <xf numFmtId="0" fontId="19"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11" fillId="0" borderId="0"/>
    <xf numFmtId="0" fontId="11"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7" borderId="0" applyNumberFormat="0" applyBorder="0" applyAlignment="0" applyProtection="0"/>
    <xf numFmtId="0" fontId="11" fillId="0" borderId="0"/>
    <xf numFmtId="0" fontId="39" fillId="20" borderId="0" applyFont="0" applyBorder="0" applyAlignment="0">
      <alignment horizontal="center" wrapText="1"/>
    </xf>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0" fontId="21" fillId="0" borderId="0"/>
    <xf numFmtId="0" fontId="19" fillId="0" borderId="0"/>
    <xf numFmtId="0" fontId="11" fillId="0" borderId="0"/>
    <xf numFmtId="0" fontId="1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11" fillId="0" borderId="0"/>
    <xf numFmtId="0" fontId="34"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43" fontId="1"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9" fillId="0" borderId="0"/>
    <xf numFmtId="0" fontId="21" fillId="0" borderId="0"/>
    <xf numFmtId="44" fontId="35" fillId="0" borderId="0" applyFont="0" applyFill="0" applyBorder="0" applyAlignment="0" applyProtection="0"/>
    <xf numFmtId="43" fontId="34" fillId="0" borderId="0" applyFont="0" applyFill="0" applyBorder="0" applyAlignment="0" applyProtection="0"/>
    <xf numFmtId="0" fontId="19"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0" fontId="11" fillId="0" borderId="0"/>
    <xf numFmtId="0" fontId="34" fillId="0" borderId="0"/>
    <xf numFmtId="0" fontId="33" fillId="20" borderId="0" applyFont="0" applyBorder="0" applyAlignment="0">
      <alignment horizontal="center" wrapText="1"/>
    </xf>
    <xf numFmtId="0" fontId="34" fillId="0" borderId="0"/>
    <xf numFmtId="0" fontId="34"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11" fillId="0" borderId="0"/>
    <xf numFmtId="44" fontId="1"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34" fillId="0" borderId="0"/>
    <xf numFmtId="0" fontId="19" fillId="0" borderId="0"/>
    <xf numFmtId="0" fontId="11"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2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9"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98" fillId="0" borderId="0" applyNumberFormat="0" applyFill="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61"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65" borderId="0" applyNumberFormat="0" applyBorder="0" applyAlignment="0" applyProtection="0"/>
    <xf numFmtId="0" fontId="34" fillId="67" borderId="0" applyNumberFormat="0" applyBorder="0" applyAlignment="0" applyProtection="0"/>
    <xf numFmtId="0" fontId="34" fillId="68" borderId="0" applyNumberFormat="0" applyBorder="0" applyAlignment="0" applyProtection="0"/>
    <xf numFmtId="0" fontId="34" fillId="70" borderId="0" applyNumberFormat="0" applyBorder="0" applyAlignment="0" applyProtection="0"/>
    <xf numFmtId="0" fontId="34" fillId="71" borderId="0" applyNumberFormat="0" applyBorder="0" applyAlignment="0" applyProtection="0"/>
    <xf numFmtId="0" fontId="35" fillId="55" borderId="0" applyNumberFormat="0" applyBorder="0" applyAlignment="0" applyProtection="0"/>
    <xf numFmtId="0" fontId="35" fillId="58" borderId="0" applyNumberFormat="0" applyBorder="0" applyAlignment="0" applyProtection="0"/>
    <xf numFmtId="0" fontId="35" fillId="61" borderId="0" applyNumberFormat="0" applyBorder="0" applyAlignment="0" applyProtection="0"/>
    <xf numFmtId="0" fontId="35" fillId="64" borderId="0" applyNumberFormat="0" applyBorder="0" applyAlignment="0" applyProtection="0"/>
    <xf numFmtId="0" fontId="35" fillId="67" borderId="0" applyNumberFormat="0" applyBorder="0" applyAlignment="0" applyProtection="0"/>
    <xf numFmtId="0" fontId="35" fillId="70"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2" borderId="0" applyNumberFormat="0" applyBorder="0" applyAlignment="0" applyProtection="0"/>
    <xf numFmtId="0" fontId="35" fillId="65" borderId="0" applyNumberFormat="0" applyBorder="0" applyAlignment="0" applyProtection="0"/>
    <xf numFmtId="0" fontId="35" fillId="68" borderId="0" applyNumberFormat="0" applyBorder="0" applyAlignment="0" applyProtection="0"/>
    <xf numFmtId="0" fontId="35" fillId="71" borderId="0" applyNumberFormat="0" applyBorder="0" applyAlignment="0" applyProtection="0"/>
    <xf numFmtId="0" fontId="85" fillId="57" borderId="0" applyNumberFormat="0" applyBorder="0" applyAlignment="0" applyProtection="0"/>
    <xf numFmtId="0" fontId="99" fillId="57" borderId="0" applyNumberFormat="0" applyBorder="0" applyAlignment="0" applyProtection="0"/>
    <xf numFmtId="0" fontId="85" fillId="60" borderId="0" applyNumberFormat="0" applyBorder="0" applyAlignment="0" applyProtection="0"/>
    <xf numFmtId="0" fontId="99" fillId="60" borderId="0" applyNumberFormat="0" applyBorder="0" applyAlignment="0" applyProtection="0"/>
    <xf numFmtId="0" fontId="85" fillId="63" borderId="0" applyNumberFormat="0" applyBorder="0" applyAlignment="0" applyProtection="0"/>
    <xf numFmtId="0" fontId="99" fillId="63" borderId="0" applyNumberFormat="0" applyBorder="0" applyAlignment="0" applyProtection="0"/>
    <xf numFmtId="0" fontId="85" fillId="66" borderId="0" applyNumberFormat="0" applyBorder="0" applyAlignment="0" applyProtection="0"/>
    <xf numFmtId="0" fontId="99" fillId="66" borderId="0" applyNumberFormat="0" applyBorder="0" applyAlignment="0" applyProtection="0"/>
    <xf numFmtId="0" fontId="85" fillId="69" borderId="0" applyNumberFormat="0" applyBorder="0" applyAlignment="0" applyProtection="0"/>
    <xf numFmtId="0" fontId="99" fillId="69" borderId="0" applyNumberFormat="0" applyBorder="0" applyAlignment="0" applyProtection="0"/>
    <xf numFmtId="0" fontId="85" fillId="72" borderId="0" applyNumberFormat="0" applyBorder="0" applyAlignment="0" applyProtection="0"/>
    <xf numFmtId="0" fontId="99" fillId="72" borderId="0" applyNumberFormat="0" applyBorder="0" applyAlignment="0" applyProtection="0"/>
    <xf numFmtId="0" fontId="99" fillId="44" borderId="0" applyNumberFormat="0" applyBorder="0" applyAlignment="0" applyProtection="0"/>
    <xf numFmtId="0" fontId="99" fillId="44" borderId="0" applyNumberFormat="0" applyBorder="0" applyAlignment="0" applyProtection="0"/>
    <xf numFmtId="0" fontId="99" fillId="45" borderId="0" applyNumberFormat="0" applyBorder="0" applyAlignment="0" applyProtection="0"/>
    <xf numFmtId="0" fontId="99" fillId="45"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100" fillId="38" borderId="0" applyNumberFormat="0" applyBorder="0" applyAlignment="0" applyProtection="0"/>
    <xf numFmtId="0" fontId="101" fillId="41" borderId="50" applyNumberFormat="0" applyAlignment="0" applyProtection="0"/>
    <xf numFmtId="0" fontId="102"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5" fillId="0" borderId="0" applyFont="0" applyFill="0" applyBorder="0" applyAlignment="0" applyProtection="0"/>
    <xf numFmtId="0" fontId="103" fillId="0" borderId="0" applyNumberFormat="0" applyFill="0" applyBorder="0" applyAlignment="0" applyProtection="0"/>
    <xf numFmtId="0" fontId="104" fillId="37" borderId="0" applyNumberFormat="0" applyBorder="0" applyAlignment="0" applyProtection="0"/>
    <xf numFmtId="0" fontId="105" fillId="0" borderId="47" applyNumberFormat="0" applyFill="0" applyAlignment="0" applyProtection="0"/>
    <xf numFmtId="0" fontId="106"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7" fillId="0" borderId="49" applyNumberFormat="0" applyFill="0" applyAlignment="0" applyProtection="0"/>
    <xf numFmtId="0" fontId="107" fillId="0" borderId="0" applyNumberFormat="0" applyFill="0" applyBorder="0" applyAlignment="0" applyProtection="0"/>
    <xf numFmtId="0" fontId="108" fillId="40" borderId="50" applyNumberFormat="0" applyAlignment="0" applyProtection="0"/>
    <xf numFmtId="0" fontId="109" fillId="0" borderId="52" applyNumberFormat="0" applyFill="0" applyAlignment="0" applyProtection="0"/>
    <xf numFmtId="0" fontId="110" fillId="39" borderId="0" applyNumberFormat="0" applyBorder="0" applyAlignment="0" applyProtection="0"/>
    <xf numFmtId="0" fontId="6" fillId="0" borderId="0"/>
    <xf numFmtId="0" fontId="35" fillId="0" borderId="0"/>
    <xf numFmtId="0" fontId="35" fillId="0" borderId="0"/>
    <xf numFmtId="0" fontId="35" fillId="0" borderId="0"/>
    <xf numFmtId="0" fontId="35" fillId="0" borderId="0"/>
    <xf numFmtId="0" fontId="6" fillId="0" borderId="0"/>
    <xf numFmtId="0" fontId="6" fillId="0" borderId="0"/>
    <xf numFmtId="0" fontId="11" fillId="0" borderId="0"/>
    <xf numFmtId="0" fontId="19" fillId="0" borderId="0"/>
    <xf numFmtId="0" fontId="11" fillId="0" borderId="0"/>
    <xf numFmtId="0" fontId="35" fillId="0" borderId="0"/>
    <xf numFmtId="0" fontId="34" fillId="0" borderId="0"/>
    <xf numFmtId="0" fontId="11" fillId="0" borderId="0"/>
    <xf numFmtId="0" fontId="34" fillId="0" borderId="0"/>
    <xf numFmtId="0" fontId="11" fillId="0" borderId="0"/>
    <xf numFmtId="0" fontId="11" fillId="0" borderId="0"/>
    <xf numFmtId="0" fontId="11" fillId="0" borderId="0"/>
    <xf numFmtId="0" fontId="11" fillId="0" borderId="0"/>
    <xf numFmtId="0" fontId="11" fillId="0" borderId="0"/>
    <xf numFmtId="0" fontId="35" fillId="43" borderId="54" applyNumberFormat="0" applyFont="0" applyAlignment="0" applyProtection="0"/>
    <xf numFmtId="0" fontId="111" fillId="41" borderId="51" applyNumberFormat="0" applyAlignment="0" applyProtection="0"/>
    <xf numFmtId="9" fontId="6" fillId="0" borderId="0" applyFont="0" applyFill="0" applyBorder="0" applyAlignment="0" applyProtection="0"/>
    <xf numFmtId="0" fontId="112" fillId="0" borderId="0" applyNumberFormat="0" applyFill="0" applyBorder="0" applyAlignment="0" applyProtection="0"/>
    <xf numFmtId="0" fontId="113" fillId="0" borderId="55" applyNumberFormat="0" applyFill="0" applyAlignment="0" applyProtection="0"/>
    <xf numFmtId="0" fontId="114" fillId="0" borderId="0" applyNumberFormat="0" applyFill="0" applyBorder="0" applyAlignment="0" applyProtection="0"/>
    <xf numFmtId="0" fontId="117" fillId="0" borderId="0"/>
    <xf numFmtId="43" fontId="118" fillId="0" borderId="0" applyFont="0" applyFill="0" applyBorder="0" applyAlignment="0" applyProtection="0"/>
    <xf numFmtId="0" fontId="118"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6" fillId="0" borderId="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34" fillId="0" borderId="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5" fillId="0" borderId="0"/>
    <xf numFmtId="0" fontId="11" fillId="0" borderId="0"/>
    <xf numFmtId="0" fontId="11" fillId="0" borderId="0"/>
    <xf numFmtId="0" fontId="34"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8" fillId="0" borderId="0"/>
    <xf numFmtId="0" fontId="11" fillId="0" borderId="0"/>
    <xf numFmtId="0" fontId="118"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34" fillId="0" borderId="0"/>
    <xf numFmtId="43" fontId="34" fillId="0" borderId="0" applyFont="0" applyFill="0" applyBorder="0" applyAlignment="0" applyProtection="0"/>
    <xf numFmtId="0" fontId="19" fillId="0" borderId="0"/>
    <xf numFmtId="0" fontId="21" fillId="0" borderId="0"/>
    <xf numFmtId="43" fontId="34" fillId="0" borderId="0" applyFont="0" applyFill="0" applyBorder="0" applyAlignment="0" applyProtection="0"/>
    <xf numFmtId="44"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19" fillId="0" borderId="0"/>
    <xf numFmtId="43"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4" fillId="0" borderId="0"/>
    <xf numFmtId="0" fontId="129" fillId="0" borderId="0"/>
    <xf numFmtId="43" fontId="117" fillId="0" borderId="0" applyFont="0" applyFill="0" applyBorder="0" applyAlignment="0" applyProtection="0"/>
    <xf numFmtId="0" fontId="117" fillId="0" borderId="0"/>
    <xf numFmtId="0" fontId="155" fillId="0" borderId="0"/>
    <xf numFmtId="0" fontId="34" fillId="0" borderId="0"/>
    <xf numFmtId="0" fontId="155" fillId="0" borderId="0"/>
    <xf numFmtId="43" fontId="117" fillId="0" borderId="0" applyFont="0" applyFill="0" applyBorder="0" applyAlignment="0" applyProtection="0"/>
    <xf numFmtId="0" fontId="117" fillId="0" borderId="0"/>
    <xf numFmtId="0" fontId="117" fillId="0" borderId="0"/>
    <xf numFmtId="0" fontId="117" fillId="0" borderId="0"/>
    <xf numFmtId="0" fontId="158" fillId="0" borderId="0"/>
    <xf numFmtId="0" fontId="158" fillId="0" borderId="0"/>
    <xf numFmtId="0" fontId="159" fillId="0" borderId="0"/>
    <xf numFmtId="0" fontId="158" fillId="0" borderId="0"/>
    <xf numFmtId="0" fontId="155" fillId="0" borderId="0"/>
    <xf numFmtId="0" fontId="158" fillId="0" borderId="0"/>
    <xf numFmtId="0" fontId="155" fillId="0" borderId="0"/>
    <xf numFmtId="0" fontId="159"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8" fillId="0" borderId="0"/>
    <xf numFmtId="0" fontId="155" fillId="0" borderId="0"/>
    <xf numFmtId="0" fontId="155" fillId="0" borderId="0"/>
    <xf numFmtId="0" fontId="158" fillId="0" borderId="0"/>
    <xf numFmtId="0" fontId="155" fillId="0" borderId="0"/>
    <xf numFmtId="0" fontId="155" fillId="0" borderId="0"/>
    <xf numFmtId="0" fontId="159" fillId="0" borderId="0"/>
    <xf numFmtId="0" fontId="155" fillId="5" borderId="7" applyNumberFormat="0" applyFon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5" fillId="0" borderId="0"/>
    <xf numFmtId="0" fontId="159"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5" fillId="5" borderId="7" applyNumberFormat="0" applyFon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5" fillId="0" borderId="0"/>
    <xf numFmtId="0" fontId="159" fillId="0" borderId="0"/>
    <xf numFmtId="0" fontId="155" fillId="0" borderId="0"/>
    <xf numFmtId="0" fontId="159" fillId="0" borderId="0"/>
    <xf numFmtId="0" fontId="155" fillId="0" borderId="0"/>
    <xf numFmtId="0" fontId="160"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9" fillId="0" borderId="0"/>
    <xf numFmtId="0" fontId="159" fillId="0" borderId="0"/>
    <xf numFmtId="0" fontId="160"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9" fillId="0" borderId="0"/>
    <xf numFmtId="0" fontId="159" fillId="0" borderId="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60" fillId="0" borderId="0"/>
    <xf numFmtId="0" fontId="19"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21" fillId="0" borderId="0"/>
    <xf numFmtId="9"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21" fillId="0" borderId="0"/>
    <xf numFmtId="0" fontId="34" fillId="0" borderId="0"/>
    <xf numFmtId="0" fontId="11" fillId="0" borderId="0"/>
    <xf numFmtId="0" fontId="21" fillId="0" borderId="0"/>
    <xf numFmtId="0" fontId="21" fillId="0" borderId="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4" fillId="0" borderId="0" applyFont="0" applyFill="0" applyBorder="0" applyAlignment="0" applyProtection="0"/>
    <xf numFmtId="43" fontId="34"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19" fillId="0" borderId="0"/>
    <xf numFmtId="0" fontId="2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4" fillId="43" borderId="54" applyNumberFormat="0" applyFont="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19" fillId="0" borderId="0"/>
    <xf numFmtId="0" fontId="21"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21" fillId="0" borderId="0"/>
    <xf numFmtId="43" fontId="35"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11" fillId="0" borderId="0"/>
    <xf numFmtId="0" fontId="34" fillId="0" borderId="0"/>
    <xf numFmtId="0" fontId="11" fillId="0" borderId="0"/>
    <xf numFmtId="0" fontId="11" fillId="0" borderId="0"/>
    <xf numFmtId="0" fontId="35" fillId="43" borderId="54" applyNumberFormat="0" applyFont="0" applyAlignment="0" applyProtection="0"/>
    <xf numFmtId="0" fontId="11" fillId="0" borderId="0"/>
    <xf numFmtId="0" fontId="11" fillId="0" borderId="0"/>
    <xf numFmtId="0" fontId="34" fillId="0" borderId="0"/>
    <xf numFmtId="0" fontId="11" fillId="0" borderId="0"/>
    <xf numFmtId="0" fontId="11" fillId="0" borderId="0"/>
    <xf numFmtId="0" fontId="35" fillId="0" borderId="0"/>
    <xf numFmtId="44" fontId="1"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0" fontId="19" fillId="0" borderId="0"/>
    <xf numFmtId="0" fontId="19" fillId="0" borderId="0"/>
    <xf numFmtId="0" fontId="11" fillId="0" borderId="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4"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7" fillId="0" borderId="0"/>
    <xf numFmtId="43" fontId="117" fillId="0" borderId="0" applyFont="0" applyFill="0" applyBorder="0" applyAlignment="0" applyProtection="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cellStyleXfs>
  <cellXfs count="1362">
    <xf numFmtId="0" fontId="0" fillId="0" borderId="0" xfId="0"/>
    <xf numFmtId="164" fontId="40" fillId="0" borderId="0" xfId="439" applyNumberFormat="1" applyFont="1" applyFill="1" applyAlignment="1" applyProtection="1">
      <alignment horizontal="center" wrapText="1"/>
    </xf>
    <xf numFmtId="0" fontId="44"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1" fillId="21" borderId="0" xfId="0" applyFont="1" applyFill="1" applyBorder="1" applyAlignment="1" applyProtection="1">
      <alignment horizontal="center" wrapText="1"/>
    </xf>
    <xf numFmtId="0" fontId="49" fillId="24" borderId="10" xfId="0" applyFont="1" applyFill="1" applyBorder="1" applyAlignment="1" applyProtection="1">
      <alignment horizontal="center" wrapText="1"/>
    </xf>
    <xf numFmtId="0" fontId="42" fillId="0" borderId="0" xfId="0" applyFont="1" applyAlignment="1" applyProtection="1">
      <alignment horizontal="left" wrapText="1"/>
    </xf>
    <xf numFmtId="0" fontId="42" fillId="0" borderId="0" xfId="0" applyFont="1" applyAlignment="1" applyProtection="1">
      <alignment horizontal="left" vertical="center" wrapText="1"/>
    </xf>
    <xf numFmtId="0" fontId="42" fillId="24" borderId="0" xfId="0" applyFont="1" applyFill="1" applyBorder="1" applyAlignment="1" applyProtection="1">
      <alignment horizontal="left" wrapText="1"/>
    </xf>
    <xf numFmtId="0" fontId="40" fillId="0" borderId="0" xfId="0" applyFont="1" applyAlignment="1" applyProtection="1">
      <alignment horizontal="center"/>
    </xf>
    <xf numFmtId="167" fontId="40" fillId="23" borderId="0" xfId="545" applyNumberFormat="1" applyFont="1" applyFill="1" applyProtection="1"/>
    <xf numFmtId="0" fontId="52" fillId="25" borderId="0" xfId="0" applyFont="1" applyFill="1" applyAlignment="1" applyProtection="1">
      <alignment horizontal="center" wrapText="1"/>
    </xf>
    <xf numFmtId="0" fontId="53" fillId="21" borderId="10" xfId="0" applyFont="1" applyFill="1" applyBorder="1" applyAlignment="1" applyProtection="1">
      <alignment horizontal="center" wrapText="1"/>
    </xf>
    <xf numFmtId="0" fontId="53"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55" fillId="26" borderId="0" xfId="682" applyFont="1" applyFill="1"/>
    <xf numFmtId="0" fontId="55" fillId="0" borderId="0" xfId="682" applyFont="1" applyFill="1"/>
    <xf numFmtId="0" fontId="40" fillId="0" borderId="0" xfId="682" applyFont="1"/>
    <xf numFmtId="40" fontId="56" fillId="0" borderId="0" xfId="0" applyNumberFormat="1" applyFont="1"/>
    <xf numFmtId="0" fontId="53" fillId="0" borderId="0" xfId="0" applyFont="1"/>
    <xf numFmtId="0" fontId="0" fillId="0" borderId="0" xfId="0" applyNumberFormat="1" applyFont="1" applyFill="1" applyAlignment="1" applyProtection="1">
      <alignment vertical="center" wrapText="1"/>
    </xf>
    <xf numFmtId="0" fontId="55"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8" fillId="0" borderId="0" xfId="0" applyNumberFormat="1" applyFont="1" applyFill="1" applyAlignment="1" applyProtection="1">
      <alignment vertical="center" wrapText="1"/>
    </xf>
    <xf numFmtId="0" fontId="40" fillId="0" borderId="0" xfId="0" applyNumberFormat="1" applyFont="1" applyFill="1" applyAlignment="1" applyProtection="1">
      <alignment horizontal="left" vertical="center" wrapText="1" indent="3"/>
    </xf>
    <xf numFmtId="0" fontId="55" fillId="0" borderId="0" xfId="0" applyNumberFormat="1" applyFont="1" applyFill="1" applyAlignment="1" applyProtection="1">
      <alignment vertical="center" wrapText="1"/>
    </xf>
    <xf numFmtId="0" fontId="55" fillId="0" borderId="0" xfId="0" applyNumberFormat="1" applyFont="1" applyFill="1" applyAlignment="1" applyProtection="1">
      <alignment horizontal="left" vertical="center" wrapText="1" indent="3"/>
    </xf>
    <xf numFmtId="0" fontId="55" fillId="0" borderId="14" xfId="0" applyNumberFormat="1" applyFont="1" applyFill="1" applyBorder="1" applyAlignment="1" applyProtection="1">
      <alignment horizontal="left" vertical="center" wrapText="1" indent="3"/>
    </xf>
    <xf numFmtId="0" fontId="55" fillId="0" borderId="0" xfId="0" applyNumberFormat="1" applyFont="1" applyFill="1" applyAlignment="1" applyProtection="1">
      <alignment horizontal="left" vertical="center" wrapText="1" indent="6"/>
    </xf>
    <xf numFmtId="0" fontId="46"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40" fontId="46" fillId="0" borderId="0" xfId="439" applyNumberFormat="1" applyFont="1" applyFill="1" applyAlignment="1" applyProtection="1">
      <alignment horizontal="center" vertical="center" wrapText="1"/>
    </xf>
    <xf numFmtId="173" fontId="46" fillId="0" borderId="0" xfId="439" applyNumberFormat="1" applyFont="1" applyFill="1" applyAlignment="1" applyProtection="1">
      <alignment horizontal="center" vertical="center" wrapText="1"/>
    </xf>
    <xf numFmtId="164" fontId="60"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61" fillId="0" borderId="25" xfId="0" applyNumberFormat="1" applyFont="1" applyFill="1" applyBorder="1" applyAlignment="1" applyProtection="1">
      <alignment horizontal="center" vertical="center"/>
    </xf>
    <xf numFmtId="0" fontId="62" fillId="0" borderId="25" xfId="0" applyNumberFormat="1" applyFont="1" applyFill="1" applyBorder="1" applyAlignment="1" applyProtection="1">
      <alignment horizontal="center" vertical="center"/>
    </xf>
    <xf numFmtId="0" fontId="40" fillId="23" borderId="25" xfId="0" applyNumberFormat="1" applyFont="1" applyFill="1" applyBorder="1" applyAlignment="1" applyProtection="1">
      <alignment horizontal="center" vertical="center"/>
    </xf>
    <xf numFmtId="0" fontId="40" fillId="0" borderId="26" xfId="0" applyNumberFormat="1" applyFont="1" applyFill="1" applyBorder="1" applyAlignment="1" applyProtection="1">
      <alignment horizontal="center" vertical="center"/>
    </xf>
    <xf numFmtId="0" fontId="51"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1" fillId="24" borderId="0" xfId="0" applyFont="1" applyFill="1" applyBorder="1" applyAlignment="1" applyProtection="1">
      <alignment horizontal="center" vertical="center" wrapText="1"/>
    </xf>
    <xf numFmtId="0" fontId="53" fillId="21" borderId="10" xfId="0" applyFont="1" applyFill="1" applyBorder="1" applyAlignment="1" applyProtection="1">
      <alignment horizontal="center" vertical="center" wrapText="1"/>
    </xf>
    <xf numFmtId="164" fontId="60" fillId="0" borderId="31" xfId="439" applyNumberFormat="1" applyFont="1" applyFill="1" applyBorder="1" applyAlignment="1" applyProtection="1">
      <alignment horizontal="center" vertical="center" wrapText="1"/>
    </xf>
    <xf numFmtId="0" fontId="52" fillId="25" borderId="0" xfId="0" applyFont="1" applyFill="1" applyAlignment="1" applyProtection="1">
      <alignment horizontal="center" vertical="center"/>
    </xf>
    <xf numFmtId="0" fontId="41" fillId="23" borderId="0" xfId="0" applyFont="1" applyFill="1" applyAlignment="1" applyProtection="1">
      <alignment vertical="center" wrapText="1"/>
    </xf>
    <xf numFmtId="0" fontId="41"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60" fillId="0" borderId="0" xfId="0" applyFont="1" applyProtection="1"/>
    <xf numFmtId="0" fontId="60" fillId="23" borderId="23" xfId="0" applyNumberFormat="1" applyFont="1" applyFill="1" applyBorder="1" applyAlignment="1" applyProtection="1">
      <alignment horizontal="left" vertical="center" wrapText="1"/>
    </xf>
    <xf numFmtId="0" fontId="60"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60"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46" fillId="0" borderId="0" xfId="439" applyNumberFormat="1" applyFont="1" applyFill="1" applyAlignment="1" applyProtection="1">
      <alignment horizontal="center" vertical="center" wrapText="1"/>
    </xf>
    <xf numFmtId="0" fontId="63" fillId="0" borderId="0" xfId="0" applyNumberFormat="1" applyFont="1" applyFill="1" applyAlignment="1" applyProtection="1">
      <alignment vertical="center" wrapText="1"/>
    </xf>
    <xf numFmtId="0" fontId="51" fillId="0" borderId="0" xfId="0" applyFont="1" applyAlignment="1" applyProtection="1">
      <alignment wrapText="1"/>
    </xf>
    <xf numFmtId="0" fontId="46" fillId="0" borderId="23" xfId="1243" applyFont="1" applyFill="1" applyBorder="1" applyAlignment="1" applyProtection="1">
      <alignment horizontal="left" vertical="center" wrapText="1"/>
    </xf>
    <xf numFmtId="164" fontId="52" fillId="25" borderId="0" xfId="439" applyNumberFormat="1" applyFont="1" applyFill="1" applyAlignment="1" applyProtection="1">
      <alignment horizontal="center"/>
    </xf>
    <xf numFmtId="0" fontId="64"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60" fillId="22" borderId="23" xfId="439" applyNumberFormat="1" applyFont="1" applyFill="1" applyBorder="1" applyAlignment="1" applyProtection="1">
      <alignment horizontal="center" vertical="center" wrapText="1"/>
    </xf>
    <xf numFmtId="0" fontId="51" fillId="30" borderId="25" xfId="0" applyNumberFormat="1" applyFont="1" applyFill="1" applyBorder="1" applyAlignment="1" applyProtection="1">
      <alignment horizontal="center" vertical="center" wrapText="1"/>
    </xf>
    <xf numFmtId="164" fontId="51" fillId="24" borderId="10" xfId="439" applyNumberFormat="1" applyFont="1" applyFill="1" applyBorder="1" applyAlignment="1" applyProtection="1">
      <alignment horizontal="center" wrapText="1"/>
    </xf>
    <xf numFmtId="0" fontId="65" fillId="0" borderId="0" xfId="720" applyNumberFormat="1" applyFont="1" applyFill="1" applyAlignment="1" applyProtection="1">
      <alignment horizontal="left" vertical="center" wrapText="1"/>
    </xf>
    <xf numFmtId="39" fontId="40" fillId="0" borderId="0" xfId="0" applyNumberFormat="1" applyFont="1" applyAlignment="1" applyProtection="1">
      <alignment horizontal="center"/>
    </xf>
    <xf numFmtId="39" fontId="41" fillId="21" borderId="0" xfId="0" applyNumberFormat="1" applyFont="1" applyFill="1" applyBorder="1" applyAlignment="1" applyProtection="1">
      <alignment horizontal="center" wrapText="1"/>
    </xf>
    <xf numFmtId="39" fontId="60" fillId="0" borderId="29" xfId="439" applyNumberFormat="1" applyFont="1" applyFill="1" applyBorder="1" applyAlignment="1" applyProtection="1">
      <alignment horizontal="center" vertical="center" wrapText="1"/>
    </xf>
    <xf numFmtId="39" fontId="60" fillId="23" borderId="28" xfId="439" applyNumberFormat="1" applyFont="1" applyFill="1" applyBorder="1" applyAlignment="1" applyProtection="1">
      <alignment horizontal="center" vertical="center" wrapText="1"/>
    </xf>
    <xf numFmtId="0" fontId="41" fillId="0" borderId="0" xfId="0" applyFont="1" applyFill="1" applyAlignment="1" applyProtection="1">
      <alignment vertical="center" wrapText="1"/>
    </xf>
    <xf numFmtId="39" fontId="53" fillId="31" borderId="0" xfId="0" applyNumberFormat="1" applyFont="1" applyFill="1" applyBorder="1" applyAlignment="1" applyProtection="1">
      <alignment horizontal="center" wrapText="1"/>
    </xf>
    <xf numFmtId="0" fontId="40"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4" fillId="32" borderId="0" xfId="0" applyFont="1" applyFill="1" applyAlignment="1" applyProtection="1">
      <alignment horizontal="center" vertical="center" wrapText="1"/>
    </xf>
    <xf numFmtId="0" fontId="0" fillId="0" borderId="0" xfId="0" applyFont="1" applyProtection="1">
      <protection locked="0"/>
    </xf>
    <xf numFmtId="0" fontId="54" fillId="0" borderId="25" xfId="0" applyNumberFormat="1" applyFont="1" applyFill="1" applyBorder="1" applyAlignment="1" applyProtection="1">
      <alignment horizontal="left" vertical="center" wrapText="1"/>
    </xf>
    <xf numFmtId="0" fontId="42" fillId="0" borderId="25" xfId="0" applyNumberFormat="1" applyFont="1" applyFill="1" applyBorder="1" applyAlignment="1" applyProtection="1">
      <alignment horizontal="left" vertical="center" wrapText="1"/>
    </xf>
    <xf numFmtId="41" fontId="60" fillId="0" borderId="23" xfId="439" applyNumberFormat="1" applyFont="1" applyFill="1" applyBorder="1" applyAlignment="1" applyProtection="1">
      <alignment horizontal="center" vertical="center" wrapText="1"/>
    </xf>
    <xf numFmtId="0" fontId="49" fillId="0" borderId="23" xfId="439" applyNumberFormat="1" applyFont="1" applyFill="1" applyBorder="1" applyAlignment="1" applyProtection="1">
      <alignment horizontal="center" vertical="center" wrapText="1"/>
    </xf>
    <xf numFmtId="41" fontId="67" fillId="0" borderId="0" xfId="0" applyNumberFormat="1" applyFont="1" applyFill="1" applyAlignment="1" applyProtection="1">
      <alignment wrapText="1"/>
    </xf>
    <xf numFmtId="0" fontId="66" fillId="0" borderId="0" xfId="0" applyFont="1" applyFill="1" applyAlignment="1" applyProtection="1">
      <alignment horizontal="center" vertical="center"/>
    </xf>
    <xf numFmtId="0" fontId="51" fillId="0" borderId="0" xfId="0" applyFont="1" applyFill="1" applyAlignment="1" applyProtection="1">
      <alignment horizontal="center" vertical="center" wrapText="1"/>
    </xf>
    <xf numFmtId="0" fontId="60"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60" fillId="29" borderId="23" xfId="439" applyNumberFormat="1" applyFont="1" applyFill="1" applyBorder="1" applyAlignment="1" applyProtection="1">
      <alignment horizontal="center" vertical="center" wrapText="1"/>
      <protection locked="0"/>
    </xf>
    <xf numFmtId="37" fontId="61" fillId="33" borderId="28" xfId="439" applyNumberFormat="1" applyFont="1" applyFill="1" applyBorder="1" applyAlignment="1" applyProtection="1">
      <alignment horizontal="center" vertical="center" wrapText="1"/>
    </xf>
    <xf numFmtId="37" fontId="40" fillId="0" borderId="28" xfId="439" applyNumberFormat="1" applyFont="1" applyFill="1" applyBorder="1" applyAlignment="1" applyProtection="1">
      <alignment horizontal="center" vertical="center" wrapText="1"/>
    </xf>
    <xf numFmtId="37" fontId="61"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60"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60"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0" fontId="0" fillId="0" borderId="0" xfId="0" applyFill="1"/>
    <xf numFmtId="169" fontId="40" fillId="0" borderId="0" xfId="439" applyNumberFormat="1" applyFont="1" applyFill="1" applyAlignment="1" applyProtection="1">
      <alignment horizontal="center" vertical="center"/>
      <protection locked="0"/>
    </xf>
    <xf numFmtId="38" fontId="46"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60" fillId="0" borderId="29" xfId="439" applyNumberFormat="1" applyFont="1" applyFill="1" applyBorder="1" applyAlignment="1" applyProtection="1">
      <alignment horizontal="center" vertical="center" wrapText="1"/>
    </xf>
    <xf numFmtId="172" fontId="60" fillId="0" borderId="23" xfId="439" applyNumberFormat="1" applyFont="1" applyFill="1" applyBorder="1" applyAlignment="1" applyProtection="1">
      <alignment horizontal="center" vertical="center" wrapText="1"/>
    </xf>
    <xf numFmtId="0" fontId="40" fillId="0" borderId="24" xfId="0" applyNumberFormat="1" applyFont="1" applyFill="1" applyBorder="1" applyAlignment="1" applyProtection="1">
      <alignment horizontal="center" vertical="center"/>
    </xf>
    <xf numFmtId="0" fontId="55" fillId="0" borderId="0" xfId="0" applyFont="1" applyFill="1" applyAlignment="1" applyProtection="1">
      <alignment vertical="center" wrapText="1"/>
    </xf>
    <xf numFmtId="0" fontId="55"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60" fillId="29" borderId="44" xfId="439" applyNumberFormat="1" applyFont="1" applyFill="1" applyBorder="1" applyAlignment="1" applyProtection="1">
      <alignment horizontal="center" vertical="center" wrapText="1"/>
      <protection locked="0"/>
    </xf>
    <xf numFmtId="164" fontId="60" fillId="0" borderId="30" xfId="439" applyNumberFormat="1" applyFont="1" applyFill="1" applyBorder="1" applyAlignment="1" applyProtection="1">
      <alignment horizontal="center" vertical="center" wrapText="1"/>
    </xf>
    <xf numFmtId="39" fontId="60" fillId="0" borderId="27" xfId="439" applyNumberFormat="1" applyFont="1" applyFill="1" applyBorder="1" applyAlignment="1" applyProtection="1">
      <alignment horizontal="center" vertical="center" wrapText="1"/>
    </xf>
    <xf numFmtId="164" fontId="60" fillId="0" borderId="46" xfId="439" applyNumberFormat="1" applyFont="1" applyFill="1" applyBorder="1" applyAlignment="1" applyProtection="1">
      <alignment horizontal="center" vertical="center" wrapText="1"/>
    </xf>
    <xf numFmtId="0" fontId="40"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60" fillId="29" borderId="45" xfId="439"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left" vertical="center" wrapText="1"/>
    </xf>
    <xf numFmtId="0" fontId="60" fillId="23" borderId="31" xfId="0" applyNumberFormat="1" applyFont="1" applyFill="1" applyBorder="1" applyAlignment="1" applyProtection="1">
      <alignment horizontal="left" vertical="center" wrapText="1"/>
    </xf>
    <xf numFmtId="0" fontId="60" fillId="23" borderId="31" xfId="439" applyNumberFormat="1" applyFont="1" applyFill="1" applyBorder="1" applyAlignment="1" applyProtection="1">
      <alignment horizontal="center" vertical="center" wrapText="1"/>
    </xf>
    <xf numFmtId="37" fontId="40" fillId="23" borderId="29" xfId="439" applyNumberFormat="1" applyFont="1" applyFill="1" applyBorder="1" applyAlignment="1" applyProtection="1">
      <alignment horizontal="center" vertical="center" wrapText="1"/>
    </xf>
    <xf numFmtId="0" fontId="40" fillId="23" borderId="26" xfId="0" applyNumberFormat="1" applyFont="1" applyFill="1" applyBorder="1" applyAlignment="1" applyProtection="1">
      <alignment horizontal="center" vertical="center"/>
    </xf>
    <xf numFmtId="37" fontId="40" fillId="0" borderId="27" xfId="439" applyNumberFormat="1" applyFont="1" applyFill="1" applyBorder="1" applyAlignment="1" applyProtection="1">
      <alignment horizontal="center" vertical="center" wrapText="1"/>
    </xf>
    <xf numFmtId="0" fontId="40"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40"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72" fillId="0" borderId="0" xfId="0" applyNumberFormat="1" applyFont="1" applyFill="1" applyAlignment="1" applyProtection="1">
      <alignment horizontal="left" vertical="center" wrapText="1" indent="6"/>
    </xf>
    <xf numFmtId="0" fontId="60"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0" fontId="41" fillId="24" borderId="0" xfId="439" applyNumberFormat="1" applyFont="1" applyFill="1" applyBorder="1" applyAlignment="1" applyProtection="1">
      <alignment horizontal="center" wrapText="1"/>
    </xf>
    <xf numFmtId="41" fontId="68" fillId="0" borderId="0" xfId="0" applyNumberFormat="1" applyFont="1" applyFill="1" applyAlignment="1" applyProtection="1">
      <alignment wrapText="1"/>
    </xf>
    <xf numFmtId="14" fontId="60" fillId="0" borderId="23" xfId="439" applyNumberFormat="1" applyFont="1" applyFill="1" applyBorder="1" applyAlignment="1" applyProtection="1">
      <alignment horizontal="center" vertical="center" wrapText="1"/>
    </xf>
    <xf numFmtId="37" fontId="0" fillId="0" borderId="0" xfId="0" applyNumberFormat="1" applyFont="1" applyFill="1" applyAlignment="1" applyProtection="1">
      <alignment horizontal="center" vertical="center"/>
    </xf>
    <xf numFmtId="164" fontId="51" fillId="0" borderId="0" xfId="0" applyNumberFormat="1" applyFont="1" applyAlignment="1" applyProtection="1">
      <alignment wrapText="1"/>
    </xf>
    <xf numFmtId="164" fontId="60" fillId="22" borderId="23" xfId="439" applyNumberFormat="1" applyFont="1" applyFill="1" applyBorder="1" applyAlignment="1" applyProtection="1">
      <alignment horizontal="center" vertical="center" wrapText="1"/>
      <protection locked="0"/>
    </xf>
    <xf numFmtId="172" fontId="60" fillId="22" borderId="23" xfId="439" applyNumberFormat="1" applyFont="1" applyFill="1" applyBorder="1" applyAlignment="1" applyProtection="1">
      <alignment horizontal="center" vertical="center" wrapText="1"/>
    </xf>
    <xf numFmtId="39" fontId="60" fillId="22" borderId="28" xfId="439" applyNumberFormat="1" applyFont="1" applyFill="1" applyBorder="1" applyAlignment="1" applyProtection="1">
      <alignment horizontal="center" vertical="center" wrapText="1"/>
    </xf>
    <xf numFmtId="164" fontId="60" fillId="22" borderId="29" xfId="439" applyNumberFormat="1" applyFont="1" applyFill="1" applyBorder="1" applyAlignment="1" applyProtection="1">
      <alignment horizontal="center" vertical="center" wrapText="1"/>
    </xf>
    <xf numFmtId="0" fontId="40" fillId="22" borderId="24" xfId="0" applyNumberFormat="1" applyFont="1" applyFill="1" applyBorder="1" applyAlignment="1" applyProtection="1">
      <alignment horizontal="center" vertical="center"/>
    </xf>
    <xf numFmtId="164" fontId="60" fillId="29" borderId="31" xfId="439" applyNumberFormat="1" applyFont="1" applyFill="1" applyBorder="1" applyAlignment="1" applyProtection="1">
      <alignment horizontal="center" vertical="center" wrapText="1"/>
      <protection locked="0"/>
    </xf>
    <xf numFmtId="0" fontId="50" fillId="0" borderId="0" xfId="0" applyFont="1" applyAlignment="1" applyProtection="1">
      <alignment horizontal="center"/>
    </xf>
    <xf numFmtId="0" fontId="42" fillId="22" borderId="0" xfId="0" applyFont="1" applyFill="1" applyAlignment="1" applyProtection="1">
      <alignment horizontal="left" wrapText="1"/>
    </xf>
    <xf numFmtId="172" fontId="60" fillId="22" borderId="30" xfId="439" applyNumberFormat="1" applyFont="1" applyFill="1" applyBorder="1" applyAlignment="1" applyProtection="1">
      <alignment horizontal="center" vertical="center" wrapText="1"/>
    </xf>
    <xf numFmtId="175" fontId="60" fillId="75" borderId="23" xfId="439" applyNumberFormat="1" applyFont="1" applyFill="1" applyBorder="1" applyAlignment="1" applyProtection="1">
      <alignment horizontal="center" vertical="center" wrapText="1"/>
    </xf>
    <xf numFmtId="3" fontId="60" fillId="0" borderId="23" xfId="439" applyNumberFormat="1" applyFont="1" applyFill="1" applyBorder="1" applyAlignment="1" applyProtection="1">
      <alignment horizontal="center" vertical="center" wrapText="1"/>
      <protection locked="0"/>
    </xf>
    <xf numFmtId="180" fontId="60" fillId="75" borderId="23" xfId="439" applyNumberFormat="1" applyFont="1" applyFill="1" applyBorder="1" applyAlignment="1" applyProtection="1">
      <alignment horizontal="center" vertical="center" wrapText="1"/>
    </xf>
    <xf numFmtId="39" fontId="60" fillId="0" borderId="23" xfId="439" applyNumberFormat="1" applyFont="1" applyFill="1" applyBorder="1" applyAlignment="1" applyProtection="1">
      <alignment horizontal="center" vertical="center" wrapText="1"/>
    </xf>
    <xf numFmtId="3" fontId="60" fillId="0" borderId="31" xfId="439" applyNumberFormat="1" applyFont="1" applyFill="1" applyBorder="1" applyAlignment="1" applyProtection="1">
      <alignment horizontal="center" vertical="center" wrapText="1"/>
    </xf>
    <xf numFmtId="3" fontId="60" fillId="23" borderId="31" xfId="439" applyNumberFormat="1" applyFont="1" applyFill="1" applyBorder="1" applyAlignment="1" applyProtection="1">
      <alignment horizontal="center" vertical="center" wrapText="1"/>
    </xf>
    <xf numFmtId="3" fontId="60" fillId="23" borderId="23" xfId="439" applyNumberFormat="1" applyFont="1" applyFill="1" applyBorder="1" applyAlignment="1" applyProtection="1">
      <alignment horizontal="center" vertical="center" wrapText="1"/>
    </xf>
    <xf numFmtId="3" fontId="60" fillId="0" borderId="30" xfId="439" applyNumberFormat="1" applyFont="1" applyFill="1" applyBorder="1" applyAlignment="1" applyProtection="1">
      <alignment horizontal="center" vertical="center" wrapText="1"/>
    </xf>
    <xf numFmtId="37" fontId="60" fillId="0" borderId="23" xfId="439" applyNumberFormat="1" applyFont="1" applyFill="1" applyBorder="1" applyAlignment="1" applyProtection="1">
      <alignment horizontal="center" vertical="center" wrapText="1"/>
    </xf>
    <xf numFmtId="0" fontId="40" fillId="0" borderId="0" xfId="0" applyFont="1" applyAlignment="1" applyProtection="1">
      <alignment horizontal="left" vertical="center" wrapText="1"/>
    </xf>
    <xf numFmtId="0" fontId="66" fillId="0" borderId="0" xfId="0" applyFont="1" applyProtection="1"/>
    <xf numFmtId="0" fontId="40" fillId="0" borderId="57" xfId="0" applyFont="1" applyBorder="1"/>
    <xf numFmtId="0" fontId="40" fillId="26" borderId="16" xfId="0" applyFont="1" applyFill="1" applyBorder="1" applyAlignment="1" applyProtection="1">
      <alignment horizontal="left"/>
    </xf>
    <xf numFmtId="0" fontId="40" fillId="0" borderId="17" xfId="0" applyFont="1" applyBorder="1" applyAlignment="1">
      <alignment vertical="center"/>
    </xf>
    <xf numFmtId="0" fontId="40" fillId="0" borderId="0" xfId="0" applyFont="1" applyBorder="1" applyAlignment="1">
      <alignment vertical="center"/>
    </xf>
    <xf numFmtId="0" fontId="40" fillId="0" borderId="15" xfId="0" applyFont="1" applyBorder="1" applyAlignment="1">
      <alignment vertical="center"/>
    </xf>
    <xf numFmtId="3" fontId="40" fillId="0" borderId="0" xfId="439" applyNumberFormat="1" applyFont="1" applyFill="1" applyAlignment="1" applyProtection="1">
      <alignment horizontal="center" vertical="center" wrapText="1"/>
      <protection locked="0"/>
    </xf>
    <xf numFmtId="0" fontId="74" fillId="22" borderId="0" xfId="0" applyFont="1" applyFill="1" applyProtection="1"/>
    <xf numFmtId="0" fontId="121" fillId="22" borderId="0" xfId="0" applyFont="1" applyFill="1" applyProtection="1"/>
    <xf numFmtId="0" fontId="85" fillId="22" borderId="0" xfId="0" applyFont="1" applyFill="1" applyAlignment="1" applyProtection="1">
      <alignment vertical="center" wrapText="1"/>
    </xf>
    <xf numFmtId="0" fontId="85" fillId="22" borderId="0" xfId="0" applyFont="1" applyFill="1" applyAlignment="1" applyProtection="1">
      <alignment vertical="center"/>
      <protection locked="0"/>
    </xf>
    <xf numFmtId="0" fontId="85" fillId="22" borderId="0" xfId="0" applyFont="1" applyFill="1" applyAlignment="1" applyProtection="1">
      <alignment vertical="center"/>
    </xf>
    <xf numFmtId="0" fontId="0" fillId="0" borderId="0" xfId="0" applyAlignment="1">
      <alignment horizontal="center"/>
    </xf>
    <xf numFmtId="0" fontId="0" fillId="0" borderId="61" xfId="0" applyNumberFormat="1" applyFont="1" applyFill="1" applyBorder="1" applyAlignment="1">
      <alignment horizontal="center"/>
    </xf>
    <xf numFmtId="0" fontId="85" fillId="0" borderId="0" xfId="0" applyFont="1" applyAlignment="1">
      <alignment horizontal="center"/>
    </xf>
    <xf numFmtId="0" fontId="40" fillId="0" borderId="24" xfId="0" applyFont="1" applyBorder="1" applyAlignment="1">
      <alignment horizontal="center" vertical="center"/>
    </xf>
    <xf numFmtId="0" fontId="40" fillId="0" borderId="0" xfId="0" applyFont="1" applyAlignment="1">
      <alignment vertical="center"/>
    </xf>
    <xf numFmtId="0" fontId="0" fillId="34" borderId="45" xfId="0" applyFont="1" applyFill="1" applyBorder="1" applyAlignment="1">
      <alignment vertical="center" wrapText="1"/>
    </xf>
    <xf numFmtId="171" fontId="60" fillId="75" borderId="29" xfId="439" applyNumberFormat="1" applyFont="1" applyFill="1" applyBorder="1" applyAlignment="1" applyProtection="1">
      <alignment horizontal="center" vertical="center" wrapText="1"/>
    </xf>
    <xf numFmtId="0" fontId="40" fillId="74" borderId="64" xfId="0" applyNumberFormat="1" applyFont="1" applyFill="1" applyBorder="1" applyAlignment="1" applyProtection="1">
      <alignment horizontal="center" vertical="center"/>
    </xf>
    <xf numFmtId="0" fontId="0" fillId="73" borderId="0" xfId="0" applyFill="1"/>
    <xf numFmtId="0" fontId="122" fillId="73" borderId="0" xfId="0" applyFont="1" applyFill="1" applyAlignment="1">
      <alignment vertical="center" wrapText="1"/>
    </xf>
    <xf numFmtId="0" fontId="48" fillId="73" borderId="0" xfId="0" applyFont="1" applyFill="1" applyAlignment="1">
      <alignment horizontal="justify" vertical="center"/>
    </xf>
    <xf numFmtId="0" fontId="127" fillId="77" borderId="0" xfId="0" applyFont="1" applyFill="1" applyAlignment="1">
      <alignment vertical="center"/>
    </xf>
    <xf numFmtId="0" fontId="64" fillId="0" borderId="45" xfId="0" applyFont="1" applyFill="1" applyBorder="1" applyAlignment="1" applyProtection="1">
      <alignment horizontal="center" vertical="center" wrapText="1"/>
    </xf>
    <xf numFmtId="0" fontId="64" fillId="32" borderId="45" xfId="0" applyFont="1" applyFill="1" applyBorder="1" applyAlignment="1" applyProtection="1">
      <alignment horizontal="center" vertical="center" wrapText="1"/>
    </xf>
    <xf numFmtId="0" fontId="60" fillId="31" borderId="25" xfId="0" applyNumberFormat="1" applyFont="1" applyFill="1" applyBorder="1" applyAlignment="1" applyProtection="1">
      <alignment horizontal="left" vertical="center" wrapText="1"/>
    </xf>
    <xf numFmtId="0" fontId="42" fillId="31" borderId="66" xfId="0" applyFont="1" applyFill="1" applyBorder="1" applyAlignment="1">
      <alignment wrapText="1"/>
    </xf>
    <xf numFmtId="14" fontId="42" fillId="31" borderId="66" xfId="0" applyNumberFormat="1" applyFont="1" applyFill="1" applyBorder="1" applyAlignment="1">
      <alignment wrapText="1"/>
    </xf>
    <xf numFmtId="0" fontId="40" fillId="31" borderId="64" xfId="0" applyNumberFormat="1" applyFont="1" applyFill="1" applyBorder="1" applyAlignment="1" applyProtection="1">
      <alignment horizontal="center" vertical="center"/>
    </xf>
    <xf numFmtId="49" fontId="60" fillId="0" borderId="23" xfId="439" applyNumberFormat="1" applyFont="1" applyFill="1" applyBorder="1" applyAlignment="1" applyProtection="1">
      <alignment horizontal="center" vertical="center" wrapText="1"/>
    </xf>
    <xf numFmtId="0" fontId="123" fillId="73" borderId="0" xfId="0" applyFont="1" applyFill="1" applyAlignment="1">
      <alignment horizontal="left" vertical="center" wrapText="1"/>
    </xf>
    <xf numFmtId="0" fontId="34" fillId="73" borderId="0" xfId="30098" applyFill="1"/>
    <xf numFmtId="0" fontId="126" fillId="77" borderId="0" xfId="30098" applyFont="1" applyFill="1" applyAlignment="1">
      <alignment horizontal="center" vertical="center" wrapText="1"/>
    </xf>
    <xf numFmtId="0" fontId="122" fillId="73" borderId="0" xfId="30098" applyFont="1" applyFill="1" applyAlignment="1">
      <alignment vertical="center" wrapText="1"/>
    </xf>
    <xf numFmtId="0" fontId="48" fillId="73" borderId="0" xfId="30098" applyFont="1" applyFill="1" applyAlignment="1">
      <alignment vertical="center" wrapText="1"/>
    </xf>
    <xf numFmtId="0" fontId="127" fillId="77" borderId="0" xfId="30098" applyFont="1" applyFill="1" applyAlignment="1">
      <alignment vertical="center"/>
    </xf>
    <xf numFmtId="0" fontId="130" fillId="0" borderId="0" xfId="30099" applyFont="1" applyAlignment="1">
      <alignment horizontal="left" vertical="top"/>
    </xf>
    <xf numFmtId="0" fontId="132" fillId="0" borderId="0" xfId="30099" applyFont="1" applyAlignment="1">
      <alignment horizontal="left" vertical="top"/>
    </xf>
    <xf numFmtId="0" fontId="130" fillId="36" borderId="0" xfId="30099" applyFont="1" applyFill="1" applyAlignment="1">
      <alignment horizontal="left" vertical="top"/>
    </xf>
    <xf numFmtId="0" fontId="132" fillId="0" borderId="0" xfId="30099" applyFont="1" applyAlignment="1">
      <alignment vertical="top"/>
    </xf>
    <xf numFmtId="0" fontId="130" fillId="0" borderId="0" xfId="30099" applyFont="1" applyAlignment="1">
      <alignment vertical="top"/>
    </xf>
    <xf numFmtId="14" fontId="132" fillId="0" borderId="0" xfId="30099" applyNumberFormat="1" applyFont="1" applyAlignment="1">
      <alignment horizontal="left" vertical="top"/>
    </xf>
    <xf numFmtId="0" fontId="132" fillId="79" borderId="13" xfId="30099" applyFont="1" applyFill="1" applyBorder="1" applyAlignment="1">
      <alignment horizontal="left" vertical="top"/>
    </xf>
    <xf numFmtId="0" fontId="132" fillId="79" borderId="16" xfId="30099" applyFont="1" applyFill="1" applyBorder="1" applyAlignment="1">
      <alignment horizontal="left" vertical="top"/>
    </xf>
    <xf numFmtId="164" fontId="137" fillId="79" borderId="16" xfId="30100" applyNumberFormat="1" applyFont="1" applyFill="1" applyBorder="1" applyAlignment="1">
      <alignment vertical="center"/>
    </xf>
    <xf numFmtId="0" fontId="138" fillId="79" borderId="16" xfId="30099" applyFont="1" applyFill="1" applyBorder="1" applyAlignment="1">
      <alignment vertical="center" wrapText="1"/>
    </xf>
    <xf numFmtId="0" fontId="138" fillId="79" borderId="16" xfId="30099" applyFont="1" applyFill="1" applyBorder="1" applyAlignment="1">
      <alignment vertical="center"/>
    </xf>
    <xf numFmtId="0" fontId="130" fillId="79" borderId="11" xfId="30099" applyFont="1" applyFill="1" applyBorder="1" applyAlignment="1">
      <alignment horizontal="left" vertical="top" wrapText="1"/>
    </xf>
    <xf numFmtId="0" fontId="139" fillId="0" borderId="0" xfId="30099" applyFont="1" applyAlignment="1">
      <alignment horizontal="left" vertical="top"/>
    </xf>
    <xf numFmtId="0" fontId="139" fillId="26" borderId="15" xfId="30099" applyFont="1" applyFill="1" applyBorder="1" applyAlignment="1">
      <alignment horizontal="left" vertical="top"/>
    </xf>
    <xf numFmtId="0" fontId="139" fillId="26" borderId="0" xfId="30099" applyFont="1" applyFill="1" applyAlignment="1">
      <alignment horizontal="left" vertical="top"/>
    </xf>
    <xf numFmtId="0" fontId="130" fillId="26" borderId="0" xfId="30099" applyFont="1" applyFill="1" applyAlignment="1">
      <alignment horizontal="left" vertical="top" wrapText="1"/>
    </xf>
    <xf numFmtId="0" fontId="139" fillId="26" borderId="0" xfId="30099" applyFont="1" applyFill="1" applyAlignment="1">
      <alignment horizontal="left" vertical="center"/>
    </xf>
    <xf numFmtId="0" fontId="139" fillId="26" borderId="60" xfId="30099" applyFont="1" applyFill="1" applyBorder="1" applyAlignment="1">
      <alignment horizontal="left" vertical="top" wrapText="1"/>
    </xf>
    <xf numFmtId="0" fontId="130" fillId="26" borderId="15" xfId="30099" applyFont="1" applyFill="1" applyBorder="1" applyAlignment="1">
      <alignment horizontal="left" vertical="top"/>
    </xf>
    <xf numFmtId="0" fontId="130" fillId="26" borderId="0" xfId="30099" applyFont="1" applyFill="1" applyAlignment="1">
      <alignment horizontal="left" vertical="top"/>
    </xf>
    <xf numFmtId="0" fontId="130" fillId="26" borderId="60" xfId="30099" applyFont="1" applyFill="1" applyBorder="1" applyAlignment="1">
      <alignment horizontal="left" vertical="top" wrapText="1"/>
    </xf>
    <xf numFmtId="0" fontId="142" fillId="26" borderId="0" xfId="30099" applyFont="1" applyFill="1" applyAlignment="1">
      <alignment horizontal="left" vertical="top"/>
    </xf>
    <xf numFmtId="0" fontId="130" fillId="26" borderId="0" xfId="30099" applyFont="1" applyFill="1" applyAlignment="1">
      <alignment horizontal="left" vertical="center"/>
    </xf>
    <xf numFmtId="14" fontId="130" fillId="0" borderId="70" xfId="30099" applyNumberFormat="1" applyFont="1" applyBorder="1" applyAlignment="1" applyProtection="1">
      <alignment horizontal="center" vertical="center"/>
      <protection locked="0"/>
    </xf>
    <xf numFmtId="0" fontId="130" fillId="26" borderId="0" xfId="30099" applyFont="1" applyFill="1" applyAlignment="1">
      <alignment horizontal="left" vertical="center" wrapText="1"/>
    </xf>
    <xf numFmtId="0" fontId="130" fillId="0" borderId="70" xfId="30099" applyFont="1" applyBorder="1" applyAlignment="1" applyProtection="1">
      <alignment horizontal="center" vertical="center"/>
      <protection locked="0"/>
    </xf>
    <xf numFmtId="0" fontId="145" fillId="0" borderId="0" xfId="29597" applyFont="1" applyFill="1" applyBorder="1" applyAlignment="1">
      <alignment horizontal="left" vertical="top"/>
    </xf>
    <xf numFmtId="0" fontId="147" fillId="26" borderId="0" xfId="30099" applyFont="1" applyFill="1" applyAlignment="1">
      <alignment horizontal="center" vertical="center" wrapText="1"/>
    </xf>
    <xf numFmtId="0" fontId="130" fillId="0" borderId="57" xfId="30099" applyFont="1" applyBorder="1" applyAlignment="1" applyProtection="1">
      <alignment horizontal="center" vertical="center"/>
      <protection locked="0"/>
    </xf>
    <xf numFmtId="0" fontId="130" fillId="26" borderId="0" xfId="30099" applyFont="1" applyFill="1" applyAlignment="1">
      <alignment horizontal="center" vertical="center"/>
    </xf>
    <xf numFmtId="0" fontId="148" fillId="26" borderId="0" xfId="30099" applyFont="1" applyFill="1" applyAlignment="1">
      <alignment horizontal="left" vertical="top" wrapText="1"/>
    </xf>
    <xf numFmtId="0" fontId="148" fillId="0" borderId="57" xfId="30099" applyFont="1" applyBorder="1" applyAlignment="1" applyProtection="1">
      <alignment horizontal="center" vertical="center" wrapText="1"/>
      <protection locked="0"/>
    </xf>
    <xf numFmtId="0" fontId="132" fillId="0" borderId="0" xfId="30099" applyFont="1" applyAlignment="1">
      <alignment horizontal="left"/>
    </xf>
    <xf numFmtId="0" fontId="131" fillId="0" borderId="70" xfId="30099" applyFont="1" applyBorder="1" applyAlignment="1" applyProtection="1">
      <alignment horizontal="center" vertical="center"/>
      <protection locked="0"/>
    </xf>
    <xf numFmtId="0" fontId="130" fillId="26" borderId="0" xfId="30099" applyFont="1" applyFill="1" applyAlignment="1">
      <alignment vertical="top" wrapText="1"/>
    </xf>
    <xf numFmtId="0" fontId="130" fillId="26" borderId="60" xfId="30099" applyFont="1" applyFill="1" applyBorder="1" applyAlignment="1">
      <alignment vertical="top" wrapText="1"/>
    </xf>
    <xf numFmtId="0" fontId="134" fillId="26" borderId="0" xfId="30099" applyFont="1" applyFill="1" applyAlignment="1">
      <alignment horizontal="left" vertical="top"/>
    </xf>
    <xf numFmtId="0" fontId="142" fillId="26" borderId="0" xfId="30099" applyFont="1" applyFill="1" applyAlignment="1">
      <alignment horizontal="left" vertical="top" wrapText="1"/>
    </xf>
    <xf numFmtId="0" fontId="130" fillId="26" borderId="15" xfId="30099" applyFont="1" applyFill="1" applyBorder="1" applyAlignment="1">
      <alignment horizontal="left"/>
    </xf>
    <xf numFmtId="0" fontId="130" fillId="26" borderId="0" xfId="30099" applyFont="1" applyFill="1" applyAlignment="1">
      <alignment horizontal="left"/>
    </xf>
    <xf numFmtId="0" fontId="130" fillId="26" borderId="0" xfId="30099" applyFont="1" applyFill="1" applyAlignment="1">
      <alignment vertical="center" wrapText="1"/>
    </xf>
    <xf numFmtId="0" fontId="142" fillId="26" borderId="0" xfId="30099" applyFont="1" applyFill="1" applyAlignment="1">
      <alignment vertical="center" wrapText="1"/>
    </xf>
    <xf numFmtId="14" fontId="132" fillId="0" borderId="0" xfId="30099" applyNumberFormat="1" applyFont="1" applyAlignment="1">
      <alignment horizontal="left"/>
    </xf>
    <xf numFmtId="0" fontId="130" fillId="0" borderId="0" xfId="30099" applyFont="1" applyAlignment="1">
      <alignment horizontal="left"/>
    </xf>
    <xf numFmtId="0" fontId="136" fillId="26" borderId="0" xfId="30099" applyFont="1" applyFill="1" applyAlignment="1">
      <alignment horizontal="left"/>
    </xf>
    <xf numFmtId="0" fontId="136" fillId="26" borderId="0" xfId="30099" applyFont="1" applyFill="1" applyAlignment="1">
      <alignment horizontal="right" vertical="center"/>
    </xf>
    <xf numFmtId="0" fontId="136" fillId="26" borderId="0" xfId="30099" applyFont="1" applyFill="1" applyAlignment="1">
      <alignment horizontal="right"/>
    </xf>
    <xf numFmtId="0" fontId="130" fillId="26" borderId="0" xfId="30099" applyFont="1" applyFill="1" applyAlignment="1">
      <alignment horizontal="right" vertical="center" wrapText="1"/>
    </xf>
    <xf numFmtId="14" fontId="130" fillId="26" borderId="0" xfId="30099" applyNumberFormat="1" applyFont="1" applyFill="1" applyAlignment="1">
      <alignment horizontal="left" vertical="center"/>
    </xf>
    <xf numFmtId="0" fontId="152" fillId="79" borderId="0" xfId="30099" applyFont="1" applyFill="1" applyAlignment="1">
      <alignment vertical="center"/>
    </xf>
    <xf numFmtId="0" fontId="152" fillId="79" borderId="0" xfId="30099" applyFont="1" applyFill="1" applyAlignment="1">
      <alignment horizontal="left" vertical="center"/>
    </xf>
    <xf numFmtId="0" fontId="142" fillId="26" borderId="0" xfId="30099" applyFont="1" applyFill="1" applyAlignment="1">
      <alignment horizontal="left" vertical="center" wrapText="1"/>
    </xf>
    <xf numFmtId="0" fontId="142" fillId="26" borderId="60" xfId="30099" applyFont="1" applyFill="1" applyBorder="1" applyAlignment="1">
      <alignment vertical="top" wrapText="1"/>
    </xf>
    <xf numFmtId="0" fontId="130" fillId="26" borderId="40" xfId="30099" applyFont="1" applyFill="1" applyBorder="1" applyAlignment="1">
      <alignment horizontal="left" vertical="top"/>
    </xf>
    <xf numFmtId="0" fontId="130" fillId="26" borderId="41" xfId="30099" applyFont="1" applyFill="1" applyBorder="1" applyAlignment="1">
      <alignment horizontal="left" vertical="top"/>
    </xf>
    <xf numFmtId="0" fontId="130" fillId="26" borderId="41" xfId="30099" applyFont="1" applyFill="1" applyBorder="1" applyAlignment="1">
      <alignment horizontal="right" vertical="center" wrapText="1"/>
    </xf>
    <xf numFmtId="0" fontId="130" fillId="26" borderId="41" xfId="30099" applyFont="1" applyFill="1" applyBorder="1" applyAlignment="1">
      <alignment horizontal="left" vertical="center"/>
    </xf>
    <xf numFmtId="0" fontId="130" fillId="26" borderId="42" xfId="30099" applyFont="1" applyFill="1" applyBorder="1" applyAlignment="1">
      <alignment horizontal="left" vertical="top" wrapText="1"/>
    </xf>
    <xf numFmtId="0" fontId="130" fillId="0" borderId="0" xfId="30099" applyFont="1" applyAlignment="1">
      <alignment horizontal="left" vertical="top" wrapText="1"/>
    </xf>
    <xf numFmtId="2" fontId="130" fillId="0" borderId="0" xfId="30099" applyNumberFormat="1" applyFont="1" applyAlignment="1">
      <alignment horizontal="left" vertical="top"/>
    </xf>
    <xf numFmtId="0" fontId="130" fillId="0" borderId="0" xfId="30099" applyFont="1" applyAlignment="1">
      <alignment horizontal="left" vertical="center" wrapText="1"/>
    </xf>
    <xf numFmtId="14" fontId="130" fillId="0" borderId="0" xfId="30099" applyNumberFormat="1" applyFont="1" applyAlignment="1">
      <alignment horizontal="left" vertical="top"/>
    </xf>
    <xf numFmtId="0" fontId="130" fillId="0" borderId="0" xfId="30099" applyFont="1" applyAlignment="1">
      <alignment horizontal="left" wrapText="1"/>
    </xf>
    <xf numFmtId="0" fontId="0" fillId="0" borderId="0" xfId="0" applyNumberFormat="1" applyFont="1" applyFill="1" applyBorder="1" applyAlignment="1" applyProtection="1">
      <alignment horizontal="left" vertical="center" wrapText="1"/>
    </xf>
    <xf numFmtId="0" fontId="154" fillId="26" borderId="0" xfId="30099" applyFont="1" applyFill="1" applyAlignment="1">
      <alignment horizontal="center" vertical="center"/>
    </xf>
    <xf numFmtId="164" fontId="136" fillId="26" borderId="0" xfId="30100" applyNumberFormat="1" applyFont="1" applyFill="1" applyBorder="1" applyAlignment="1">
      <alignment vertical="center"/>
    </xf>
    <xf numFmtId="164" fontId="136" fillId="26" borderId="0" xfId="30100" applyNumberFormat="1" applyFont="1" applyFill="1" applyBorder="1" applyAlignment="1">
      <alignment vertical="top"/>
    </xf>
    <xf numFmtId="164" fontId="135" fillId="26" borderId="0" xfId="30100" applyNumberFormat="1" applyFont="1" applyFill="1" applyBorder="1" applyAlignment="1">
      <alignment vertical="center"/>
    </xf>
    <xf numFmtId="164" fontId="134" fillId="26" borderId="0" xfId="30100" applyNumberFormat="1" applyFont="1" applyFill="1" applyBorder="1" applyAlignment="1">
      <alignment vertical="center"/>
    </xf>
    <xf numFmtId="164" fontId="136" fillId="26" borderId="41" xfId="30100" applyNumberFormat="1" applyFont="1" applyFill="1" applyBorder="1" applyAlignment="1">
      <alignment vertical="top"/>
    </xf>
    <xf numFmtId="164" fontId="130" fillId="0" borderId="0" xfId="30100" applyNumberFormat="1" applyFont="1" applyFill="1" applyBorder="1" applyAlignment="1">
      <alignment vertical="top"/>
    </xf>
    <xf numFmtId="49" fontId="136" fillId="26" borderId="0" xfId="30100" applyNumberFormat="1" applyFont="1" applyFill="1" applyBorder="1" applyAlignment="1">
      <alignment horizontal="center" vertical="center"/>
    </xf>
    <xf numFmtId="49" fontId="136" fillId="26" borderId="0" xfId="30100" applyNumberFormat="1" applyFont="1" applyFill="1" applyBorder="1" applyAlignment="1">
      <alignment horizontal="center" vertical="top"/>
    </xf>
    <xf numFmtId="0" fontId="136" fillId="26" borderId="0" xfId="30099" applyFont="1" applyFill="1" applyAlignment="1">
      <alignment horizontal="left" wrapText="1"/>
    </xf>
    <xf numFmtId="0" fontId="136" fillId="26" borderId="0" xfId="30099" applyFont="1" applyFill="1" applyAlignment="1">
      <alignment horizontal="left" vertical="center" wrapText="1"/>
    </xf>
    <xf numFmtId="0" fontId="130" fillId="0" borderId="0" xfId="30099" applyFont="1" applyFill="1" applyAlignment="1">
      <alignment horizontal="left"/>
    </xf>
    <xf numFmtId="0" fontId="132" fillId="0" borderId="0" xfId="30099" applyFont="1" applyFill="1" applyAlignment="1">
      <alignment horizontal="left"/>
    </xf>
    <xf numFmtId="14" fontId="132" fillId="0" borderId="0" xfId="30099" applyNumberFormat="1" applyFont="1" applyFill="1" applyAlignment="1">
      <alignment horizontal="left"/>
    </xf>
    <xf numFmtId="167" fontId="0" fillId="0" borderId="83" xfId="545" applyNumberFormat="1" applyFont="1" applyBorder="1"/>
    <xf numFmtId="10" fontId="0" fillId="0" borderId="83" xfId="4688" applyNumberFormat="1" applyFont="1" applyBorder="1"/>
    <xf numFmtId="0" fontId="0" fillId="0" borderId="0" xfId="0"/>
    <xf numFmtId="2" fontId="0" fillId="0" borderId="83" xfId="439" applyNumberFormat="1" applyFont="1" applyBorder="1"/>
    <xf numFmtId="169" fontId="40" fillId="29" borderId="0" xfId="439" applyNumberFormat="1" applyFont="1" applyFill="1" applyAlignment="1" applyProtection="1">
      <alignment horizontal="center" vertical="center"/>
      <protection locked="0"/>
    </xf>
    <xf numFmtId="174" fontId="40" fillId="29" borderId="0" xfId="439" applyNumberFormat="1" applyFont="1" applyFill="1" applyAlignment="1" applyProtection="1">
      <alignment horizontal="center" vertical="center"/>
      <protection locked="0"/>
    </xf>
    <xf numFmtId="38" fontId="46" fillId="29" borderId="0" xfId="439" applyNumberFormat="1" applyFont="1" applyFill="1" applyAlignment="1" applyProtection="1">
      <alignment horizontal="center" vertical="center" wrapText="1"/>
      <protection locked="0"/>
    </xf>
    <xf numFmtId="9" fontId="0" fillId="0" borderId="83" xfId="4688" applyFont="1" applyBorder="1"/>
    <xf numFmtId="0" fontId="138" fillId="79" borderId="41" xfId="30099" applyFont="1" applyFill="1" applyBorder="1" applyAlignment="1">
      <alignment vertical="center"/>
    </xf>
    <xf numFmtId="0" fontId="40" fillId="0" borderId="43" xfId="0" applyNumberFormat="1" applyFont="1" applyFill="1" applyBorder="1" applyAlignment="1" applyProtection="1">
      <alignment horizontal="center" vertical="center"/>
    </xf>
    <xf numFmtId="0" fontId="40" fillId="0" borderId="0" xfId="0" applyFont="1" applyAlignment="1">
      <alignment horizontal="center"/>
    </xf>
    <xf numFmtId="0" fontId="40" fillId="0" borderId="0" xfId="0" applyFont="1" applyAlignment="1">
      <alignment horizontal="center" wrapText="1"/>
    </xf>
    <xf numFmtId="0" fontId="134" fillId="26" borderId="0" xfId="30099" applyFont="1" applyFill="1" applyAlignment="1">
      <alignment vertical="top" wrapText="1"/>
    </xf>
    <xf numFmtId="0" fontId="156" fillId="26" borderId="0" xfId="30099" applyFont="1" applyFill="1" applyAlignment="1">
      <alignment horizontal="left" vertical="top" wrapText="1"/>
    </xf>
    <xf numFmtId="170" fontId="40" fillId="29" borderId="0" xfId="439" applyNumberFormat="1" applyFont="1" applyFill="1" applyAlignment="1" applyProtection="1">
      <alignment horizontal="center" vertical="center"/>
      <protection locked="0"/>
    </xf>
    <xf numFmtId="0" fontId="40" fillId="78" borderId="86" xfId="0" applyFont="1" applyFill="1" applyBorder="1" applyAlignment="1">
      <alignment horizontal="center"/>
    </xf>
    <xf numFmtId="0" fontId="40" fillId="78" borderId="86" xfId="0" applyFont="1" applyFill="1" applyBorder="1" applyAlignment="1">
      <alignment horizontal="center" wrapText="1"/>
    </xf>
    <xf numFmtId="0" fontId="40" fillId="78" borderId="95" xfId="0" applyFont="1" applyFill="1" applyBorder="1" applyAlignment="1">
      <alignment vertical="center" wrapText="1"/>
    </xf>
    <xf numFmtId="0" fontId="40" fillId="78" borderId="89" xfId="0" applyFont="1" applyFill="1" applyBorder="1" applyAlignment="1">
      <alignment wrapText="1"/>
    </xf>
    <xf numFmtId="0" fontId="40" fillId="78" borderId="86" xfId="0" applyFont="1" applyFill="1" applyBorder="1" applyAlignment="1">
      <alignment wrapText="1"/>
    </xf>
    <xf numFmtId="43" fontId="0" fillId="0" borderId="83" xfId="439" applyNumberFormat="1" applyFont="1" applyBorder="1"/>
    <xf numFmtId="0" fontId="40" fillId="78" borderId="98" xfId="0" applyFont="1" applyFill="1" applyBorder="1" applyAlignment="1">
      <alignment horizontal="center"/>
    </xf>
    <xf numFmtId="0" fontId="40" fillId="78" borderId="93" xfId="0" applyFont="1" applyFill="1" applyBorder="1" applyAlignment="1">
      <alignment horizontal="center"/>
    </xf>
    <xf numFmtId="0" fontId="40" fillId="78" borderId="95" xfId="0" applyFont="1" applyFill="1" applyBorder="1" applyAlignment="1">
      <alignment wrapText="1"/>
    </xf>
    <xf numFmtId="0" fontId="40" fillId="78" borderId="102" xfId="0" applyFont="1" applyFill="1" applyBorder="1" applyAlignment="1">
      <alignment vertical="center" wrapText="1"/>
    </xf>
    <xf numFmtId="38" fontId="40" fillId="29" borderId="0" xfId="439" applyNumberFormat="1" applyFont="1" applyFill="1" applyAlignment="1" applyProtection="1">
      <alignment horizontal="center" vertical="center"/>
      <protection locked="0"/>
    </xf>
    <xf numFmtId="3" fontId="40" fillId="29" borderId="0" xfId="439" applyNumberFormat="1" applyFont="1" applyFill="1" applyAlignment="1" applyProtection="1">
      <alignment horizontal="center" vertical="center"/>
      <protection locked="0"/>
    </xf>
    <xf numFmtId="37" fontId="40" fillId="29" borderId="0" xfId="439" applyNumberFormat="1" applyFont="1" applyFill="1" applyAlignment="1" applyProtection="1">
      <alignment horizontal="center" vertical="center"/>
      <protection locked="0"/>
    </xf>
    <xf numFmtId="0" fontId="0" fillId="0" borderId="0" xfId="0" applyFont="1"/>
    <xf numFmtId="2" fontId="0" fillId="0" borderId="0" xfId="0" applyNumberFormat="1" applyFont="1"/>
    <xf numFmtId="0" fontId="0" fillId="0" borderId="0" xfId="0" applyFont="1" applyFill="1"/>
    <xf numFmtId="0" fontId="0" fillId="0" borderId="0" xfId="659" applyFont="1" applyFill="1"/>
    <xf numFmtId="0" fontId="161" fillId="0" borderId="0" xfId="0" applyFont="1" applyAlignment="1">
      <alignment vertical="center"/>
    </xf>
    <xf numFmtId="0" fontId="161" fillId="0" borderId="0" xfId="30099" applyFont="1" applyAlignment="1">
      <alignment horizontal="left" vertical="top"/>
    </xf>
    <xf numFmtId="0" fontId="157" fillId="26" borderId="0" xfId="30099" applyFont="1" applyFill="1" applyAlignment="1">
      <alignment vertical="center" wrapText="1"/>
    </xf>
    <xf numFmtId="0" fontId="162" fillId="26" borderId="0" xfId="30099" applyFont="1" applyFill="1" applyAlignment="1">
      <alignment vertical="center" wrapText="1"/>
    </xf>
    <xf numFmtId="0" fontId="163" fillId="0" borderId="0" xfId="0" applyFont="1"/>
    <xf numFmtId="0" fontId="136" fillId="26" borderId="0" xfId="30100" applyNumberFormat="1" applyFont="1" applyFill="1" applyBorder="1" applyAlignment="1">
      <alignment horizontal="center" vertical="center"/>
    </xf>
    <xf numFmtId="164" fontId="136" fillId="26" borderId="0" xfId="30100" quotePrefix="1" applyNumberFormat="1" applyFont="1" applyFill="1" applyBorder="1" applyAlignment="1">
      <alignment horizontal="center" vertical="center"/>
    </xf>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0" fillId="0" borderId="0" xfId="0" quotePrefix="1" applyFont="1" applyFill="1"/>
    <xf numFmtId="0" fontId="0" fillId="0" borderId="0" xfId="0" applyFill="1" applyAlignment="1">
      <alignment horizontal="center"/>
    </xf>
    <xf numFmtId="0" fontId="55" fillId="34" borderId="0" xfId="0" applyNumberFormat="1" applyFont="1" applyFill="1" applyAlignment="1" applyProtection="1">
      <alignment vertical="center" wrapText="1"/>
    </xf>
    <xf numFmtId="0" fontId="0" fillId="34" borderId="0" xfId="0" applyNumberFormat="1" applyFont="1" applyFill="1" applyBorder="1" applyAlignment="1" applyProtection="1">
      <alignment horizontal="center" vertical="center" wrapText="1"/>
    </xf>
    <xf numFmtId="0" fontId="0" fillId="34" borderId="0" xfId="0" applyNumberFormat="1" applyFont="1" applyFill="1" applyBorder="1" applyAlignment="1" applyProtection="1">
      <alignment horizontal="left" vertical="center" wrapText="1"/>
    </xf>
    <xf numFmtId="0" fontId="40" fillId="0" borderId="26" xfId="0" applyFont="1" applyFill="1" applyBorder="1" applyAlignment="1">
      <alignment horizontal="center" vertical="center"/>
    </xf>
    <xf numFmtId="0" fontId="40" fillId="0" borderId="25" xfId="0" applyFont="1" applyFill="1" applyBorder="1" applyAlignment="1">
      <alignment horizontal="center" vertical="center"/>
    </xf>
    <xf numFmtId="0" fontId="40" fillId="0" borderId="24" xfId="0" applyFont="1" applyFill="1" applyBorder="1" applyAlignment="1">
      <alignment horizontal="center" vertical="center"/>
    </xf>
    <xf numFmtId="0" fontId="40" fillId="0" borderId="45" xfId="0" applyFont="1" applyFill="1" applyBorder="1" applyAlignment="1">
      <alignment horizontal="center" vertical="center"/>
    </xf>
    <xf numFmtId="0" fontId="40" fillId="0" borderId="43" xfId="0" applyFont="1" applyFill="1" applyBorder="1" applyAlignment="1">
      <alignment horizontal="center" vertical="center"/>
    </xf>
    <xf numFmtId="0" fontId="62" fillId="0" borderId="25" xfId="0" applyFont="1" applyFill="1" applyBorder="1" applyAlignment="1">
      <alignment horizontal="center" vertical="center"/>
    </xf>
    <xf numFmtId="0" fontId="51" fillId="0" borderId="25" xfId="0" applyFont="1" applyFill="1" applyBorder="1" applyAlignment="1">
      <alignment horizontal="center" vertical="center" wrapText="1"/>
    </xf>
    <xf numFmtId="0" fontId="61" fillId="0" borderId="25" xfId="0" applyFont="1" applyFill="1" applyBorder="1" applyAlignment="1">
      <alignment horizontal="center" vertical="center"/>
    </xf>
    <xf numFmtId="0" fontId="40" fillId="0" borderId="64" xfId="0" applyFont="1" applyFill="1" applyBorder="1" applyAlignment="1">
      <alignment horizontal="center" vertical="center"/>
    </xf>
    <xf numFmtId="0" fontId="72" fillId="0" borderId="0" xfId="0" applyFont="1" applyFill="1"/>
    <xf numFmtId="0" fontId="40" fillId="0" borderId="0" xfId="0" applyFont="1" applyFill="1" applyBorder="1" applyAlignment="1">
      <alignment horizontal="center" vertical="center"/>
    </xf>
    <xf numFmtId="0" fontId="54" fillId="0" borderId="30" xfId="0" applyNumberFormat="1" applyFont="1" applyFill="1" applyBorder="1" applyAlignment="1" applyProtection="1">
      <alignment horizontal="left" vertical="center" wrapText="1"/>
    </xf>
    <xf numFmtId="39" fontId="60" fillId="0" borderId="45" xfId="439" applyNumberFormat="1" applyFont="1" applyFill="1" applyBorder="1" applyAlignment="1" applyProtection="1">
      <alignment horizontal="center" vertical="center" wrapText="1"/>
    </xf>
    <xf numFmtId="0" fontId="65" fillId="0" borderId="0" xfId="0" applyNumberFormat="1" applyFont="1" applyFill="1" applyAlignment="1" applyProtection="1">
      <alignment horizontal="left" vertical="center" wrapText="1"/>
    </xf>
    <xf numFmtId="0" fontId="42" fillId="34" borderId="23" xfId="0" applyNumberFormat="1" applyFont="1" applyFill="1" applyBorder="1" applyAlignment="1" applyProtection="1">
      <alignment horizontal="left" vertical="center" wrapText="1"/>
    </xf>
    <xf numFmtId="0" fontId="60" fillId="34" borderId="25" xfId="0" applyNumberFormat="1" applyFont="1" applyFill="1" applyBorder="1" applyAlignment="1" applyProtection="1">
      <alignment horizontal="left" vertical="center" wrapText="1"/>
    </xf>
    <xf numFmtId="0" fontId="40" fillId="34" borderId="24" xfId="0" applyNumberFormat="1" applyFont="1" applyFill="1" applyBorder="1" applyAlignment="1" applyProtection="1">
      <alignment horizontal="center" vertical="center"/>
    </xf>
    <xf numFmtId="180" fontId="60"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40" fillId="0" borderId="45" xfId="439" applyNumberFormat="1" applyFont="1" applyFill="1" applyBorder="1" applyAlignment="1" applyProtection="1">
      <alignment horizontal="center" vertical="center" wrapText="1"/>
    </xf>
    <xf numFmtId="0" fontId="65" fillId="0" borderId="45" xfId="0" applyNumberFormat="1" applyFont="1" applyFill="1" applyBorder="1" applyAlignment="1" applyProtection="1">
      <alignment horizontal="left" vertical="center" wrapText="1"/>
    </xf>
    <xf numFmtId="0" fontId="60" fillId="0" borderId="28" xfId="0" applyNumberFormat="1" applyFont="1" applyFill="1" applyBorder="1" applyAlignment="1" applyProtection="1">
      <alignment horizontal="left" vertical="center" wrapText="1"/>
    </xf>
    <xf numFmtId="0" fontId="54" fillId="0" borderId="45" xfId="0" applyNumberFormat="1" applyFont="1" applyFill="1" applyBorder="1" applyAlignment="1" applyProtection="1">
      <alignment horizontal="left" vertical="center" wrapText="1"/>
    </xf>
    <xf numFmtId="0" fontId="40" fillId="0" borderId="45" xfId="0" applyNumberFormat="1" applyFont="1" applyFill="1" applyBorder="1" applyAlignment="1" applyProtection="1">
      <alignment horizontal="center" vertical="center"/>
    </xf>
    <xf numFmtId="164" fontId="60" fillId="0" borderId="45" xfId="439" applyNumberFormat="1" applyFont="1" applyFill="1" applyBorder="1" applyAlignment="1" applyProtection="1">
      <alignment horizontal="center" vertical="center" wrapText="1"/>
    </xf>
    <xf numFmtId="41" fontId="43"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40" fillId="0" borderId="25" xfId="0" applyNumberFormat="1" applyFont="1" applyFill="1" applyBorder="1" applyAlignment="1" applyProtection="1">
      <alignment horizontal="center" vertical="center"/>
    </xf>
    <xf numFmtId="164" fontId="60" fillId="0" borderId="29" xfId="439" applyNumberFormat="1" applyFont="1" applyFill="1" applyBorder="1" applyAlignment="1" applyProtection="1">
      <alignment horizontal="center" vertical="center" wrapText="1"/>
    </xf>
    <xf numFmtId="164" fontId="60" fillId="0" borderId="23" xfId="439" applyNumberFormat="1" applyFont="1" applyFill="1" applyBorder="1" applyAlignment="1" applyProtection="1">
      <alignment horizontal="center" vertical="center" wrapText="1"/>
    </xf>
    <xf numFmtId="0" fontId="60" fillId="0" borderId="23" xfId="0" applyNumberFormat="1" applyFont="1" applyFill="1" applyBorder="1" applyAlignment="1" applyProtection="1">
      <alignment horizontal="left" vertical="center" wrapText="1"/>
    </xf>
    <xf numFmtId="39" fontId="60" fillId="0" borderId="28" xfId="439" applyNumberFormat="1" applyFont="1" applyFill="1" applyBorder="1" applyAlignment="1" applyProtection="1">
      <alignment horizontal="center" vertical="center" wrapText="1"/>
    </xf>
    <xf numFmtId="164" fontId="60"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60" fillId="34" borderId="23" xfId="0" applyNumberFormat="1" applyFont="1" applyFill="1" applyBorder="1" applyAlignment="1" applyProtection="1">
      <alignment horizontal="left" vertical="center" wrapText="1"/>
    </xf>
    <xf numFmtId="164" fontId="60" fillId="29" borderId="23" xfId="439" applyNumberFormat="1" applyFont="1" applyFill="1" applyBorder="1" applyAlignment="1" applyProtection="1">
      <alignment horizontal="center" vertical="center" wrapText="1"/>
      <protection locked="0"/>
    </xf>
    <xf numFmtId="3" fontId="60" fillId="0" borderId="23" xfId="439" applyNumberFormat="1" applyFont="1" applyFill="1" applyBorder="1" applyAlignment="1" applyProtection="1">
      <alignment horizontal="center" vertical="center" wrapText="1"/>
    </xf>
    <xf numFmtId="3" fontId="60" fillId="34" borderId="23" xfId="439" applyNumberFormat="1" applyFont="1" applyFill="1" applyBorder="1" applyAlignment="1" applyProtection="1">
      <alignment horizontal="center" vertical="center" wrapText="1"/>
    </xf>
    <xf numFmtId="0" fontId="60" fillId="22" borderId="23" xfId="439" applyNumberFormat="1" applyFont="1" applyFill="1" applyBorder="1" applyAlignment="1" applyProtection="1">
      <alignment horizontal="center" vertical="center" wrapText="1"/>
      <protection locked="0"/>
    </xf>
    <xf numFmtId="164" fontId="60" fillId="29" borderId="0" xfId="439" applyNumberFormat="1" applyFont="1" applyFill="1" applyBorder="1" applyAlignment="1" applyProtection="1">
      <alignment horizontal="center" vertical="center" wrapText="1"/>
      <protection locked="0"/>
    </xf>
    <xf numFmtId="37" fontId="40" fillId="0" borderId="0" xfId="439" applyNumberFormat="1" applyFont="1" applyFill="1" applyBorder="1" applyAlignment="1" applyProtection="1">
      <alignment horizontal="center" vertical="center" wrapText="1"/>
    </xf>
    <xf numFmtId="0" fontId="40" fillId="0" borderId="0" xfId="0" applyNumberFormat="1" applyFont="1" applyFill="1" applyBorder="1" applyAlignment="1" applyProtection="1">
      <alignment horizontal="center" vertical="center"/>
    </xf>
    <xf numFmtId="3" fontId="60" fillId="0" borderId="45" xfId="439" applyNumberFormat="1" applyFont="1" applyFill="1" applyBorder="1" applyAlignment="1" applyProtection="1">
      <alignment horizontal="center" vertical="center" wrapText="1"/>
    </xf>
    <xf numFmtId="0" fontId="60" fillId="0" borderId="45" xfId="0" applyNumberFormat="1" applyFont="1" applyFill="1" applyBorder="1" applyAlignment="1" applyProtection="1">
      <alignment horizontal="left" vertical="center" wrapText="1"/>
    </xf>
    <xf numFmtId="0" fontId="0" fillId="0" borderId="36" xfId="0" applyFont="1" applyFill="1" applyBorder="1" applyAlignment="1" applyProtection="1">
      <alignment vertical="center" wrapText="1"/>
    </xf>
    <xf numFmtId="0" fontId="40" fillId="34" borderId="25" xfId="0" applyNumberFormat="1" applyFont="1" applyFill="1" applyBorder="1" applyAlignment="1" applyProtection="1">
      <alignment horizontal="center" vertical="center"/>
    </xf>
    <xf numFmtId="182" fontId="40"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60" fillId="78" borderId="25" xfId="0" applyNumberFormat="1" applyFont="1" applyFill="1" applyBorder="1" applyAlignment="1" applyProtection="1">
      <alignment horizontal="left" vertical="center" wrapText="1"/>
    </xf>
    <xf numFmtId="0" fontId="60" fillId="78" borderId="23" xfId="0" applyNumberFormat="1" applyFont="1" applyFill="1" applyBorder="1" applyAlignment="1" applyProtection="1">
      <alignment horizontal="left" vertical="center" wrapText="1"/>
    </xf>
    <xf numFmtId="0" fontId="40" fillId="78" borderId="43" xfId="0" applyNumberFormat="1" applyFont="1" applyFill="1" applyBorder="1" applyAlignment="1" applyProtection="1">
      <alignment horizontal="center" vertical="center"/>
    </xf>
    <xf numFmtId="0" fontId="40"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40"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72" fillId="0" borderId="0" xfId="0" applyFont="1" applyAlignment="1" applyProtection="1">
      <alignment wrapText="1"/>
      <protection locked="0"/>
    </xf>
    <xf numFmtId="3" fontId="40" fillId="0" borderId="0" xfId="439" applyNumberFormat="1" applyFont="1" applyFill="1" applyAlignment="1" applyProtection="1">
      <alignment horizontal="center" vertical="center" wrapText="1"/>
    </xf>
    <xf numFmtId="183" fontId="46" fillId="0" borderId="0" xfId="439" applyNumberFormat="1" applyFont="1" applyFill="1" applyAlignment="1" applyProtection="1">
      <alignment horizontal="center" vertical="center" wrapText="1"/>
    </xf>
    <xf numFmtId="167" fontId="0" fillId="0" borderId="87" xfId="545" applyNumberFormat="1" applyFont="1" applyFill="1" applyBorder="1" applyAlignment="1">
      <alignment horizontal="center"/>
    </xf>
    <xf numFmtId="10" fontId="0" fillId="0" borderId="96" xfId="4688" applyNumberFormat="1" applyFont="1" applyFill="1" applyBorder="1" applyAlignment="1">
      <alignment horizontal="center"/>
    </xf>
    <xf numFmtId="164" fontId="51" fillId="0" borderId="0" xfId="0" applyNumberFormat="1" applyFont="1" applyFill="1" applyAlignment="1" applyProtection="1">
      <alignment wrapText="1"/>
    </xf>
    <xf numFmtId="0" fontId="130" fillId="26" borderId="0" xfId="30099" applyFont="1" applyFill="1" applyAlignment="1">
      <alignment horizontal="left" vertical="top" wrapText="1"/>
    </xf>
    <xf numFmtId="164" fontId="51" fillId="78" borderId="10" xfId="0" applyNumberFormat="1" applyFont="1" applyFill="1" applyBorder="1" applyAlignment="1" applyProtection="1">
      <alignment horizontal="center" vertical="center" wrapText="1"/>
    </xf>
    <xf numFmtId="0" fontId="42" fillId="78" borderId="0" xfId="0" applyFont="1" applyFill="1" applyBorder="1" applyAlignment="1">
      <alignment wrapText="1"/>
    </xf>
    <xf numFmtId="0" fontId="40" fillId="78" borderId="64" xfId="0" applyNumberFormat="1" applyFont="1" applyFill="1" applyBorder="1" applyAlignment="1" applyProtection="1">
      <alignment horizontal="center" vertical="center"/>
    </xf>
    <xf numFmtId="0" fontId="42" fillId="78" borderId="23" xfId="0" applyNumberFormat="1" applyFont="1" applyFill="1" applyBorder="1" applyAlignment="1" applyProtection="1">
      <alignment horizontal="left" vertical="center" wrapText="1"/>
    </xf>
    <xf numFmtId="0" fontId="154" fillId="81" borderId="57" xfId="30099" applyFont="1" applyFill="1" applyBorder="1" applyAlignment="1" applyProtection="1">
      <alignment horizontal="center" vertical="center"/>
      <protection locked="0"/>
    </xf>
    <xf numFmtId="0" fontId="130" fillId="81" borderId="57" xfId="30099" applyFont="1" applyFill="1" applyBorder="1" applyAlignment="1" applyProtection="1">
      <alignment horizontal="center" vertical="center"/>
      <protection locked="0"/>
    </xf>
    <xf numFmtId="14" fontId="130" fillId="81" borderId="57" xfId="30099" applyNumberFormat="1" applyFont="1" applyFill="1" applyBorder="1" applyAlignment="1" applyProtection="1">
      <alignment horizontal="center" vertical="center"/>
      <protection locked="0"/>
    </xf>
    <xf numFmtId="164" fontId="136" fillId="26" borderId="0" xfId="30100" applyNumberFormat="1" applyFont="1" applyFill="1" applyBorder="1" applyAlignment="1"/>
    <xf numFmtId="10" fontId="0" fillId="0" borderId="10" xfId="4688" applyNumberFormat="1" applyFont="1" applyFill="1" applyBorder="1"/>
    <xf numFmtId="10" fontId="0" fillId="0" borderId="10" xfId="0" applyNumberFormat="1" applyFont="1" applyFill="1" applyBorder="1" applyAlignment="1">
      <alignment horizontal="center" wrapText="1"/>
    </xf>
    <xf numFmtId="10" fontId="0" fillId="78" borderId="10" xfId="4688" applyNumberFormat="1" applyFont="1" applyFill="1" applyBorder="1"/>
    <xf numFmtId="10" fontId="0" fillId="78" borderId="10" xfId="0" applyNumberFormat="1" applyFont="1" applyFill="1" applyBorder="1" applyAlignment="1">
      <alignment horizontal="center" wrapText="1"/>
    </xf>
    <xf numFmtId="0" fontId="40" fillId="78" borderId="107" xfId="0" applyFont="1" applyFill="1" applyBorder="1" applyAlignment="1">
      <alignment wrapText="1"/>
    </xf>
    <xf numFmtId="0" fontId="40" fillId="78" borderId="10" xfId="0" applyFont="1" applyFill="1" applyBorder="1" applyAlignment="1">
      <alignment vertical="center" wrapText="1"/>
    </xf>
    <xf numFmtId="167" fontId="0" fillId="0" borderId="10" xfId="545" applyNumberFormat="1" applyFont="1" applyFill="1" applyBorder="1" applyAlignment="1">
      <alignment horizontal="center"/>
    </xf>
    <xf numFmtId="10" fontId="0" fillId="0" borderId="10" xfId="4688" applyNumberFormat="1" applyFont="1" applyFill="1" applyBorder="1" applyAlignment="1">
      <alignment horizontal="center"/>
    </xf>
    <xf numFmtId="0" fontId="40" fillId="78" borderId="107" xfId="0" applyFont="1" applyFill="1" applyBorder="1" applyAlignment="1">
      <alignment vertical="center" wrapText="1"/>
    </xf>
    <xf numFmtId="0" fontId="40" fillId="78" borderId="0" xfId="0" applyFont="1" applyFill="1" applyBorder="1" applyAlignment="1">
      <alignment vertical="center" wrapText="1"/>
    </xf>
    <xf numFmtId="10" fontId="0" fillId="78" borderId="0" xfId="4688" applyNumberFormat="1" applyFont="1" applyFill="1" applyBorder="1" applyAlignment="1">
      <alignment horizontal="center"/>
    </xf>
    <xf numFmtId="10" fontId="0" fillId="78" borderId="10" xfId="4688" applyNumberFormat="1" applyFont="1" applyFill="1" applyBorder="1" applyAlignment="1">
      <alignment horizontal="center"/>
    </xf>
    <xf numFmtId="43" fontId="0" fillId="0" borderId="0" xfId="439" applyFont="1" applyFill="1"/>
    <xf numFmtId="164" fontId="0" fillId="0" borderId="0" xfId="439" applyNumberFormat="1" applyFont="1" applyFill="1"/>
    <xf numFmtId="164" fontId="0" fillId="0" borderId="0" xfId="439" applyNumberFormat="1" applyFont="1" applyFill="1" applyAlignment="1">
      <alignment horizontal="center"/>
    </xf>
    <xf numFmtId="172" fontId="0" fillId="0" borderId="0" xfId="439" applyNumberFormat="1" applyFont="1" applyFill="1"/>
    <xf numFmtId="184" fontId="0" fillId="0" borderId="0" xfId="439" applyNumberFormat="1" applyFont="1" applyFill="1"/>
    <xf numFmtId="43" fontId="0" fillId="0" borderId="0" xfId="439" applyNumberFormat="1" applyFont="1" applyFill="1"/>
    <xf numFmtId="43" fontId="0" fillId="0" borderId="0" xfId="439" applyNumberFormat="1" applyFont="1" applyFill="1" applyAlignment="1">
      <alignment horizontal="center"/>
    </xf>
    <xf numFmtId="164" fontId="59" fillId="0" borderId="0" xfId="439" applyNumberFormat="1" applyFont="1" applyFill="1" applyAlignment="1">
      <alignment horizontal="left"/>
    </xf>
    <xf numFmtId="164" fontId="45" fillId="0" borderId="0" xfId="439" applyNumberFormat="1" applyFont="1" applyFill="1"/>
    <xf numFmtId="164" fontId="25" fillId="0" borderId="0" xfId="439" applyNumberFormat="1" applyFont="1" applyFill="1" applyAlignment="1">
      <alignment horizontal="right" vertical="center" wrapText="1"/>
    </xf>
    <xf numFmtId="38" fontId="0" fillId="0" borderId="0" xfId="0" applyNumberFormat="1" applyFont="1" applyFill="1"/>
    <xf numFmtId="40" fontId="0" fillId="0" borderId="0" xfId="0" applyNumberFormat="1" applyFont="1" applyFill="1"/>
    <xf numFmtId="43" fontId="0" fillId="0" borderId="0" xfId="0" applyNumberFormat="1" applyFont="1" applyFill="1"/>
    <xf numFmtId="0" fontId="0" fillId="0" borderId="91" xfId="0" applyFont="1" applyFill="1" applyBorder="1" applyAlignment="1">
      <alignment vertical="center"/>
    </xf>
    <xf numFmtId="0" fontId="0" fillId="0" borderId="0" xfId="0" applyFont="1" applyFill="1" applyBorder="1" applyAlignment="1">
      <alignment vertical="center" wrapText="1"/>
    </xf>
    <xf numFmtId="0" fontId="0" fillId="0" borderId="87" xfId="0" applyFont="1" applyFill="1" applyBorder="1" applyAlignment="1">
      <alignment wrapText="1"/>
    </xf>
    <xf numFmtId="0" fontId="0" fillId="0" borderId="15" xfId="0" applyFont="1" applyFill="1" applyBorder="1" applyAlignment="1">
      <alignment vertical="center"/>
    </xf>
    <xf numFmtId="10" fontId="0" fillId="0" borderId="0" xfId="4688" applyNumberFormat="1" applyFont="1" applyFill="1"/>
    <xf numFmtId="0" fontId="40" fillId="0" borderId="87" xfId="0" applyFont="1" applyFill="1" applyBorder="1" applyAlignment="1"/>
    <xf numFmtId="0" fontId="40" fillId="0" borderId="95" xfId="0" applyFont="1" applyFill="1" applyBorder="1" applyAlignment="1">
      <alignment vertical="center"/>
    </xf>
    <xf numFmtId="0" fontId="34" fillId="0" borderId="0" xfId="0" applyFont="1" applyProtection="1"/>
    <xf numFmtId="0" fontId="61" fillId="0" borderId="0" xfId="26000" applyFont="1" applyProtection="1"/>
    <xf numFmtId="0" fontId="61" fillId="0" borderId="0" xfId="26000" applyFont="1" applyAlignment="1" applyProtection="1">
      <alignment horizontal="center" vertical="center"/>
    </xf>
    <xf numFmtId="0" fontId="46" fillId="0" borderId="0" xfId="26000" applyFont="1" applyProtection="1"/>
    <xf numFmtId="0" fontId="46" fillId="0" borderId="0" xfId="26000" applyFont="1" applyFill="1" applyProtection="1"/>
    <xf numFmtId="0" fontId="46" fillId="0" borderId="0" xfId="26000" applyFont="1" applyAlignment="1" applyProtection="1">
      <alignment horizontal="center"/>
    </xf>
    <xf numFmtId="0" fontId="61" fillId="0" borderId="0" xfId="26000" applyFont="1" applyAlignment="1" applyProtection="1">
      <alignment horizontal="left"/>
    </xf>
    <xf numFmtId="0" fontId="61" fillId="84" borderId="0" xfId="26000" applyFont="1" applyFill="1" applyProtection="1"/>
    <xf numFmtId="0" fontId="46" fillId="84" borderId="0" xfId="26000" applyFont="1" applyFill="1" applyProtection="1"/>
    <xf numFmtId="0" fontId="166" fillId="0" borderId="57" xfId="26000" applyFont="1" applyBorder="1" applyProtection="1"/>
    <xf numFmtId="9" fontId="61" fillId="0" borderId="0" xfId="26000" applyNumberFormat="1" applyFont="1" applyAlignment="1" applyProtection="1">
      <alignment horizontal="center"/>
    </xf>
    <xf numFmtId="38" fontId="46" fillId="83" borderId="0" xfId="29549" applyNumberFormat="1" applyFont="1" applyFill="1" applyProtection="1"/>
    <xf numFmtId="38" fontId="46" fillId="0" borderId="0" xfId="29549" applyNumberFormat="1" applyFont="1" applyFill="1" applyProtection="1"/>
    <xf numFmtId="164" fontId="46" fillId="0" borderId="57" xfId="29549" applyNumberFormat="1" applyFont="1" applyBorder="1" applyProtection="1"/>
    <xf numFmtId="164" fontId="46" fillId="0" borderId="0" xfId="29549" applyNumberFormat="1" applyFont="1" applyFill="1" applyBorder="1" applyProtection="1"/>
    <xf numFmtId="38" fontId="46" fillId="83" borderId="0" xfId="26000" applyNumberFormat="1" applyFont="1" applyFill="1" applyProtection="1"/>
    <xf numFmtId="38" fontId="46" fillId="0" borderId="0" xfId="26000" applyNumberFormat="1" applyFont="1" applyProtection="1"/>
    <xf numFmtId="0" fontId="46" fillId="0" borderId="0" xfId="26000" applyFont="1" applyAlignment="1" applyProtection="1">
      <alignment wrapText="1"/>
    </xf>
    <xf numFmtId="43" fontId="46" fillId="83" borderId="57" xfId="29549" applyFont="1" applyFill="1" applyBorder="1" applyAlignment="1" applyProtection="1">
      <alignment horizontal="left"/>
    </xf>
    <xf numFmtId="164" fontId="46" fillId="0" borderId="0" xfId="29549" applyNumberFormat="1" applyFont="1" applyFill="1" applyBorder="1" applyAlignment="1" applyProtection="1">
      <alignment horizontal="left"/>
    </xf>
    <xf numFmtId="172" fontId="46" fillId="0" borderId="0" xfId="29549" applyNumberFormat="1" applyFont="1" applyFill="1" applyBorder="1" applyAlignment="1" applyProtection="1">
      <alignment horizontal="left"/>
    </xf>
    <xf numFmtId="0" fontId="61" fillId="0" borderId="0" xfId="26000" applyFont="1" applyAlignment="1" applyProtection="1">
      <alignment wrapText="1"/>
    </xf>
    <xf numFmtId="164" fontId="46" fillId="83" borderId="57" xfId="29549" applyNumberFormat="1" applyFont="1" applyFill="1" applyBorder="1" applyProtection="1"/>
    <xf numFmtId="164" fontId="46" fillId="0" borderId="57" xfId="29549" applyNumberFormat="1" applyFont="1" applyFill="1" applyBorder="1" applyProtection="1"/>
    <xf numFmtId="40" fontId="46" fillId="83" borderId="0" xfId="26000" applyNumberFormat="1" applyFont="1" applyFill="1" applyProtection="1"/>
    <xf numFmtId="0" fontId="167" fillId="0" borderId="0" xfId="26000" applyFont="1" applyAlignment="1" applyProtection="1">
      <alignment horizontal="right"/>
    </xf>
    <xf numFmtId="164" fontId="46" fillId="0" borderId="0" xfId="29549" applyNumberFormat="1" applyFont="1" applyBorder="1" applyProtection="1"/>
    <xf numFmtId="164" fontId="46" fillId="0" borderId="0" xfId="26000" applyNumberFormat="1" applyFont="1" applyProtection="1"/>
    <xf numFmtId="38" fontId="46" fillId="0" borderId="0" xfId="29549" applyNumberFormat="1" applyFont="1" applyBorder="1" applyProtection="1"/>
    <xf numFmtId="0" fontId="167" fillId="0" borderId="0" xfId="26000" applyFont="1" applyProtection="1"/>
    <xf numFmtId="43" fontId="46" fillId="0" borderId="0" xfId="26000" applyNumberFormat="1" applyFont="1" applyProtection="1"/>
    <xf numFmtId="164" fontId="61" fillId="0" borderId="57" xfId="26000" applyNumberFormat="1" applyFont="1" applyBorder="1" applyProtection="1"/>
    <xf numFmtId="0" fontId="61" fillId="0" borderId="0" xfId="26000" applyFont="1" applyAlignment="1" applyProtection="1">
      <alignment horizontal="center"/>
    </xf>
    <xf numFmtId="0" fontId="61" fillId="0" borderId="71" xfId="26000" applyFont="1" applyBorder="1" applyAlignment="1" applyProtection="1">
      <alignment horizontal="right" vertical="top" wrapText="1"/>
    </xf>
    <xf numFmtId="164" fontId="61" fillId="0" borderId="73" xfId="29549" applyNumberFormat="1" applyFont="1" applyBorder="1" applyProtection="1"/>
    <xf numFmtId="167" fontId="46" fillId="0" borderId="0" xfId="29549" applyNumberFormat="1" applyFont="1" applyProtection="1"/>
    <xf numFmtId="43" fontId="61" fillId="0" borderId="71" xfId="29549" applyFont="1" applyBorder="1" applyProtection="1"/>
    <xf numFmtId="43" fontId="46" fillId="0" borderId="73" xfId="29549" applyFont="1" applyBorder="1" applyAlignment="1" applyProtection="1">
      <alignment horizontal="right"/>
    </xf>
    <xf numFmtId="0" fontId="46" fillId="0" borderId="0" xfId="26000" applyFont="1" applyBorder="1" applyAlignment="1" applyProtection="1">
      <alignment vertical="top"/>
    </xf>
    <xf numFmtId="0" fontId="167" fillId="0" borderId="0" xfId="26000" applyFont="1" applyAlignment="1" applyProtection="1">
      <alignment vertical="top" wrapText="1"/>
    </xf>
    <xf numFmtId="38" fontId="54" fillId="26" borderId="0" xfId="682" applyNumberFormat="1" applyFont="1" applyFill="1"/>
    <xf numFmtId="0" fontId="40" fillId="0" borderId="0" xfId="682" applyFont="1" applyFill="1" applyAlignment="1">
      <alignment wrapText="1"/>
    </xf>
    <xf numFmtId="0" fontId="0" fillId="0" borderId="0" xfId="682" applyFont="1"/>
    <xf numFmtId="0" fontId="168" fillId="26" borderId="0" xfId="682" applyFont="1" applyFill="1"/>
    <xf numFmtId="0" fontId="0" fillId="26" borderId="0" xfId="682" applyFont="1" applyFill="1"/>
    <xf numFmtId="0" fontId="51" fillId="0" borderId="17" xfId="682" applyFont="1" applyBorder="1" applyAlignment="1">
      <alignment horizontal="center"/>
    </xf>
    <xf numFmtId="0" fontId="169" fillId="0" borderId="0" xfId="682" applyFont="1"/>
    <xf numFmtId="0" fontId="169" fillId="0" borderId="0" xfId="682" applyFont="1" applyAlignment="1">
      <alignment vertical="center"/>
    </xf>
    <xf numFmtId="0" fontId="51" fillId="0" borderId="14" xfId="682" applyFont="1" applyBorder="1" applyAlignment="1">
      <alignment horizontal="center" vertical="center" wrapText="1"/>
    </xf>
    <xf numFmtId="0" fontId="170" fillId="0" borderId="0" xfId="682" applyFont="1"/>
    <xf numFmtId="0" fontId="54" fillId="0" borderId="0" xfId="682" applyFont="1"/>
    <xf numFmtId="167" fontId="171" fillId="26" borderId="0" xfId="546" applyNumberFormat="1" applyFont="1" applyFill="1"/>
    <xf numFmtId="167" fontId="54" fillId="0" borderId="0" xfId="546" applyNumberFormat="1" applyFont="1"/>
    <xf numFmtId="38" fontId="171" fillId="26" borderId="0" xfId="682" applyNumberFormat="1" applyFont="1" applyFill="1"/>
    <xf numFmtId="38" fontId="54" fillId="0" borderId="0" xfId="682" applyNumberFormat="1" applyFont="1"/>
    <xf numFmtId="38" fontId="0" fillId="26" borderId="0" xfId="682" applyNumberFormat="1" applyFont="1" applyFill="1"/>
    <xf numFmtId="38" fontId="54" fillId="26" borderId="17" xfId="449" applyNumberFormat="1" applyFont="1" applyFill="1" applyBorder="1"/>
    <xf numFmtId="38" fontId="54" fillId="0" borderId="0" xfId="449" applyNumberFormat="1" applyFont="1"/>
    <xf numFmtId="0" fontId="51" fillId="27" borderId="0" xfId="682" applyFont="1" applyFill="1"/>
    <xf numFmtId="0" fontId="0" fillId="27" borderId="0" xfId="682" applyFont="1" applyFill="1"/>
    <xf numFmtId="0" fontId="54" fillId="27" borderId="0" xfId="682" applyFont="1" applyFill="1"/>
    <xf numFmtId="167" fontId="51" fillId="27" borderId="0" xfId="546" applyNumberFormat="1" applyFont="1" applyFill="1"/>
    <xf numFmtId="167" fontId="54" fillId="27" borderId="0" xfId="546" applyNumberFormat="1" applyFont="1" applyFill="1"/>
    <xf numFmtId="164" fontId="54" fillId="26" borderId="17" xfId="449" applyNumberFormat="1" applyFont="1" applyFill="1" applyBorder="1"/>
    <xf numFmtId="164" fontId="54" fillId="0" borderId="0" xfId="449" applyNumberFormat="1" applyFont="1"/>
    <xf numFmtId="0" fontId="170" fillId="0" borderId="0" xfId="682" applyFont="1" applyAlignment="1">
      <alignment vertical="center"/>
    </xf>
    <xf numFmtId="0" fontId="172" fillId="0" borderId="0" xfId="682" applyFont="1"/>
    <xf numFmtId="38" fontId="54" fillId="26" borderId="0" xfId="449" applyNumberFormat="1" applyFont="1" applyFill="1"/>
    <xf numFmtId="167" fontId="51" fillId="27" borderId="18" xfId="546" applyNumberFormat="1" applyFont="1" applyFill="1" applyBorder="1"/>
    <xf numFmtId="167" fontId="54" fillId="26" borderId="19" xfId="546" applyNumberFormat="1" applyFont="1" applyFill="1" applyBorder="1"/>
    <xf numFmtId="0" fontId="51" fillId="0" borderId="0" xfId="682" applyFont="1"/>
    <xf numFmtId="167" fontId="51" fillId="0" borderId="20" xfId="546" applyNumberFormat="1" applyFont="1" applyBorder="1"/>
    <xf numFmtId="0" fontId="51" fillId="0" borderId="0" xfId="682" applyFont="1" applyAlignment="1">
      <alignment horizontal="center"/>
    </xf>
    <xf numFmtId="167" fontId="171" fillId="0" borderId="0" xfId="546" applyNumberFormat="1" applyFont="1" applyFill="1"/>
    <xf numFmtId="38" fontId="171" fillId="26" borderId="0" xfId="0" applyNumberFormat="1" applyFont="1" applyFill="1"/>
    <xf numFmtId="38" fontId="171" fillId="0" borderId="0" xfId="449" applyNumberFormat="1" applyFont="1" applyFill="1"/>
    <xf numFmtId="38" fontId="171" fillId="26" borderId="17" xfId="0" applyNumberFormat="1" applyFont="1" applyFill="1" applyBorder="1"/>
    <xf numFmtId="38" fontId="171" fillId="0" borderId="17" xfId="449" applyNumberFormat="1" applyFont="1" applyFill="1" applyBorder="1"/>
    <xf numFmtId="167" fontId="54" fillId="0" borderId="19" xfId="546" applyNumberFormat="1" applyFont="1" applyBorder="1"/>
    <xf numFmtId="10" fontId="51" fillId="0" borderId="19" xfId="682" applyNumberFormat="1" applyFont="1" applyBorder="1"/>
    <xf numFmtId="0" fontId="0" fillId="0" borderId="83" xfId="0" applyFont="1" applyBorder="1"/>
    <xf numFmtId="0" fontId="40" fillId="78" borderId="79" xfId="0" applyFont="1" applyFill="1" applyBorder="1" applyAlignment="1">
      <alignment horizontal="left"/>
    </xf>
    <xf numFmtId="0" fontId="0" fillId="78" borderId="79" xfId="0" applyFont="1" applyFill="1" applyBorder="1"/>
    <xf numFmtId="0" fontId="40" fillId="78" borderId="79" xfId="0" applyFont="1" applyFill="1" applyBorder="1"/>
    <xf numFmtId="0" fontId="0" fillId="78" borderId="82" xfId="0" applyFont="1" applyFill="1" applyBorder="1"/>
    <xf numFmtId="0" fontId="0" fillId="73" borderId="10" xfId="0" applyFont="1" applyFill="1" applyBorder="1" applyAlignment="1">
      <alignment horizontal="center" vertical="center" wrapText="1"/>
    </xf>
    <xf numFmtId="0" fontId="0" fillId="78" borderId="82" xfId="0" applyFont="1" applyFill="1" applyBorder="1" applyAlignment="1">
      <alignment wrapText="1"/>
    </xf>
    <xf numFmtId="0" fontId="0" fillId="0" borderId="83" xfId="0" applyFont="1" applyBorder="1" applyAlignment="1">
      <alignment wrapText="1"/>
    </xf>
    <xf numFmtId="1" fontId="0" fillId="0" borderId="83" xfId="0" applyNumberFormat="1" applyFont="1" applyBorder="1"/>
    <xf numFmtId="0" fontId="0" fillId="73" borderId="85" xfId="0" applyFont="1" applyFill="1" applyBorder="1" applyAlignment="1">
      <alignment horizontal="center" vertical="center" wrapText="1"/>
    </xf>
    <xf numFmtId="0" fontId="0" fillId="0" borderId="83" xfId="0" applyFont="1" applyBorder="1" applyAlignment="1">
      <alignment horizontal="center"/>
    </xf>
    <xf numFmtId="0" fontId="0" fillId="0" borderId="82" xfId="0" applyFont="1" applyBorder="1"/>
    <xf numFmtId="0" fontId="174" fillId="78" borderId="101" xfId="0" applyFont="1" applyFill="1" applyBorder="1" applyAlignment="1">
      <alignment wrapText="1"/>
    </xf>
    <xf numFmtId="37" fontId="0" fillId="0" borderId="0" xfId="0" applyNumberFormat="1" applyFont="1" applyBorder="1"/>
    <xf numFmtId="0" fontId="0" fillId="0" borderId="87" xfId="0" applyNumberFormat="1" applyFont="1" applyBorder="1" applyAlignment="1">
      <alignment horizontal="center" wrapText="1"/>
    </xf>
    <xf numFmtId="10" fontId="0" fillId="0" borderId="83" xfId="0" applyNumberFormat="1" applyFont="1" applyBorder="1"/>
    <xf numFmtId="0" fontId="0" fillId="78" borderId="86" xfId="0" applyFont="1" applyFill="1" applyBorder="1"/>
    <xf numFmtId="0" fontId="0" fillId="78" borderId="86" xfId="0" applyFont="1" applyFill="1" applyBorder="1" applyAlignment="1">
      <alignment horizontal="center" wrapText="1"/>
    </xf>
    <xf numFmtId="0" fontId="0" fillId="78" borderId="86" xfId="0" applyFont="1" applyFill="1" applyBorder="1" applyAlignment="1">
      <alignment wrapText="1"/>
    </xf>
    <xf numFmtId="0" fontId="0" fillId="78" borderId="98" xfId="0" applyFont="1" applyFill="1" applyBorder="1" applyAlignment="1">
      <alignment horizontal="center" wrapText="1"/>
    </xf>
    <xf numFmtId="0" fontId="0" fillId="78" borderId="98" xfId="0" applyFont="1" applyFill="1" applyBorder="1"/>
    <xf numFmtId="2" fontId="0" fillId="0" borderId="83" xfId="0" applyNumberFormat="1" applyFont="1" applyBorder="1"/>
    <xf numFmtId="168" fontId="0" fillId="0" borderId="83" xfId="0" applyNumberFormat="1" applyFont="1" applyBorder="1"/>
    <xf numFmtId="2" fontId="0" fillId="80" borderId="88" xfId="0" applyNumberFormat="1" applyFont="1" applyFill="1" applyBorder="1"/>
    <xf numFmtId="0" fontId="0" fillId="78" borderId="93" xfId="0" applyFont="1" applyFill="1" applyBorder="1" applyAlignment="1">
      <alignment horizontal="center" wrapText="1"/>
    </xf>
    <xf numFmtId="0" fontId="0" fillId="78" borderId="93" xfId="0" applyFont="1" applyFill="1" applyBorder="1"/>
    <xf numFmtId="0" fontId="0" fillId="78" borderId="94" xfId="0" applyFont="1" applyFill="1" applyBorder="1"/>
    <xf numFmtId="39" fontId="0" fillId="0" borderId="83" xfId="0" applyNumberFormat="1" applyFont="1" applyBorder="1"/>
    <xf numFmtId="2" fontId="0" fillId="0" borderId="87" xfId="0" applyNumberFormat="1" applyFont="1" applyFill="1" applyBorder="1" applyAlignment="1">
      <alignment horizontal="center"/>
    </xf>
    <xf numFmtId="0" fontId="0" fillId="78" borderId="89" xfId="0" applyFont="1" applyFill="1" applyBorder="1"/>
    <xf numFmtId="0" fontId="0" fillId="78" borderId="89" xfId="0" applyFont="1" applyFill="1" applyBorder="1" applyAlignment="1">
      <alignment horizontal="center" wrapText="1"/>
    </xf>
    <xf numFmtId="0" fontId="0" fillId="78" borderId="89" xfId="0" applyFont="1" applyFill="1" applyBorder="1" applyAlignment="1">
      <alignment wrapText="1"/>
    </xf>
    <xf numFmtId="0" fontId="0" fillId="0" borderId="10" xfId="0" applyFont="1" applyFill="1" applyBorder="1"/>
    <xf numFmtId="0" fontId="0" fillId="0" borderId="10" xfId="0" applyFont="1" applyFill="1" applyBorder="1" applyProtection="1">
      <protection locked="0"/>
    </xf>
    <xf numFmtId="0" fontId="0" fillId="78" borderId="10" xfId="0" applyFont="1" applyFill="1" applyBorder="1" applyAlignment="1">
      <alignment wrapText="1"/>
    </xf>
    <xf numFmtId="0" fontId="0" fillId="78" borderId="106" xfId="0" applyFont="1" applyFill="1" applyBorder="1"/>
    <xf numFmtId="0" fontId="0" fillId="78" borderId="10" xfId="0" quotePrefix="1" applyFont="1" applyFill="1" applyBorder="1" applyAlignment="1">
      <alignment horizontal="center" wrapText="1"/>
    </xf>
    <xf numFmtId="0" fontId="0" fillId="0" borderId="99" xfId="0" applyFont="1" applyFill="1" applyBorder="1" applyProtection="1">
      <protection locked="0"/>
    </xf>
    <xf numFmtId="0" fontId="0" fillId="78" borderId="10" xfId="0" applyNumberFormat="1" applyFont="1" applyFill="1" applyBorder="1" applyAlignment="1">
      <alignment horizontal="center" wrapText="1"/>
    </xf>
    <xf numFmtId="0" fontId="0" fillId="0" borderId="0" xfId="0" applyNumberFormat="1" applyFont="1" applyBorder="1" applyAlignment="1">
      <alignment horizontal="center" wrapText="1"/>
    </xf>
    <xf numFmtId="0" fontId="0" fillId="78" borderId="104" xfId="0" applyFont="1" applyFill="1" applyBorder="1" applyAlignment="1">
      <alignment wrapText="1"/>
    </xf>
    <xf numFmtId="0" fontId="0" fillId="0" borderId="100" xfId="0" applyFont="1" applyFill="1" applyBorder="1" applyProtection="1">
      <protection locked="0"/>
    </xf>
    <xf numFmtId="2" fontId="0" fillId="0" borderId="10" xfId="0" applyNumberFormat="1" applyFont="1" applyFill="1" applyBorder="1" applyAlignment="1">
      <alignment horizontal="center"/>
    </xf>
    <xf numFmtId="0" fontId="0" fillId="78" borderId="10" xfId="0" applyFont="1" applyFill="1" applyBorder="1" applyAlignment="1">
      <alignment horizontal="center" vertical="center" wrapText="1"/>
    </xf>
    <xf numFmtId="0" fontId="0" fillId="78" borderId="10" xfId="0" applyFont="1" applyFill="1" applyBorder="1" applyAlignment="1">
      <alignment vertical="center" wrapText="1"/>
    </xf>
    <xf numFmtId="167" fontId="0" fillId="0" borderId="10" xfId="0" applyNumberFormat="1" applyFont="1" applyFill="1" applyBorder="1" applyAlignment="1">
      <alignment horizontal="center"/>
    </xf>
    <xf numFmtId="37" fontId="0" fillId="0" borderId="10" xfId="0" applyNumberFormat="1" applyFont="1" applyFill="1" applyBorder="1" applyAlignment="1">
      <alignment horizontal="center"/>
    </xf>
    <xf numFmtId="0" fontId="0" fillId="78" borderId="104" xfId="0" applyFont="1" applyFill="1" applyBorder="1" applyAlignment="1">
      <alignment vertical="center" wrapText="1"/>
    </xf>
    <xf numFmtId="0" fontId="0" fillId="78" borderId="0" xfId="0" applyFont="1" applyFill="1" applyBorder="1" applyAlignment="1">
      <alignment horizontal="center" wrapText="1"/>
    </xf>
    <xf numFmtId="10" fontId="0" fillId="78" borderId="0" xfId="0" applyNumberFormat="1" applyFont="1" applyFill="1" applyBorder="1" applyAlignment="1">
      <alignment horizontal="center"/>
    </xf>
    <xf numFmtId="0" fontId="0" fillId="78" borderId="0" xfId="0" applyFont="1" applyFill="1" applyBorder="1" applyAlignment="1">
      <alignment wrapText="1"/>
    </xf>
    <xf numFmtId="0" fontId="40" fillId="0" borderId="79" xfId="0" applyFont="1" applyBorder="1" applyAlignment="1">
      <alignment vertical="center"/>
    </xf>
    <xf numFmtId="0" fontId="174" fillId="78" borderId="105" xfId="0" applyFont="1" applyFill="1" applyBorder="1" applyAlignment="1">
      <alignment wrapText="1"/>
    </xf>
    <xf numFmtId="0" fontId="40" fillId="0" borderId="92" xfId="0" applyFont="1" applyBorder="1" applyAlignment="1">
      <alignment vertical="center"/>
    </xf>
    <xf numFmtId="9" fontId="40" fillId="0" borderId="0" xfId="4688" applyFont="1" applyBorder="1" applyAlignment="1">
      <alignment horizontal="center" wrapText="1"/>
    </xf>
    <xf numFmtId="0" fontId="40" fillId="0" borderId="86" xfId="0" applyFont="1" applyBorder="1" applyAlignment="1">
      <alignment vertical="center"/>
    </xf>
    <xf numFmtId="0" fontId="40" fillId="0" borderId="0" xfId="0" applyFont="1" applyFill="1" applyBorder="1" applyAlignment="1">
      <alignment vertical="center"/>
    </xf>
    <xf numFmtId="0" fontId="40" fillId="0" borderId="89" xfId="0" applyFont="1" applyBorder="1" applyAlignment="1">
      <alignment vertical="center"/>
    </xf>
    <xf numFmtId="0" fontId="40" fillId="0" borderId="83" xfId="0" applyFont="1" applyBorder="1" applyAlignment="1">
      <alignment vertical="center"/>
    </xf>
    <xf numFmtId="0" fontId="164" fillId="73" borderId="94" xfId="0" applyFont="1" applyFill="1" applyBorder="1" applyAlignment="1">
      <alignment horizontal="center" vertical="center" wrapText="1"/>
    </xf>
    <xf numFmtId="0" fontId="40" fillId="78" borderId="12" xfId="0" applyFont="1" applyFill="1" applyBorder="1"/>
    <xf numFmtId="0" fontId="174" fillId="78" borderId="111" xfId="0" applyFont="1" applyFill="1" applyBorder="1" applyAlignment="1">
      <alignment wrapText="1"/>
    </xf>
    <xf numFmtId="0" fontId="40" fillId="78" borderId="12" xfId="0" applyFont="1" applyFill="1" applyBorder="1" applyAlignment="1">
      <alignment horizontal="center"/>
    </xf>
    <xf numFmtId="0" fontId="40" fillId="78" borderId="12" xfId="0" applyFont="1" applyFill="1" applyBorder="1" applyAlignment="1">
      <alignment horizontal="center" wrapText="1"/>
    </xf>
    <xf numFmtId="0" fontId="0" fillId="78" borderId="112" xfId="0" applyFont="1" applyFill="1" applyBorder="1"/>
    <xf numFmtId="0" fontId="0" fillId="78" borderId="10" xfId="0" applyFont="1" applyFill="1" applyBorder="1"/>
    <xf numFmtId="0" fontId="40" fillId="78" borderId="10" xfId="0" applyFont="1" applyFill="1" applyBorder="1" applyAlignment="1">
      <alignment horizontal="center"/>
    </xf>
    <xf numFmtId="0" fontId="40" fillId="78" borderId="10" xfId="0" applyFont="1" applyFill="1" applyBorder="1" applyAlignment="1">
      <alignment horizontal="center" wrapText="1"/>
    </xf>
    <xf numFmtId="0" fontId="164" fillId="78" borderId="10" xfId="0" applyFont="1" applyFill="1" applyBorder="1" applyAlignment="1">
      <alignment horizontal="center" vertical="center" wrapText="1"/>
    </xf>
    <xf numFmtId="39" fontId="0" fillId="0" borderId="0" xfId="0" applyNumberFormat="1" applyFont="1" applyProtection="1"/>
    <xf numFmtId="0" fontId="0" fillId="22" borderId="0" xfId="0" applyFont="1" applyFill="1" applyBorder="1" applyProtection="1"/>
    <xf numFmtId="0" fontId="0" fillId="23" borderId="0" xfId="0" applyFont="1" applyFill="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60"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60"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37" fontId="0" fillId="0" borderId="45" xfId="439" applyNumberFormat="1" applyFont="1" applyFill="1" applyBorder="1" applyAlignment="1" applyProtection="1">
      <alignment vertical="center"/>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6"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38" fontId="0" fillId="0" borderId="0" xfId="0" applyNumberFormat="1"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34" borderId="0" xfId="0" applyFont="1" applyFill="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75" fillId="76" borderId="63" xfId="1562" applyNumberFormat="1" applyFont="1" applyFill="1" applyBorder="1" applyAlignment="1">
      <alignment horizontal="center" vertical="center" wrapText="1"/>
    </xf>
    <xf numFmtId="174" fontId="0" fillId="0" borderId="28" xfId="439" applyNumberFormat="1" applyFont="1" applyFill="1" applyBorder="1" applyAlignment="1" applyProtection="1">
      <alignment vertical="center"/>
    </xf>
    <xf numFmtId="0" fontId="0" fillId="23" borderId="25" xfId="0" applyNumberFormat="1" applyFont="1" applyFill="1" applyBorder="1" applyAlignment="1" applyProtection="1">
      <alignment horizontal="left" vertical="center" wrapText="1"/>
    </xf>
    <xf numFmtId="3" fontId="46" fillId="0" borderId="0" xfId="1540" applyFont="1" applyFill="1" applyAlignment="1" applyProtection="1">
      <alignment vertical="center" wrapText="1"/>
    </xf>
    <xf numFmtId="39" fontId="0" fillId="0" borderId="29" xfId="439" applyNumberFormat="1" applyFont="1" applyBorder="1" applyAlignment="1" applyProtection="1">
      <alignment vertical="center"/>
    </xf>
    <xf numFmtId="181" fontId="0" fillId="75" borderId="28" xfId="439" applyNumberFormat="1" applyFont="1" applyFill="1" applyBorder="1" applyAlignment="1" applyProtection="1">
      <alignment vertical="center"/>
    </xf>
    <xf numFmtId="0" fontId="0" fillId="0" borderId="0" xfId="0" applyFont="1" applyAlignment="1">
      <alignment wrapText="1"/>
    </xf>
    <xf numFmtId="175" fontId="0" fillId="0" borderId="29" xfId="439" applyNumberFormat="1" applyFont="1" applyBorder="1" applyAlignment="1" applyProtection="1">
      <alignment vertical="center"/>
    </xf>
    <xf numFmtId="0" fontId="0" fillId="78" borderId="25" xfId="0" applyNumberFormat="1" applyFont="1" applyFill="1" applyBorder="1" applyAlignment="1" applyProtection="1">
      <alignment horizontal="left" vertical="center" wrapText="1"/>
    </xf>
    <xf numFmtId="0" fontId="175"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applyFont="1" applyFill="1" applyProtection="1"/>
    <xf numFmtId="0" fontId="60"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7"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39" fontId="0" fillId="78" borderId="28" xfId="439" applyNumberFormat="1" applyFont="1" applyFill="1" applyBorder="1" applyAlignment="1" applyProtection="1">
      <alignment vertical="center"/>
    </xf>
    <xf numFmtId="4" fontId="0" fillId="0" borderId="0" xfId="0" applyNumberFormat="1" applyFont="1" applyProtection="1"/>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5"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49" fontId="0" fillId="74" borderId="64" xfId="439" applyNumberFormat="1" applyFont="1" applyFill="1" applyBorder="1" applyAlignment="1" applyProtection="1">
      <alignment horizontal="center" vertical="center"/>
    </xf>
    <xf numFmtId="0" fontId="0" fillId="31" borderId="66" xfId="0" applyFont="1" applyFill="1" applyBorder="1"/>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0" fontId="0" fillId="78" borderId="0" xfId="0" applyFont="1" applyFill="1" applyBorder="1"/>
    <xf numFmtId="14" fontId="0" fillId="78" borderId="0" xfId="0" applyNumberFormat="1" applyFont="1" applyFill="1" applyAlignment="1" applyProtection="1">
      <alignment horizontal="center"/>
    </xf>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169" fontId="0" fillId="74" borderId="65"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28" xfId="439" applyNumberFormat="1" applyFont="1" applyFill="1" applyBorder="1" applyAlignment="1" applyProtection="1">
      <alignment vertical="center"/>
    </xf>
    <xf numFmtId="164" fontId="0" fillId="0" borderId="0" xfId="439" applyNumberFormat="1" applyFont="1" applyAlignment="1" applyProtection="1">
      <alignment vertical="center"/>
    </xf>
    <xf numFmtId="0" fontId="60"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6"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164" fontId="46" fillId="0" borderId="0" xfId="439" applyNumberFormat="1" applyFont="1" applyFill="1" applyProtection="1"/>
    <xf numFmtId="38" fontId="46" fillId="0" borderId="45" xfId="439" applyNumberFormat="1" applyFont="1" applyFill="1" applyBorder="1" applyAlignment="1" applyProtection="1">
      <alignment horizontal="center" vertical="center" wrapText="1"/>
    </xf>
    <xf numFmtId="0" fontId="40" fillId="0" borderId="59" xfId="0" applyFont="1" applyFill="1" applyBorder="1" applyAlignment="1">
      <alignment vertical="center"/>
    </xf>
    <xf numFmtId="174" fontId="40" fillId="28" borderId="0" xfId="439" applyNumberFormat="1" applyFont="1" applyFill="1" applyAlignment="1" applyProtection="1">
      <alignment horizontal="center" vertical="center"/>
      <protection locked="0"/>
    </xf>
    <xf numFmtId="181" fontId="161" fillId="82" borderId="0" xfId="30099" applyNumberFormat="1" applyFont="1" applyFill="1" applyAlignment="1">
      <alignment horizontal="right" vertical="top" indent="1" shrinkToFit="1"/>
    </xf>
    <xf numFmtId="0" fontId="46" fillId="0" borderId="0" xfId="30099" applyFont="1" applyAlignment="1">
      <alignment horizontal="left" vertical="top" wrapText="1" indent="1"/>
    </xf>
    <xf numFmtId="1" fontId="161" fillId="0" borderId="0" xfId="30099" applyNumberFormat="1" applyFont="1" applyAlignment="1">
      <alignment horizontal="center" vertical="top" shrinkToFit="1"/>
    </xf>
    <xf numFmtId="0" fontId="46" fillId="0" borderId="0" xfId="0" applyNumberFormat="1" applyFont="1" applyFill="1" applyAlignment="1" applyProtection="1">
      <alignment horizontal="left" vertical="center" wrapText="1"/>
    </xf>
    <xf numFmtId="181" fontId="161" fillId="0" borderId="0" xfId="30099" applyNumberFormat="1" applyFont="1" applyFill="1" applyAlignment="1">
      <alignment horizontal="right" vertical="top" indent="1" shrinkToFit="1"/>
    </xf>
    <xf numFmtId="1" fontId="161" fillId="82" borderId="0" xfId="30099" applyNumberFormat="1" applyFont="1" applyFill="1" applyAlignment="1">
      <alignment horizontal="left" vertical="top" indent="3" shrinkToFit="1"/>
    </xf>
    <xf numFmtId="181" fontId="161" fillId="0" borderId="0" xfId="30099" applyNumberFormat="1" applyFont="1" applyAlignment="1">
      <alignment horizontal="right" vertical="top" indent="1" shrinkToFit="1"/>
    </xf>
    <xf numFmtId="1" fontId="161" fillId="0" borderId="0" xfId="30099" applyNumberFormat="1" applyFont="1" applyFill="1" applyAlignment="1">
      <alignment horizontal="left" vertical="top" indent="3" shrinkToFit="1"/>
    </xf>
    <xf numFmtId="0" fontId="46" fillId="0" borderId="0" xfId="30099" applyFont="1" applyFill="1" applyAlignment="1">
      <alignment horizontal="left" vertical="top" wrapText="1"/>
    </xf>
    <xf numFmtId="164" fontId="34" fillId="0" borderId="0" xfId="439" applyNumberFormat="1" applyFont="1"/>
    <xf numFmtId="0" fontId="46" fillId="0" borderId="0" xfId="30099" applyFont="1" applyAlignment="1">
      <alignment horizontal="left" vertical="top" wrapText="1" indent="2"/>
    </xf>
    <xf numFmtId="0" fontId="55" fillId="0" borderId="0" xfId="0" applyFont="1" applyFill="1" applyAlignment="1" applyProtection="1">
      <alignment horizontal="left" vertical="center" wrapText="1"/>
    </xf>
    <xf numFmtId="164" fontId="34" fillId="0" borderId="0" xfId="439" applyNumberFormat="1" applyFont="1" applyAlignment="1">
      <alignment horizontal="center" vertical="center" wrapText="1"/>
    </xf>
    <xf numFmtId="0" fontId="34" fillId="0" borderId="0" xfId="439" applyNumberFormat="1" applyFont="1" applyAlignment="1">
      <alignment horizontal="center" vertical="center"/>
    </xf>
    <xf numFmtId="0" fontId="0" fillId="0" borderId="32" xfId="0" applyFont="1" applyFill="1" applyBorder="1" applyAlignment="1">
      <alignment horizontal="center" wrapText="1"/>
    </xf>
    <xf numFmtId="1" fontId="161" fillId="0" borderId="0" xfId="30099" applyNumberFormat="1" applyFont="1" applyFill="1" applyAlignment="1">
      <alignment horizontal="center" vertical="top" shrinkToFit="1"/>
    </xf>
    <xf numFmtId="0" fontId="46" fillId="0" borderId="0" xfId="0" applyFont="1" applyFill="1" applyAlignment="1" applyProtection="1">
      <alignment horizontal="left" vertical="center" wrapText="1"/>
      <protection hidden="1"/>
    </xf>
    <xf numFmtId="0" fontId="46" fillId="0" borderId="0" xfId="30099" applyFont="1" applyAlignment="1">
      <alignment horizontal="left" vertical="top" wrapText="1"/>
    </xf>
    <xf numFmtId="0" fontId="46" fillId="0" borderId="62" xfId="0" applyFont="1" applyFill="1" applyBorder="1" applyAlignment="1">
      <alignment vertical="center" wrapText="1"/>
    </xf>
    <xf numFmtId="1" fontId="161" fillId="82" borderId="0" xfId="30099" applyNumberFormat="1" applyFont="1" applyFill="1" applyAlignment="1">
      <alignment horizontal="center" vertical="top" shrinkToFit="1"/>
    </xf>
    <xf numFmtId="1" fontId="161" fillId="0" borderId="0" xfId="30099" applyNumberFormat="1" applyFont="1" applyAlignment="1">
      <alignment horizontal="left" vertical="top" indent="3" shrinkToFit="1"/>
    </xf>
    <xf numFmtId="0" fontId="46" fillId="0" borderId="0" xfId="30099" applyFont="1" applyAlignment="1">
      <alignment horizontal="center" vertical="top" wrapText="1"/>
    </xf>
    <xf numFmtId="0" fontId="161" fillId="0" borderId="0" xfId="30099" applyFont="1" applyAlignment="1">
      <alignment horizontal="left" wrapText="1"/>
    </xf>
    <xf numFmtId="0" fontId="46" fillId="82" borderId="0" xfId="30099" applyFont="1" applyFill="1" applyAlignment="1">
      <alignment horizontal="left" vertical="top" wrapText="1" indent="1"/>
    </xf>
    <xf numFmtId="0" fontId="46" fillId="82" borderId="0" xfId="30099" applyFont="1" applyFill="1" applyAlignment="1">
      <alignment horizontal="left" vertical="top" wrapText="1" indent="2"/>
    </xf>
    <xf numFmtId="0" fontId="0" fillId="0" borderId="0" xfId="0" applyFont="1" applyAlignment="1">
      <alignment horizontal="center" vertical="center" wrapText="1"/>
    </xf>
    <xf numFmtId="0" fontId="73" fillId="0" borderId="45" xfId="0" applyNumberFormat="1" applyFont="1" applyFill="1" applyBorder="1" applyAlignment="1" applyProtection="1">
      <alignment horizontal="left" vertical="center" wrapText="1"/>
    </xf>
    <xf numFmtId="0" fontId="65" fillId="0" borderId="62" xfId="0" applyFont="1" applyFill="1" applyBorder="1" applyAlignment="1">
      <alignment vertical="center" wrapText="1"/>
    </xf>
    <xf numFmtId="0" fontId="0" fillId="0" borderId="0" xfId="0" applyFont="1" applyProtection="1"/>
    <xf numFmtId="0" fontId="0" fillId="0" borderId="23" xfId="0" applyFont="1" applyFill="1" applyBorder="1" applyAlignment="1" applyProtection="1">
      <alignment vertical="center" wrapText="1"/>
    </xf>
    <xf numFmtId="0" fontId="0" fillId="22" borderId="0" xfId="0" applyFont="1" applyFill="1" applyBorder="1" applyAlignment="1" applyProtection="1">
      <alignment vertical="center"/>
    </xf>
    <xf numFmtId="0" fontId="0" fillId="0" borderId="0" xfId="0" applyNumberFormat="1" applyFont="1" applyFill="1" applyAlignment="1" applyProtection="1">
      <alignment horizontal="left" vertical="center" wrapText="1"/>
    </xf>
    <xf numFmtId="0" fontId="0" fillId="0" borderId="0" xfId="0" applyFont="1" applyProtection="1"/>
    <xf numFmtId="0" fontId="0" fillId="0" borderId="36" xfId="0" applyFont="1" applyFill="1" applyBorder="1" applyAlignment="1" applyProtection="1">
      <alignment vertical="center" wrapText="1"/>
    </xf>
    <xf numFmtId="0" fontId="0" fillId="22" borderId="0" xfId="0" applyFont="1" applyFill="1" applyBorder="1" applyAlignment="1" applyProtection="1">
      <alignment vertical="center"/>
    </xf>
    <xf numFmtId="0" fontId="40" fillId="0" borderId="0" xfId="0" applyFont="1" applyFill="1" applyAlignment="1" applyProtection="1">
      <alignment horizontal="right"/>
    </xf>
    <xf numFmtId="0" fontId="40"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40"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6" fillId="21" borderId="16" xfId="0" applyNumberFormat="1" applyFont="1" applyFill="1" applyBorder="1" applyProtection="1"/>
    <xf numFmtId="41" fontId="0" fillId="21" borderId="12" xfId="0" applyNumberFormat="1" applyFont="1" applyFill="1" applyBorder="1" applyAlignment="1" applyProtection="1">
      <alignment wrapText="1"/>
    </xf>
    <xf numFmtId="0" fontId="40" fillId="21" borderId="10" xfId="0" applyFont="1" applyFill="1" applyBorder="1" applyAlignment="1" applyProtection="1">
      <alignment horizontal="center" wrapText="1"/>
    </xf>
    <xf numFmtId="0" fontId="40" fillId="21" borderId="0" xfId="0" applyFont="1" applyFill="1" applyBorder="1" applyAlignment="1" applyProtection="1">
      <alignment horizontal="center"/>
    </xf>
    <xf numFmtId="164" fontId="73" fillId="21" borderId="12" xfId="439" applyNumberFormat="1" applyFont="1" applyFill="1" applyBorder="1" applyAlignment="1" applyProtection="1">
      <alignment horizontal="center" wrapText="1"/>
    </xf>
    <xf numFmtId="0" fontId="40" fillId="21" borderId="22" xfId="0" applyFont="1" applyFill="1" applyBorder="1" applyAlignment="1" applyProtection="1">
      <alignment horizontal="center" wrapText="1"/>
    </xf>
    <xf numFmtId="41" fontId="72" fillId="28" borderId="0" xfId="439" applyNumberFormat="1" applyFont="1" applyFill="1" applyAlignment="1" applyProtection="1">
      <alignment wrapText="1"/>
    </xf>
    <xf numFmtId="41" fontId="73"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72"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72" fillId="0" borderId="0" xfId="439" applyNumberFormat="1" applyFont="1" applyFill="1" applyAlignment="1" applyProtection="1">
      <alignment wrapText="1"/>
    </xf>
    <xf numFmtId="38" fontId="0" fillId="0" borderId="0" xfId="0" applyNumberFormat="1" applyFont="1" applyFill="1" applyAlignment="1" applyProtection="1">
      <alignment wrapText="1"/>
      <protection locked="0"/>
    </xf>
    <xf numFmtId="37" fontId="0" fillId="29" borderId="0" xfId="439" applyNumberFormat="1" applyFont="1" applyFill="1" applyAlignment="1" applyProtection="1">
      <alignment horizontal="center" vertical="center"/>
      <protection locked="0"/>
    </xf>
    <xf numFmtId="0" fontId="0" fillId="34" borderId="0" xfId="0" applyNumberFormat="1" applyFont="1" applyFill="1" applyAlignment="1" applyProtection="1">
      <alignment horizontal="left" vertical="center" wrapText="1"/>
    </xf>
    <xf numFmtId="41" fontId="72" fillId="0" borderId="0" xfId="0" applyNumberFormat="1" applyFont="1" applyFill="1" applyAlignment="1" applyProtection="1">
      <alignment wrapText="1"/>
    </xf>
    <xf numFmtId="0" fontId="72" fillId="0" borderId="0" xfId="0" applyFont="1" applyFill="1" applyProtection="1"/>
    <xf numFmtId="164" fontId="0" fillId="0" borderId="45" xfId="0" applyNumberFormat="1" applyFont="1" applyFill="1" applyBorder="1" applyAlignment="1" applyProtection="1">
      <alignment wrapText="1"/>
      <protection locked="0"/>
    </xf>
    <xf numFmtId="0" fontId="73" fillId="0" borderId="0" xfId="0" applyFont="1" applyFill="1" applyAlignment="1" applyProtection="1">
      <alignment wrapText="1"/>
    </xf>
    <xf numFmtId="0" fontId="40" fillId="0" borderId="0" xfId="0" applyFont="1" applyFill="1" applyAlignment="1" applyProtection="1">
      <alignment horizontal="center" vertical="center" wrapText="1"/>
    </xf>
    <xf numFmtId="0" fontId="73" fillId="0" borderId="0" xfId="0" applyFont="1" applyFill="1" applyAlignment="1" applyProtection="1">
      <alignment horizontal="left" wrapText="1" indent="2"/>
    </xf>
    <xf numFmtId="0" fontId="0" fillId="0" borderId="0" xfId="0" applyFont="1" applyBorder="1" applyAlignment="1" applyProtection="1">
      <alignment wrapText="1"/>
    </xf>
    <xf numFmtId="41" fontId="73" fillId="0" borderId="45" xfId="0" applyNumberFormat="1" applyFont="1" applyFill="1" applyBorder="1" applyAlignment="1" applyProtection="1">
      <alignment wrapText="1"/>
    </xf>
    <xf numFmtId="41" fontId="73" fillId="0" borderId="45" xfId="0" applyNumberFormat="1" applyFont="1" applyBorder="1" applyAlignment="1">
      <alignment wrapText="1"/>
    </xf>
    <xf numFmtId="41" fontId="73" fillId="0" borderId="0" xfId="0" applyNumberFormat="1" applyFont="1" applyFill="1" applyAlignment="1">
      <alignment wrapText="1"/>
    </xf>
    <xf numFmtId="37" fontId="0" fillId="0" borderId="0" xfId="0" applyNumberFormat="1" applyFont="1" applyAlignment="1" applyProtection="1">
      <alignment wrapText="1"/>
      <protection locked="0"/>
    </xf>
    <xf numFmtId="164" fontId="0" fillId="0" borderId="0" xfId="0" applyNumberFormat="1" applyFont="1" applyAlignment="1" applyProtection="1">
      <alignment wrapText="1"/>
      <protection locked="0"/>
    </xf>
    <xf numFmtId="41" fontId="73" fillId="0" borderId="0" xfId="0" applyNumberFormat="1" applyFont="1" applyAlignment="1">
      <alignment wrapText="1"/>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40" fillId="0" borderId="0" xfId="0" applyNumberFormat="1" applyFont="1" applyFill="1" applyAlignment="1" applyProtection="1">
      <alignment wrapText="1"/>
    </xf>
    <xf numFmtId="0" fontId="0" fillId="34" borderId="0" xfId="0" applyNumberFormat="1" applyFont="1" applyFill="1" applyAlignment="1" applyProtection="1">
      <alignment vertical="center" wrapText="1"/>
    </xf>
    <xf numFmtId="41" fontId="73" fillId="0" borderId="0" xfId="0" applyNumberFormat="1" applyFont="1" applyFill="1" applyAlignment="1" applyProtection="1">
      <alignment horizontal="center" wrapText="1"/>
    </xf>
    <xf numFmtId="0" fontId="4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39" fontId="0" fillId="0" borderId="0" xfId="439" applyNumberFormat="1" applyFont="1" applyFill="1" applyBorder="1" applyAlignment="1" applyProtection="1">
      <alignment horizontal="center" vertical="center" wrapText="1"/>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72" fillId="0" borderId="0" xfId="439" applyNumberFormat="1" applyFont="1" applyFill="1" applyAlignment="1" applyProtection="1">
      <alignment vertical="center" wrapText="1"/>
    </xf>
    <xf numFmtId="39" fontId="72"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40" fillId="0" borderId="0" xfId="0" applyFont="1" applyAlignment="1" applyProtection="1">
      <alignment wrapText="1"/>
      <protection locked="0"/>
    </xf>
    <xf numFmtId="2" fontId="0" fillId="0" borderId="0" xfId="0" applyNumberFormat="1" applyFont="1" applyFill="1" applyProtection="1"/>
    <xf numFmtId="2" fontId="0" fillId="0" borderId="0" xfId="0" applyNumberFormat="1" applyFont="1" applyAlignment="1" applyProtection="1">
      <alignment wrapText="1"/>
      <protection locked="0"/>
    </xf>
    <xf numFmtId="0" fontId="0" fillId="34" borderId="0" xfId="0" applyFont="1" applyFill="1" applyAlignment="1">
      <alignment vertical="center" wrapText="1"/>
    </xf>
    <xf numFmtId="0" fontId="40" fillId="0" borderId="0" xfId="0" applyFont="1" applyAlignment="1" applyProtection="1">
      <alignment horizontal="center" wrapText="1"/>
      <protection locked="0"/>
    </xf>
    <xf numFmtId="49" fontId="0" fillId="29" borderId="0" xfId="0" applyNumberFormat="1" applyFont="1" applyFill="1" applyProtection="1">
      <protection locked="0"/>
    </xf>
    <xf numFmtId="0" fontId="0" fillId="34" borderId="45" xfId="0" applyNumberFormat="1" applyFont="1" applyFill="1" applyBorder="1" applyAlignment="1" applyProtection="1">
      <alignment vertical="center" wrapText="1"/>
    </xf>
    <xf numFmtId="14" fontId="0" fillId="29" borderId="0" xfId="439" applyNumberFormat="1" applyFont="1" applyFill="1" applyAlignment="1" applyProtection="1">
      <alignment horizontal="left" vertical="center" wrapText="1"/>
      <protection locked="0"/>
    </xf>
    <xf numFmtId="14" fontId="0" fillId="0" borderId="0" xfId="0" applyNumberFormat="1" applyFont="1"/>
    <xf numFmtId="0" fontId="0" fillId="0" borderId="22" xfId="0" applyFont="1" applyFill="1" applyBorder="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72" fillId="0" borderId="0" xfId="439" applyNumberFormat="1" applyFont="1" applyFill="1" applyAlignment="1" applyProtection="1">
      <alignment vertical="center" wrapText="1"/>
      <protection locked="0"/>
    </xf>
    <xf numFmtId="0" fontId="40" fillId="31" borderId="37" xfId="0" applyFont="1" applyFill="1" applyBorder="1" applyAlignment="1">
      <alignment horizontal="center" vertical="center" wrapText="1"/>
    </xf>
    <xf numFmtId="0" fontId="40" fillId="31" borderId="39" xfId="0" applyFont="1" applyFill="1" applyBorder="1" applyAlignment="1">
      <alignment horizontal="center" vertical="center" wrapText="1"/>
    </xf>
    <xf numFmtId="41" fontId="72"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9" fontId="36" fillId="31" borderId="13" xfId="611"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40"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82" fillId="0" borderId="0" xfId="0" applyNumberFormat="1" applyFont="1" applyFill="1" applyAlignment="1" applyProtection="1">
      <alignment horizontal="left" vertical="center" wrapText="1"/>
    </xf>
    <xf numFmtId="0" fontId="0" fillId="0" borderId="45" xfId="0" applyFont="1" applyFill="1" applyBorder="1" applyAlignment="1" applyProtection="1">
      <alignment wrapText="1"/>
    </xf>
    <xf numFmtId="0" fontId="46" fillId="0" borderId="45" xfId="0" applyFont="1" applyFill="1" applyBorder="1" applyAlignment="1" applyProtection="1">
      <alignment wrapText="1"/>
    </xf>
    <xf numFmtId="0" fontId="182" fillId="0" borderId="0" xfId="0" applyFont="1" applyFill="1" applyAlignment="1" applyProtection="1">
      <alignment horizontal="left" vertical="center" wrapText="1"/>
    </xf>
    <xf numFmtId="0" fontId="65" fillId="0" borderId="36" xfId="0" applyNumberFormat="1" applyFont="1" applyFill="1" applyBorder="1" applyAlignment="1" applyProtection="1">
      <alignment horizontal="left" vertical="center" wrapText="1"/>
    </xf>
    <xf numFmtId="0" fontId="46" fillId="0" borderId="0" xfId="0" applyFont="1" applyFill="1" applyAlignment="1" applyProtection="1">
      <alignment wrapText="1"/>
    </xf>
    <xf numFmtId="0" fontId="65" fillId="0" borderId="0" xfId="0" applyFont="1" applyAlignment="1">
      <alignment wrapText="1"/>
    </xf>
    <xf numFmtId="0" fontId="46" fillId="0" borderId="45" xfId="0" applyFont="1" applyBorder="1" applyAlignment="1">
      <alignment horizontal="center" vertical="center" wrapText="1"/>
    </xf>
    <xf numFmtId="0" fontId="40" fillId="0" borderId="0" xfId="0" applyFont="1" applyFill="1" applyAlignment="1" applyProtection="1">
      <alignment horizontal="left" vertical="center" wrapText="1"/>
    </xf>
    <xf numFmtId="0" fontId="0" fillId="0" borderId="25" xfId="0" applyFont="1" applyFill="1" applyBorder="1" applyAlignment="1">
      <alignment horizontal="left" vertical="center" wrapText="1"/>
    </xf>
    <xf numFmtId="0" fontId="0" fillId="0" borderId="23" xfId="0" applyFont="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Fill="1" applyAlignment="1" applyProtection="1">
      <alignment vertical="center"/>
    </xf>
    <xf numFmtId="0" fontId="46" fillId="0" borderId="0" xfId="0" applyFont="1" applyFill="1" applyAlignment="1" applyProtection="1">
      <alignment horizontal="center" vertical="center" wrapText="1"/>
    </xf>
    <xf numFmtId="0" fontId="46"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6" fillId="0" borderId="45" xfId="0" applyFont="1" applyFill="1" applyBorder="1" applyAlignment="1" applyProtection="1">
      <alignment horizontal="center" vertical="center" wrapText="1"/>
    </xf>
    <xf numFmtId="0" fontId="40"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0" fillId="34"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46" fillId="34" borderId="0" xfId="0" applyFont="1" applyFill="1" applyAlignment="1" applyProtection="1">
      <alignment horizontal="center" vertical="center" wrapText="1"/>
    </xf>
    <xf numFmtId="0" fontId="65" fillId="0" borderId="0" xfId="0" applyFont="1" applyFill="1" applyAlignment="1" applyProtection="1">
      <alignment horizontal="center" vertical="center" wrapText="1"/>
    </xf>
    <xf numFmtId="3" fontId="189" fillId="0" borderId="0" xfId="1540" applyFont="1" applyFill="1" applyAlignment="1" applyProtection="1">
      <alignment vertical="center" wrapText="1"/>
    </xf>
    <xf numFmtId="0" fontId="61" fillId="0" borderId="0" xfId="30099" applyFont="1" applyFill="1" applyAlignment="1">
      <alignment horizontal="left" vertical="top" wrapText="1"/>
    </xf>
    <xf numFmtId="0" fontId="61" fillId="0" borderId="0" xfId="0" applyFont="1" applyFill="1" applyAlignment="1" applyProtection="1">
      <alignment vertical="center" wrapText="1"/>
    </xf>
    <xf numFmtId="0" fontId="0" fillId="34" borderId="45" xfId="0" applyFont="1" applyFill="1" applyBorder="1" applyAlignment="1" applyProtection="1">
      <alignment horizontal="center" vertical="center" wrapText="1"/>
    </xf>
    <xf numFmtId="0" fontId="40" fillId="0" borderId="0" xfId="0" applyFont="1" applyFill="1" applyAlignment="1" applyProtection="1">
      <alignment horizontal="center" vertical="center"/>
    </xf>
    <xf numFmtId="0" fontId="40" fillId="74" borderId="0" xfId="0" applyFont="1" applyFill="1" applyAlignment="1" applyProtection="1">
      <alignment horizontal="left" vertical="center" wrapText="1"/>
    </xf>
    <xf numFmtId="0" fontId="40" fillId="74" borderId="0" xfId="0" applyFont="1" applyFill="1" applyAlignment="1" applyProtection="1">
      <alignment vertical="center" wrapText="1"/>
    </xf>
    <xf numFmtId="0" fontId="40" fillId="74" borderId="0" xfId="0" applyFont="1" applyFill="1" applyAlignment="1" applyProtection="1">
      <alignment vertical="center"/>
    </xf>
    <xf numFmtId="0" fontId="40" fillId="74" borderId="0" xfId="0" applyFont="1" applyFill="1" applyAlignment="1" applyProtection="1"/>
    <xf numFmtId="0" fontId="0" fillId="74" borderId="0" xfId="0" applyFont="1" applyFill="1" applyAlignment="1" applyProtection="1"/>
    <xf numFmtId="0" fontId="40" fillId="74" borderId="0" xfId="0" applyFont="1" applyFill="1" applyAlignment="1" applyProtection="1">
      <alignment wrapText="1"/>
    </xf>
    <xf numFmtId="2" fontId="40" fillId="74" borderId="0" xfId="0" applyNumberFormat="1" applyFont="1" applyFill="1" applyAlignment="1" applyProtection="1">
      <alignment horizontal="center" vertical="center" wrapText="1"/>
      <protection locked="0"/>
    </xf>
    <xf numFmtId="0" fontId="73"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72" fillId="74" borderId="0" xfId="439" applyNumberFormat="1" applyFont="1" applyFill="1" applyAlignment="1" applyProtection="1">
      <alignment wrapText="1"/>
    </xf>
    <xf numFmtId="0" fontId="4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73" fillId="74" borderId="0" xfId="439" applyNumberFormat="1" applyFont="1" applyFill="1" applyAlignment="1" applyProtection="1">
      <alignment wrapText="1"/>
    </xf>
    <xf numFmtId="0" fontId="61" fillId="74" borderId="0" xfId="0" applyFont="1" applyFill="1" applyAlignment="1" applyProtection="1">
      <alignment horizontal="left" vertical="center"/>
    </xf>
    <xf numFmtId="0" fontId="46"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40" fillId="74" borderId="0" xfId="439" applyNumberFormat="1" applyFont="1" applyFill="1" applyAlignment="1" applyProtection="1">
      <alignment horizontal="center" vertical="center"/>
      <protection locked="0"/>
    </xf>
    <xf numFmtId="41" fontId="73" fillId="74" borderId="0" xfId="0" applyNumberFormat="1" applyFont="1" applyFill="1" applyAlignment="1" applyProtection="1">
      <alignment wrapText="1"/>
    </xf>
    <xf numFmtId="0" fontId="40" fillId="74" borderId="0" xfId="0" applyFont="1" applyFill="1" applyAlignment="1" applyProtection="1">
      <alignment horizontal="center" vertical="center"/>
      <protection locked="0"/>
    </xf>
    <xf numFmtId="0" fontId="73" fillId="74" borderId="0" xfId="0" applyFont="1" applyFill="1" applyAlignment="1" applyProtection="1"/>
    <xf numFmtId="0" fontId="40" fillId="74" borderId="0" xfId="0" applyFont="1" applyFill="1" applyAlignment="1" applyProtection="1">
      <alignment horizontal="center" vertical="center" wrapText="1"/>
      <protection locked="0"/>
    </xf>
    <xf numFmtId="0" fontId="73" fillId="74" borderId="0" xfId="0" applyFont="1" applyFill="1" applyAlignment="1" applyProtection="1">
      <alignment horizontal="left" wrapText="1" indent="2"/>
    </xf>
    <xf numFmtId="0" fontId="40"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40"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0" fontId="65" fillId="74" borderId="0" xfId="0" applyFont="1" applyFill="1" applyAlignment="1" applyProtection="1">
      <alignment horizontal="left" vertical="center"/>
    </xf>
    <xf numFmtId="3" fontId="40" fillId="74" borderId="0" xfId="0" applyNumberFormat="1" applyFont="1" applyFill="1" applyAlignment="1" applyProtection="1">
      <alignment horizontal="center" vertical="center"/>
      <protection locked="0"/>
    </xf>
    <xf numFmtId="3" fontId="40" fillId="74" borderId="0" xfId="0" applyNumberFormat="1" applyFont="1" applyFill="1" applyAlignment="1" applyProtection="1">
      <alignment horizontal="center" vertical="center" wrapText="1"/>
      <protection locked="0"/>
    </xf>
    <xf numFmtId="0" fontId="73" fillId="74" borderId="0" xfId="0" applyFont="1" applyFill="1" applyAlignment="1" applyProtection="1">
      <alignment vertical="center"/>
    </xf>
    <xf numFmtId="3" fontId="40" fillId="74" borderId="0" xfId="439" applyNumberFormat="1" applyFont="1" applyFill="1" applyAlignment="1" applyProtection="1">
      <alignment horizontal="center" vertical="center"/>
      <protection locked="0"/>
    </xf>
    <xf numFmtId="38" fontId="46"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40" fillId="74" borderId="0" xfId="0" applyNumberFormat="1" applyFont="1" applyFill="1" applyAlignment="1" applyProtection="1">
      <alignment wrapText="1"/>
    </xf>
    <xf numFmtId="164" fontId="40" fillId="74" borderId="0" xfId="439" applyNumberFormat="1" applyFont="1" applyFill="1" applyAlignment="1" applyProtection="1">
      <alignment horizontal="center" wrapText="1"/>
    </xf>
    <xf numFmtId="3" fontId="40" fillId="74" borderId="0" xfId="439" applyNumberFormat="1" applyFont="1" applyFill="1" applyAlignment="1" applyProtection="1">
      <alignment horizontal="center" vertical="center" wrapText="1"/>
    </xf>
    <xf numFmtId="41" fontId="72" fillId="74" borderId="0" xfId="0" applyNumberFormat="1" applyFont="1" applyFill="1" applyAlignment="1" applyProtection="1">
      <alignment wrapText="1"/>
    </xf>
    <xf numFmtId="3" fontId="40"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6" fillId="74" borderId="0" xfId="439" applyNumberFormat="1" applyFont="1" applyFill="1" applyProtection="1"/>
    <xf numFmtId="0" fontId="191" fillId="74" borderId="0" xfId="0" applyFont="1" applyFill="1" applyAlignment="1" applyProtection="1">
      <alignment horizontal="left" vertical="center"/>
    </xf>
    <xf numFmtId="37" fontId="0" fillId="74" borderId="0" xfId="439" applyNumberFormat="1" applyFont="1" applyFill="1" applyAlignment="1" applyProtection="1">
      <alignment horizontal="center" vertical="center"/>
    </xf>
    <xf numFmtId="38" fontId="40" fillId="74" borderId="0" xfId="0" applyNumberFormat="1" applyFont="1" applyFill="1" applyAlignment="1" applyProtection="1">
      <alignment horizontal="left" vertical="center"/>
    </xf>
    <xf numFmtId="0" fontId="73"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40"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92" fillId="74" borderId="0" xfId="0" applyFont="1" applyFill="1" applyAlignment="1" applyProtection="1">
      <alignment horizontal="left" vertical="center"/>
    </xf>
    <xf numFmtId="0" fontId="85" fillId="74" borderId="0" xfId="0" applyFont="1" applyFill="1" applyAlignment="1" applyProtection="1">
      <alignment vertical="center"/>
    </xf>
    <xf numFmtId="0" fontId="193" fillId="74" borderId="0" xfId="0" applyFont="1" applyFill="1" applyAlignment="1" applyProtection="1">
      <alignment vertical="center"/>
      <protection locked="0"/>
    </xf>
    <xf numFmtId="0" fontId="65" fillId="74" borderId="36" xfId="0" applyNumberFormat="1" applyFont="1" applyFill="1" applyBorder="1" applyAlignment="1" applyProtection="1">
      <alignment horizontal="left" vertical="center" wrapText="1"/>
    </xf>
    <xf numFmtId="0" fontId="55" fillId="74" borderId="0" xfId="0" applyNumberFormat="1" applyFont="1" applyFill="1" applyAlignment="1" applyProtection="1">
      <alignment horizontal="left" vertical="center" wrapText="1"/>
    </xf>
    <xf numFmtId="168" fontId="40" fillId="29" borderId="0" xfId="439" applyNumberFormat="1" applyFont="1" applyFill="1" applyAlignment="1" applyProtection="1">
      <alignment horizontal="center" vertical="center"/>
      <protection locked="0"/>
    </xf>
    <xf numFmtId="0" fontId="61" fillId="74" borderId="0" xfId="0" applyFont="1" applyFill="1" applyAlignment="1">
      <alignment vertical="center" wrapText="1"/>
    </xf>
    <xf numFmtId="41" fontId="73" fillId="36" borderId="114" xfId="439" applyNumberFormat="1" applyFont="1" applyFill="1" applyBorder="1" applyAlignment="1">
      <alignment vertical="center" wrapText="1"/>
    </xf>
    <xf numFmtId="41" fontId="73" fillId="36" borderId="0" xfId="439" applyNumberFormat="1" applyFont="1" applyFill="1" applyAlignment="1">
      <alignment vertical="center" wrapText="1"/>
    </xf>
    <xf numFmtId="41" fontId="73" fillId="36" borderId="115" xfId="439" applyNumberFormat="1" applyFont="1" applyFill="1" applyBorder="1" applyAlignment="1">
      <alignment vertical="center" wrapText="1"/>
    </xf>
    <xf numFmtId="41" fontId="194" fillId="0" borderId="0" xfId="0" applyNumberFormat="1" applyFont="1" applyFill="1" applyAlignment="1" applyProtection="1">
      <alignment wrapText="1"/>
    </xf>
    <xf numFmtId="0" fontId="61" fillId="74" borderId="0" xfId="0" applyFont="1" applyFill="1" applyAlignment="1" applyProtection="1">
      <alignment vertical="center"/>
    </xf>
    <xf numFmtId="174" fontId="0" fillId="0" borderId="29" xfId="439" applyNumberFormat="1" applyFont="1" applyBorder="1" applyAlignment="1" applyProtection="1">
      <alignment vertical="center"/>
    </xf>
    <xf numFmtId="38" fontId="46" fillId="22" borderId="0" xfId="439" applyNumberFormat="1" applyFont="1" applyFill="1" applyAlignment="1" applyProtection="1">
      <alignment horizontal="center" vertical="center" wrapText="1"/>
    </xf>
    <xf numFmtId="167" fontId="0" fillId="80" borderId="88" xfId="545" applyNumberFormat="1" applyFont="1" applyFill="1" applyBorder="1"/>
    <xf numFmtId="37" fontId="0" fillId="0" borderId="104" xfId="0" applyNumberFormat="1" applyFont="1" applyFill="1" applyBorder="1" applyAlignment="1">
      <alignment horizontal="center" wrapText="1"/>
    </xf>
    <xf numFmtId="37" fontId="85" fillId="0" borderId="104" xfId="0" applyNumberFormat="1" applyFont="1" applyFill="1" applyBorder="1" applyAlignment="1">
      <alignment horizontal="center" wrapText="1"/>
    </xf>
    <xf numFmtId="41" fontId="73" fillId="0" borderId="0" xfId="0" applyNumberFormat="1" applyFont="1" applyFill="1" applyAlignment="1" applyProtection="1">
      <alignment vertical="center" wrapText="1"/>
    </xf>
    <xf numFmtId="0" fontId="0" fillId="78" borderId="10" xfId="0" applyFont="1" applyFill="1" applyBorder="1" applyAlignment="1">
      <alignment horizontal="left" vertical="center" wrapText="1"/>
    </xf>
    <xf numFmtId="0" fontId="164" fillId="73" borderId="57" xfId="0" applyFont="1" applyFill="1" applyBorder="1" applyAlignment="1">
      <alignment vertical="center" wrapText="1"/>
    </xf>
    <xf numFmtId="166" fontId="0" fillId="21" borderId="16" xfId="0" applyNumberFormat="1" applyFont="1" applyFill="1" applyBorder="1" applyProtection="1"/>
    <xf numFmtId="2" fontId="0" fillId="0" borderId="10" xfId="0" applyNumberFormat="1" applyFont="1" applyFill="1" applyBorder="1" applyAlignment="1">
      <alignment horizontal="center" wrapText="1"/>
    </xf>
    <xf numFmtId="37" fontId="0" fillId="0" borderId="10" xfId="0" applyNumberFormat="1" applyFont="1" applyFill="1" applyBorder="1" applyAlignment="1">
      <alignment horizontal="center" wrapText="1"/>
    </xf>
    <xf numFmtId="2" fontId="0" fillId="0" borderId="87" xfId="0" applyNumberFormat="1" applyFont="1" applyFill="1" applyBorder="1" applyAlignment="1">
      <alignment horizontal="center" wrapText="1"/>
    </xf>
    <xf numFmtId="37" fontId="0" fillId="0" borderId="90" xfId="0" applyNumberFormat="1" applyFont="1" applyFill="1" applyBorder="1" applyAlignment="1">
      <alignment horizontal="center" wrapText="1"/>
    </xf>
    <xf numFmtId="10" fontId="0" fillId="0" borderId="96" xfId="0" applyNumberFormat="1" applyFont="1" applyFill="1" applyBorder="1" applyAlignment="1">
      <alignment horizontal="center" wrapText="1"/>
    </xf>
    <xf numFmtId="0" fontId="40" fillId="78" borderId="10" xfId="0" applyFont="1" applyFill="1" applyBorder="1" applyAlignment="1">
      <alignment wrapText="1"/>
    </xf>
    <xf numFmtId="0" fontId="40" fillId="78" borderId="116" xfId="0" applyFont="1" applyFill="1" applyBorder="1" applyAlignment="1">
      <alignment wrapText="1"/>
    </xf>
    <xf numFmtId="10" fontId="0" fillId="0" borderId="85" xfId="4688" applyNumberFormat="1" applyFont="1" applyFill="1" applyBorder="1"/>
    <xf numFmtId="10" fontId="0" fillId="0" borderId="85" xfId="0" applyNumberFormat="1" applyFont="1" applyFill="1" applyBorder="1" applyAlignment="1">
      <alignment horizontal="center" wrapText="1"/>
    </xf>
    <xf numFmtId="0" fontId="0" fillId="0" borderId="117" xfId="0" applyFont="1" applyFill="1" applyBorder="1" applyProtection="1">
      <protection locked="0"/>
    </xf>
    <xf numFmtId="37" fontId="0" fillId="0" borderId="10" xfId="0" applyNumberFormat="1" applyFont="1" applyFill="1" applyBorder="1"/>
    <xf numFmtId="0" fontId="0" fillId="78" borderId="10" xfId="0" applyFont="1" applyFill="1" applyBorder="1" applyAlignment="1">
      <alignment horizontal="center" wrapText="1"/>
    </xf>
    <xf numFmtId="3" fontId="46" fillId="0" borderId="0" xfId="439" applyNumberFormat="1" applyFont="1" applyFill="1" applyAlignment="1" applyProtection="1">
      <alignment horizontal="center" vertical="center" wrapText="1"/>
    </xf>
    <xf numFmtId="0" fontId="0" fillId="78" borderId="87" xfId="0" applyFont="1" applyFill="1" applyBorder="1" applyAlignment="1">
      <alignment vertical="center" wrapText="1"/>
    </xf>
    <xf numFmtId="0" fontId="0" fillId="78" borderId="97" xfId="0" applyFont="1" applyFill="1" applyBorder="1" applyAlignment="1">
      <alignment vertical="center" wrapText="1"/>
    </xf>
    <xf numFmtId="0" fontId="0" fillId="78" borderId="103" xfId="0" applyFont="1" applyFill="1" applyBorder="1" applyAlignment="1">
      <alignment vertical="center" wrapText="1"/>
    </xf>
    <xf numFmtId="0" fontId="0" fillId="78" borderId="96" xfId="0" applyFont="1" applyFill="1" applyBorder="1" applyAlignment="1">
      <alignment vertical="center" wrapText="1"/>
    </xf>
    <xf numFmtId="0" fontId="0" fillId="78" borderId="10" xfId="0" quotePrefix="1" applyFont="1" applyFill="1" applyBorder="1" applyAlignment="1">
      <alignment horizontal="center" vertical="center" wrapText="1"/>
    </xf>
    <xf numFmtId="0" fontId="0" fillId="78" borderId="85" xfId="0" quotePrefix="1" applyFont="1" applyFill="1" applyBorder="1" applyAlignment="1">
      <alignment horizontal="center" vertical="center" wrapText="1"/>
    </xf>
    <xf numFmtId="0" fontId="0" fillId="78" borderId="85" xfId="0" applyFont="1" applyFill="1" applyBorder="1" applyAlignment="1">
      <alignment vertical="center" wrapText="1"/>
    </xf>
    <xf numFmtId="164" fontId="46" fillId="0" borderId="10" xfId="439" applyNumberFormat="1" applyFont="1" applyFill="1" applyBorder="1" applyAlignment="1">
      <alignment horizontal="center"/>
    </xf>
    <xf numFmtId="0" fontId="0" fillId="78" borderId="0" xfId="0" applyFont="1" applyFill="1" applyBorder="1" applyProtection="1">
      <protection locked="0"/>
    </xf>
    <xf numFmtId="0" fontId="174" fillId="78" borderId="118" xfId="0" applyFont="1" applyFill="1" applyBorder="1" applyAlignment="1">
      <alignment wrapText="1"/>
    </xf>
    <xf numFmtId="9" fontId="0" fillId="78" borderId="85" xfId="4688" applyFont="1" applyFill="1" applyBorder="1" applyAlignment="1">
      <alignment horizontal="center" wrapText="1"/>
    </xf>
    <xf numFmtId="0" fontId="0" fillId="78" borderId="96" xfId="0" applyFont="1" applyFill="1" applyBorder="1" applyAlignment="1">
      <alignment horizontal="center" vertical="center" wrapText="1"/>
    </xf>
    <xf numFmtId="37" fontId="0" fillId="78" borderId="104" xfId="0" applyNumberFormat="1" applyFont="1" applyFill="1" applyBorder="1" applyAlignment="1">
      <alignment horizontal="center" wrapText="1"/>
    </xf>
    <xf numFmtId="0" fontId="0" fillId="78" borderId="99" xfId="0" applyFont="1" applyFill="1" applyBorder="1" applyProtection="1">
      <protection locked="0"/>
    </xf>
    <xf numFmtId="43" fontId="0" fillId="0" borderId="10" xfId="439" applyNumberFormat="1" applyFont="1" applyFill="1" applyBorder="1" applyAlignment="1">
      <alignment horizontal="center"/>
    </xf>
    <xf numFmtId="43" fontId="46" fillId="0" borderId="10" xfId="439" applyNumberFormat="1" applyFont="1" applyFill="1" applyBorder="1" applyAlignment="1">
      <alignment horizontal="center"/>
    </xf>
    <xf numFmtId="0" fontId="135" fillId="78" borderId="15" xfId="30099" applyFont="1" applyFill="1" applyBorder="1" applyAlignment="1">
      <alignment horizontal="left" wrapText="1"/>
    </xf>
    <xf numFmtId="0" fontId="135" fillId="78" borderId="0" xfId="30099" applyFont="1" applyFill="1" applyAlignment="1">
      <alignment horizontal="left" wrapText="1"/>
    </xf>
    <xf numFmtId="0" fontId="135" fillId="78" borderId="60" xfId="30099" applyFont="1" applyFill="1" applyBorder="1" applyAlignment="1">
      <alignment horizontal="left" wrapText="1"/>
    </xf>
    <xf numFmtId="0" fontId="0" fillId="0" borderId="0" xfId="0" applyAlignment="1">
      <alignment wrapText="1"/>
    </xf>
    <xf numFmtId="0" fontId="0" fillId="0" borderId="0" xfId="0" applyAlignment="1">
      <alignment horizontal="left"/>
    </xf>
    <xf numFmtId="0" fontId="0" fillId="0" borderId="119" xfId="0" applyBorder="1"/>
    <xf numFmtId="0" fontId="0" fillId="0" borderId="82" xfId="0" applyBorder="1"/>
    <xf numFmtId="0" fontId="0" fillId="0" borderId="83" xfId="0" applyBorder="1"/>
    <xf numFmtId="0" fontId="0" fillId="0" borderId="122" xfId="0" applyBorder="1"/>
    <xf numFmtId="1" fontId="0" fillId="0" borderId="0" xfId="0" applyNumberFormat="1"/>
    <xf numFmtId="0" fontId="0" fillId="0" borderId="0" xfId="0" applyAlignment="1">
      <alignment horizontal="center" wrapText="1"/>
    </xf>
    <xf numFmtId="37" fontId="0" fillId="0" borderId="0" xfId="0" applyNumberFormat="1"/>
    <xf numFmtId="0" fontId="0" fillId="78" borderId="123" xfId="0" applyFill="1" applyBorder="1" applyAlignment="1">
      <alignment horizontal="left" vertical="center" wrapText="1"/>
    </xf>
    <xf numFmtId="0" fontId="51" fillId="78" borderId="57" xfId="0" applyFont="1" applyFill="1" applyBorder="1" applyAlignment="1">
      <alignment horizontal="center" wrapText="1"/>
    </xf>
    <xf numFmtId="0" fontId="0" fillId="78" borderId="11" xfId="0" quotePrefix="1" applyFill="1" applyBorder="1" applyAlignment="1">
      <alignment horizontal="center" wrapText="1"/>
    </xf>
    <xf numFmtId="0" fontId="0" fillId="78" borderId="73" xfId="0" applyFill="1" applyBorder="1" applyAlignment="1">
      <alignment horizontal="left" vertical="center" wrapText="1"/>
    </xf>
    <xf numFmtId="10" fontId="0" fillId="0" borderId="0" xfId="0" applyNumberFormat="1"/>
    <xf numFmtId="9" fontId="0" fillId="0" borderId="0" xfId="4688" applyFont="1" applyFill="1" applyBorder="1"/>
    <xf numFmtId="10" fontId="0" fillId="0" borderId="82" xfId="0" applyNumberFormat="1" applyBorder="1"/>
    <xf numFmtId="0" fontId="0" fillId="0" borderId="57" xfId="0" applyBorder="1" applyAlignment="1">
      <alignment horizontal="center" vertical="center" wrapText="1"/>
    </xf>
    <xf numFmtId="10" fontId="0" fillId="0" borderId="57" xfId="0" applyNumberFormat="1" applyBorder="1" applyAlignment="1">
      <alignment horizontal="center" vertical="center" wrapText="1"/>
    </xf>
    <xf numFmtId="0" fontId="0" fillId="78" borderId="16" xfId="0" quotePrefix="1" applyFill="1" applyBorder="1" applyAlignment="1">
      <alignment horizontal="center" wrapText="1"/>
    </xf>
    <xf numFmtId="0" fontId="0" fillId="78" borderId="57" xfId="0" applyFill="1" applyBorder="1" applyAlignment="1">
      <alignment vertical="center" wrapText="1"/>
    </xf>
    <xf numFmtId="0" fontId="61" fillId="78" borderId="13" xfId="0" applyFont="1" applyFill="1" applyBorder="1" applyAlignment="1">
      <alignment wrapText="1"/>
    </xf>
    <xf numFmtId="0" fontId="40" fillId="78" borderId="16" xfId="0" applyFont="1" applyFill="1" applyBorder="1" applyAlignment="1">
      <alignment horizontal="center"/>
    </xf>
    <xf numFmtId="0" fontId="0" fillId="78" borderId="11" xfId="0" applyFill="1" applyBorder="1" applyAlignment="1">
      <alignment wrapText="1"/>
    </xf>
    <xf numFmtId="0" fontId="61" fillId="78" borderId="11" xfId="0" applyFont="1" applyFill="1" applyBorder="1" applyAlignment="1">
      <alignment horizontal="center" vertical="center" wrapText="1"/>
    </xf>
    <xf numFmtId="2" fontId="0" fillId="0" borderId="0" xfId="0" applyNumberFormat="1"/>
    <xf numFmtId="168" fontId="0" fillId="0" borderId="0" xfId="0" applyNumberFormat="1"/>
    <xf numFmtId="168" fontId="0" fillId="0" borderId="82" xfId="0" applyNumberFormat="1" applyBorder="1"/>
    <xf numFmtId="168" fontId="0" fillId="0" borderId="83" xfId="0" applyNumberFormat="1" applyBorder="1"/>
    <xf numFmtId="0" fontId="40" fillId="0" borderId="40" xfId="0" applyFont="1" applyBorder="1" applyAlignment="1">
      <alignment vertical="center" wrapText="1"/>
    </xf>
    <xf numFmtId="2" fontId="0" fillId="0" borderId="41" xfId="0" applyNumberFormat="1" applyBorder="1" applyAlignment="1">
      <alignment horizontal="center"/>
    </xf>
    <xf numFmtId="2" fontId="0" fillId="0" borderId="42" xfId="0" applyNumberFormat="1" applyBorder="1" applyAlignment="1">
      <alignment horizontal="center"/>
    </xf>
    <xf numFmtId="0" fontId="0" fillId="0" borderId="73" xfId="0" applyBorder="1" applyAlignment="1">
      <alignment horizontal="center" vertical="center" wrapText="1"/>
    </xf>
    <xf numFmtId="2" fontId="0" fillId="0" borderId="73" xfId="0" applyNumberFormat="1" applyBorder="1" applyAlignment="1">
      <alignment horizontal="center" vertical="center"/>
    </xf>
    <xf numFmtId="0" fontId="0" fillId="78" borderId="124" xfId="0" applyFill="1" applyBorder="1" applyAlignment="1">
      <alignment horizontal="center" vertical="center" wrapText="1"/>
    </xf>
    <xf numFmtId="0" fontId="40" fillId="0" borderId="37" xfId="0" applyFont="1" applyBorder="1" applyAlignment="1">
      <alignment vertical="center" wrapText="1"/>
    </xf>
    <xf numFmtId="0" fontId="40" fillId="0" borderId="71" xfId="0" applyFont="1" applyBorder="1" applyAlignment="1">
      <alignment horizontal="center"/>
    </xf>
    <xf numFmtId="0" fontId="0" fillId="78" borderId="60" xfId="0" applyFill="1" applyBorder="1" applyAlignment="1">
      <alignment horizontal="center" vertical="center" wrapText="1"/>
    </xf>
    <xf numFmtId="0" fontId="40" fillId="78" borderId="57" xfId="0" applyFont="1" applyFill="1" applyBorder="1" applyAlignment="1">
      <alignment vertical="center" wrapText="1"/>
    </xf>
    <xf numFmtId="42" fontId="0" fillId="0" borderId="57" xfId="0" applyNumberFormat="1" applyBorder="1" applyAlignment="1">
      <alignment horizontal="center"/>
    </xf>
    <xf numFmtId="0" fontId="0" fillId="0" borderId="57" xfId="0" applyBorder="1" applyAlignment="1">
      <alignment horizontal="center" wrapText="1"/>
    </xf>
    <xf numFmtId="0" fontId="0" fillId="78" borderId="57" xfId="0" applyFill="1" applyBorder="1" applyAlignment="1">
      <alignment horizontal="center" vertical="center" wrapText="1"/>
    </xf>
    <xf numFmtId="0" fontId="0" fillId="78" borderId="57" xfId="0" applyFill="1" applyBorder="1" applyAlignment="1">
      <alignment wrapText="1"/>
    </xf>
    <xf numFmtId="167" fontId="0" fillId="0" borderId="0" xfId="545" applyNumberFormat="1" applyFont="1" applyFill="1" applyBorder="1"/>
    <xf numFmtId="10" fontId="0" fillId="0" borderId="57" xfId="4688" applyNumberFormat="1" applyFont="1" applyFill="1" applyBorder="1" applyAlignment="1">
      <alignment horizontal="center"/>
    </xf>
    <xf numFmtId="10" fontId="0" fillId="0" borderId="57" xfId="0" applyNumberFormat="1" applyBorder="1" applyAlignment="1">
      <alignment horizontal="center"/>
    </xf>
    <xf numFmtId="10" fontId="0" fillId="0" borderId="0" xfId="4688" applyNumberFormat="1" applyFont="1" applyFill="1" applyBorder="1"/>
    <xf numFmtId="37" fontId="0" fillId="0" borderId="57" xfId="0" applyNumberFormat="1" applyBorder="1" applyAlignment="1">
      <alignment horizontal="center" wrapText="1"/>
    </xf>
    <xf numFmtId="37" fontId="0" fillId="85" borderId="57" xfId="0" applyNumberFormat="1" applyFill="1" applyBorder="1" applyAlignment="1">
      <alignment horizontal="center" wrapText="1"/>
    </xf>
    <xf numFmtId="43" fontId="0" fillId="0" borderId="0" xfId="439" applyFont="1" applyFill="1" applyBorder="1"/>
    <xf numFmtId="0" fontId="40" fillId="0" borderId="125" xfId="0" applyFont="1" applyBorder="1" applyAlignment="1">
      <alignment wrapText="1"/>
    </xf>
    <xf numFmtId="0" fontId="0" fillId="0" borderId="86" xfId="0" applyBorder="1"/>
    <xf numFmtId="0" fontId="0" fillId="0" borderId="86" xfId="0" applyBorder="1" applyAlignment="1">
      <alignment horizontal="center" wrapText="1"/>
    </xf>
    <xf numFmtId="0" fontId="0" fillId="0" borderId="86" xfId="0" applyBorder="1" applyAlignment="1">
      <alignment wrapText="1"/>
    </xf>
    <xf numFmtId="0" fontId="0" fillId="73" borderId="126" xfId="0" applyFill="1" applyBorder="1" applyAlignment="1">
      <alignment wrapText="1"/>
    </xf>
    <xf numFmtId="0" fontId="61" fillId="78" borderId="39" xfId="0" applyFont="1" applyFill="1" applyBorder="1" applyAlignment="1">
      <alignment horizontal="center" wrapText="1"/>
    </xf>
    <xf numFmtId="2" fontId="0" fillId="0" borderId="0" xfId="439" applyNumberFormat="1" applyFont="1" applyFill="1" applyBorder="1"/>
    <xf numFmtId="39" fontId="0" fillId="0" borderId="0" xfId="0" applyNumberFormat="1"/>
    <xf numFmtId="0" fontId="0" fillId="78" borderId="57" xfId="0" applyFill="1" applyBorder="1" applyAlignment="1">
      <alignment horizontal="left" vertical="center" wrapText="1"/>
    </xf>
    <xf numFmtId="0" fontId="40" fillId="0" borderId="57" xfId="0" applyFont="1" applyBorder="1" applyAlignment="1">
      <alignment vertical="center" wrapText="1"/>
    </xf>
    <xf numFmtId="0" fontId="40" fillId="0" borderId="57" xfId="0" applyFont="1" applyBorder="1" applyAlignment="1">
      <alignment horizontal="center"/>
    </xf>
    <xf numFmtId="167" fontId="0" fillId="0" borderId="57" xfId="545" applyNumberFormat="1" applyFont="1" applyFill="1" applyBorder="1" applyAlignment="1">
      <alignment horizontal="center"/>
    </xf>
    <xf numFmtId="0" fontId="40" fillId="0" borderId="127" xfId="0" applyFont="1" applyBorder="1" applyAlignment="1">
      <alignment wrapText="1"/>
    </xf>
    <xf numFmtId="0" fontId="0" fillId="0" borderId="128" xfId="0" applyBorder="1"/>
    <xf numFmtId="0" fontId="0" fillId="0" borderId="128" xfId="0" applyBorder="1" applyAlignment="1">
      <alignment horizontal="center" wrapText="1"/>
    </xf>
    <xf numFmtId="0" fontId="0" fillId="0" borderId="128" xfId="0" applyBorder="1" applyAlignment="1">
      <alignment wrapText="1"/>
    </xf>
    <xf numFmtId="0" fontId="0" fillId="78" borderId="86" xfId="0" applyFill="1" applyBorder="1"/>
    <xf numFmtId="0" fontId="40" fillId="78" borderId="91" xfId="0" applyFont="1" applyFill="1" applyBorder="1" applyAlignment="1">
      <alignment horizontal="center" wrapText="1"/>
    </xf>
    <xf numFmtId="0" fontId="40" fillId="78" borderId="71" xfId="0" applyFont="1" applyFill="1" applyBorder="1" applyAlignment="1">
      <alignment horizontal="center"/>
    </xf>
    <xf numFmtId="37" fontId="0" fillId="0" borderId="57" xfId="0" applyNumberFormat="1" applyBorder="1" applyAlignment="1">
      <alignment horizontal="center"/>
    </xf>
    <xf numFmtId="0" fontId="40" fillId="78" borderId="11" xfId="0" applyFont="1" applyFill="1" applyBorder="1" applyAlignment="1">
      <alignment horizontal="center" wrapText="1"/>
    </xf>
    <xf numFmtId="0" fontId="40" fillId="78" borderId="57" xfId="0" applyFont="1" applyFill="1" applyBorder="1" applyAlignment="1">
      <alignment horizontal="center"/>
    </xf>
    <xf numFmtId="0" fontId="0" fillId="78" borderId="57" xfId="0" applyFill="1" applyBorder="1"/>
    <xf numFmtId="9" fontId="0" fillId="0" borderId="57" xfId="4688" applyFont="1" applyFill="1" applyBorder="1" applyAlignment="1">
      <alignment horizontal="center"/>
    </xf>
    <xf numFmtId="9" fontId="40" fillId="0" borderId="57" xfId="0" applyNumberFormat="1" applyFont="1" applyBorder="1" applyAlignment="1">
      <alignment horizontal="center"/>
    </xf>
    <xf numFmtId="0" fontId="0" fillId="0" borderId="130" xfId="0" applyBorder="1"/>
    <xf numFmtId="0" fontId="40" fillId="0" borderId="0" xfId="0" applyFont="1" applyAlignment="1">
      <alignment wrapText="1"/>
    </xf>
    <xf numFmtId="0" fontId="0" fillId="0" borderId="121" xfId="0" applyBorder="1"/>
    <xf numFmtId="0" fontId="40" fillId="0" borderId="57" xfId="0" applyFont="1" applyBorder="1" applyAlignment="1">
      <alignment horizontal="center" wrapText="1"/>
    </xf>
    <xf numFmtId="0" fontId="0" fillId="0" borderId="57" xfId="0" applyBorder="1" applyAlignment="1">
      <alignment horizontal="center"/>
    </xf>
    <xf numFmtId="0" fontId="0" fillId="78" borderId="57" xfId="0" applyFill="1" applyBorder="1" applyAlignment="1">
      <alignment horizontal="center"/>
    </xf>
    <xf numFmtId="0" fontId="46" fillId="85" borderId="57" xfId="0" applyFont="1" applyFill="1" applyBorder="1" applyAlignment="1">
      <alignment horizontal="center" wrapText="1"/>
    </xf>
    <xf numFmtId="0" fontId="0" fillId="85" borderId="57" xfId="0" applyFill="1" applyBorder="1" applyAlignment="1">
      <alignment horizontal="center" wrapText="1"/>
    </xf>
    <xf numFmtId="37" fontId="46" fillId="0" borderId="57" xfId="0" applyNumberFormat="1" applyFont="1" applyBorder="1" applyAlignment="1">
      <alignment horizontal="center"/>
    </xf>
    <xf numFmtId="37" fontId="46" fillId="0" borderId="57" xfId="0" applyNumberFormat="1" applyFont="1" applyBorder="1" applyAlignment="1">
      <alignment horizontal="center" wrapText="1"/>
    </xf>
    <xf numFmtId="37" fontId="0" fillId="0" borderId="0" xfId="0" applyNumberFormat="1" applyAlignment="1">
      <alignment horizontal="center"/>
    </xf>
    <xf numFmtId="0" fontId="0" fillId="0" borderId="89" xfId="0" applyBorder="1"/>
    <xf numFmtId="0" fontId="0" fillId="0" borderId="89" xfId="0" applyBorder="1" applyAlignment="1">
      <alignment wrapText="1"/>
    </xf>
    <xf numFmtId="0" fontId="0" fillId="0" borderId="83" xfId="0" applyBorder="1" applyAlignment="1">
      <alignment wrapText="1"/>
    </xf>
    <xf numFmtId="2" fontId="0" fillId="0" borderId="57" xfId="0" applyNumberFormat="1" applyBorder="1" applyAlignment="1">
      <alignment horizontal="center"/>
    </xf>
    <xf numFmtId="0" fontId="0" fillId="0" borderId="91" xfId="0" applyBorder="1"/>
    <xf numFmtId="0" fontId="0" fillId="0" borderId="120" xfId="0" applyBorder="1"/>
    <xf numFmtId="0" fontId="0" fillId="78" borderId="71" xfId="0" applyFill="1" applyBorder="1" applyAlignment="1">
      <alignment horizontal="center" vertical="center" wrapText="1"/>
    </xf>
    <xf numFmtId="0" fontId="61" fillId="78" borderId="57" xfId="0" applyFont="1" applyFill="1" applyBorder="1" applyAlignment="1">
      <alignment horizontal="center" vertical="center" wrapText="1"/>
    </xf>
    <xf numFmtId="0" fontId="61" fillId="78" borderId="57" xfId="0" applyFont="1" applyFill="1" applyBorder="1" applyAlignment="1">
      <alignment horizontal="center" wrapText="1"/>
    </xf>
    <xf numFmtId="0" fontId="38" fillId="78" borderId="57" xfId="0" applyFont="1" applyFill="1" applyBorder="1" applyAlignment="1">
      <alignment vertical="center" wrapText="1"/>
    </xf>
    <xf numFmtId="0" fontId="47" fillId="78" borderId="57" xfId="0" applyFont="1" applyFill="1" applyBorder="1" applyAlignment="1">
      <alignment vertical="center" wrapText="1"/>
    </xf>
    <xf numFmtId="0" fontId="40" fillId="78" borderId="13" xfId="0" applyFont="1" applyFill="1" applyBorder="1" applyAlignment="1">
      <alignment vertical="center" wrapText="1"/>
    </xf>
    <xf numFmtId="0" fontId="0" fillId="78" borderId="16" xfId="0" applyFill="1" applyBorder="1" applyAlignment="1">
      <alignment wrapText="1"/>
    </xf>
    <xf numFmtId="10" fontId="0" fillId="78" borderId="16" xfId="4688" applyNumberFormat="1" applyFont="1" applyFill="1" applyBorder="1" applyAlignment="1">
      <alignment horizontal="center"/>
    </xf>
    <xf numFmtId="0" fontId="0" fillId="78" borderId="16" xfId="0" applyFill="1" applyBorder="1" applyAlignment="1">
      <alignment horizontal="center" wrapText="1"/>
    </xf>
    <xf numFmtId="10" fontId="0" fillId="78" borderId="16" xfId="0" applyNumberFormat="1" applyFill="1" applyBorder="1" applyAlignment="1">
      <alignment horizontal="center"/>
    </xf>
    <xf numFmtId="0" fontId="164" fillId="0" borderId="0" xfId="0" applyFont="1" applyFill="1" applyBorder="1" applyAlignment="1">
      <alignment vertical="center" wrapText="1"/>
    </xf>
    <xf numFmtId="0" fontId="0" fillId="0" borderId="121" xfId="0" applyBorder="1" applyAlignment="1">
      <alignment wrapText="1"/>
    </xf>
    <xf numFmtId="0" fontId="0" fillId="78" borderId="57" xfId="0" applyFill="1" applyBorder="1" applyAlignment="1">
      <alignment vertical="center"/>
    </xf>
    <xf numFmtId="0" fontId="38" fillId="78" borderId="57" xfId="0" applyFont="1" applyFill="1" applyBorder="1" applyAlignment="1">
      <alignment horizontal="left" vertical="center" wrapText="1"/>
    </xf>
    <xf numFmtId="0" fontId="38" fillId="78" borderId="57" xfId="0" applyFont="1" applyFill="1" applyBorder="1" applyAlignment="1">
      <alignment horizontal="justify" vertical="center"/>
    </xf>
    <xf numFmtId="0" fontId="47" fillId="78" borderId="57" xfId="0" quotePrefix="1" applyFont="1" applyFill="1" applyBorder="1" applyAlignment="1">
      <alignment horizontal="center" vertical="center" wrapText="1"/>
    </xf>
    <xf numFmtId="0" fontId="47" fillId="78" borderId="57" xfId="0" applyFont="1" applyFill="1" applyBorder="1" applyAlignment="1">
      <alignment horizontal="center" vertical="center" wrapText="1"/>
    </xf>
    <xf numFmtId="0" fontId="47" fillId="78" borderId="57" xfId="0" applyFont="1" applyFill="1" applyBorder="1" applyAlignment="1">
      <alignment horizontal="center" wrapText="1"/>
    </xf>
    <xf numFmtId="0" fontId="0" fillId="0" borderId="57" xfId="0" applyFill="1" applyBorder="1" applyAlignment="1">
      <alignment vertical="center" wrapText="1"/>
    </xf>
    <xf numFmtId="0" fontId="0" fillId="0" borderId="57" xfId="0" applyFill="1" applyBorder="1" applyAlignment="1">
      <alignment wrapText="1"/>
    </xf>
    <xf numFmtId="0" fontId="0" fillId="0" borderId="57" xfId="0" applyFill="1" applyBorder="1" applyAlignment="1">
      <alignment horizontal="left" vertical="center" wrapText="1"/>
    </xf>
    <xf numFmtId="0" fontId="47" fillId="78" borderId="13" xfId="0" applyFont="1" applyFill="1" applyBorder="1" applyAlignment="1">
      <alignment vertical="center" wrapText="1"/>
    </xf>
    <xf numFmtId="0" fontId="47" fillId="0" borderId="91" xfId="0" applyFont="1" applyFill="1" applyBorder="1" applyAlignment="1">
      <alignment vertical="center"/>
    </xf>
    <xf numFmtId="0" fontId="0" fillId="0" borderId="57" xfId="0" applyFill="1" applyBorder="1" applyAlignment="1">
      <alignment horizontal="justify" vertical="center"/>
    </xf>
    <xf numFmtId="0" fontId="41" fillId="78" borderId="13" xfId="0" applyFont="1" applyFill="1" applyBorder="1" applyAlignment="1">
      <alignment horizontal="center" vertical="center"/>
    </xf>
    <xf numFmtId="0" fontId="47" fillId="78" borderId="13" xfId="0" applyFont="1" applyFill="1" applyBorder="1" applyAlignment="1">
      <alignment vertical="center"/>
    </xf>
    <xf numFmtId="0" fontId="47" fillId="78" borderId="13" xfId="0" applyFont="1" applyFill="1" applyBorder="1" applyAlignment="1">
      <alignment horizontal="left" vertical="center" wrapText="1"/>
    </xf>
    <xf numFmtId="0" fontId="47" fillId="78" borderId="131" xfId="0" applyFont="1" applyFill="1" applyBorder="1" applyAlignment="1">
      <alignment vertical="center" wrapText="1"/>
    </xf>
    <xf numFmtId="0" fontId="0" fillId="78" borderId="123" xfId="0" applyFill="1" applyBorder="1"/>
    <xf numFmtId="10" fontId="0" fillId="0" borderId="0" xfId="0" applyNumberFormat="1" applyAlignment="1">
      <alignment horizontal="center" wrapText="1"/>
    </xf>
    <xf numFmtId="10" fontId="0" fillId="0" borderId="0" xfId="4688" applyNumberFormat="1" applyFont="1" applyAlignment="1">
      <alignment horizontal="center" wrapText="1"/>
    </xf>
    <xf numFmtId="9" fontId="0" fillId="0" borderId="119" xfId="4688" applyNumberFormat="1" applyFont="1" applyBorder="1"/>
    <xf numFmtId="9" fontId="0" fillId="0" borderId="57" xfId="0" applyNumberFormat="1" applyBorder="1" applyAlignment="1">
      <alignment horizontal="center" vertical="center" wrapText="1"/>
    </xf>
    <xf numFmtId="0" fontId="0" fillId="0" borderId="0" xfId="4688" applyNumberFormat="1" applyFont="1" applyFill="1" applyBorder="1"/>
    <xf numFmtId="0" fontId="0" fillId="78" borderId="10" xfId="0" applyFill="1" applyBorder="1"/>
    <xf numFmtId="37" fontId="0" fillId="0" borderId="10" xfId="0" applyNumberFormat="1" applyBorder="1"/>
    <xf numFmtId="0" fontId="0" fillId="78" borderId="10" xfId="0" applyFill="1" applyBorder="1" applyAlignment="1">
      <alignment horizontal="center" wrapText="1"/>
    </xf>
    <xf numFmtId="0" fontId="0" fillId="78" borderId="10" xfId="0" applyFill="1" applyBorder="1" applyAlignment="1">
      <alignment vertical="center" wrapText="1"/>
    </xf>
    <xf numFmtId="0" fontId="46" fillId="78" borderId="11" xfId="0" applyFont="1" applyFill="1" applyBorder="1" applyAlignment="1">
      <alignment horizontal="center" vertical="center" wrapText="1"/>
    </xf>
    <xf numFmtId="0" fontId="47" fillId="78" borderId="57" xfId="0" applyFont="1" applyFill="1" applyBorder="1" applyAlignment="1">
      <alignment wrapText="1"/>
    </xf>
    <xf numFmtId="0" fontId="0" fillId="78" borderId="84" xfId="0" applyFill="1" applyBorder="1" applyAlignment="1">
      <alignment vertical="center" wrapText="1"/>
    </xf>
    <xf numFmtId="0" fontId="0" fillId="0" borderId="57" xfId="0" applyBorder="1"/>
    <xf numFmtId="0" fontId="47" fillId="78" borderId="16" xfId="0" applyFont="1" applyFill="1" applyBorder="1" applyAlignment="1">
      <alignment vertical="center" wrapText="1"/>
    </xf>
    <xf numFmtId="0" fontId="0" fillId="78" borderId="11" xfId="0" applyFill="1" applyBorder="1" applyAlignment="1">
      <alignment vertical="center" wrapText="1"/>
    </xf>
    <xf numFmtId="4" fontId="0" fillId="0" borderId="57" xfId="4688" applyNumberFormat="1" applyFont="1" applyFill="1" applyBorder="1" applyAlignment="1">
      <alignment horizontal="center"/>
    </xf>
    <xf numFmtId="4" fontId="0" fillId="0" borderId="57" xfId="0" applyNumberFormat="1" applyBorder="1" applyAlignment="1">
      <alignment horizontal="center"/>
    </xf>
    <xf numFmtId="0" fontId="0" fillId="0" borderId="25" xfId="0" applyNumberFormat="1" applyFont="1" applyFill="1" applyBorder="1" applyAlignment="1">
      <alignment horizontal="center" vertical="center" wrapText="1"/>
    </xf>
    <xf numFmtId="164" fontId="0" fillId="0" borderId="0" xfId="439" applyNumberFormat="1" applyFont="1" applyFill="1" applyProtection="1"/>
    <xf numFmtId="164" fontId="0" fillId="27" borderId="0" xfId="439" applyNumberFormat="1" applyFont="1" applyFill="1"/>
    <xf numFmtId="164" fontId="0" fillId="27" borderId="0" xfId="439" applyNumberFormat="1" applyFont="1" applyFill="1" applyAlignment="1">
      <alignment horizontal="center"/>
    </xf>
    <xf numFmtId="37" fontId="0" fillId="27" borderId="0" xfId="439" applyNumberFormat="1" applyFont="1" applyFill="1"/>
    <xf numFmtId="164" fontId="46" fillId="22" borderId="0" xfId="439" applyNumberFormat="1" applyFont="1" applyFill="1" applyAlignment="1" applyProtection="1">
      <alignment horizontal="center" vertical="center" wrapText="1"/>
    </xf>
    <xf numFmtId="173" fontId="46" fillId="22" borderId="0" xfId="439" applyNumberFormat="1" applyFont="1" applyFill="1" applyAlignment="1" applyProtection="1">
      <alignment horizontal="center" vertical="center" wrapText="1"/>
    </xf>
    <xf numFmtId="41" fontId="73" fillId="0" borderId="0" xfId="439" applyNumberFormat="1" applyFont="1" applyFill="1" applyAlignment="1" applyProtection="1">
      <alignment horizontal="center" vertical="center" wrapText="1"/>
      <protection locked="0"/>
    </xf>
    <xf numFmtId="4" fontId="0" fillId="0" borderId="0" xfId="0" applyNumberFormat="1"/>
    <xf numFmtId="3" fontId="0" fillId="0" borderId="0" xfId="0" applyNumberFormat="1"/>
    <xf numFmtId="0" fontId="45" fillId="0" borderId="0" xfId="659" applyFont="1" applyAlignment="1">
      <alignment horizontal="center"/>
    </xf>
    <xf numFmtId="0" fontId="25" fillId="0" borderId="0" xfId="659" applyFont="1" applyAlignment="1">
      <alignment horizontal="left" vertical="center" wrapText="1"/>
    </xf>
    <xf numFmtId="0" fontId="45" fillId="0" borderId="0" xfId="659" applyFont="1"/>
    <xf numFmtId="38" fontId="199" fillId="0" borderId="0" xfId="440" applyNumberFormat="1" applyFont="1" applyFill="1" applyAlignment="1" applyProtection="1">
      <alignment horizontal="right" vertical="center"/>
    </xf>
    <xf numFmtId="0" fontId="200" fillId="0" borderId="0" xfId="659" applyFont="1"/>
    <xf numFmtId="0" fontId="35" fillId="0" borderId="0" xfId="659"/>
    <xf numFmtId="0" fontId="115" fillId="0" borderId="0" xfId="0" applyFont="1"/>
    <xf numFmtId="172" fontId="0" fillId="0" borderId="0" xfId="439" applyNumberFormat="1" applyFont="1"/>
    <xf numFmtId="164" fontId="35" fillId="0" borderId="0" xfId="659" applyNumberFormat="1"/>
    <xf numFmtId="37" fontId="0" fillId="0" borderId="0" xfId="439" applyNumberFormat="1" applyFont="1"/>
    <xf numFmtId="38" fontId="0" fillId="0" borderId="0" xfId="0" applyNumberFormat="1"/>
    <xf numFmtId="40" fontId="0" fillId="0" borderId="0" xfId="0" applyNumberFormat="1"/>
    <xf numFmtId="164" fontId="0" fillId="0" borderId="0" xfId="439" applyNumberFormat="1" applyFont="1" applyFill="1" applyAlignment="1">
      <alignment wrapText="1"/>
    </xf>
    <xf numFmtId="9" fontId="0" fillId="0" borderId="0" xfId="439" applyNumberFormat="1" applyFont="1" applyFill="1"/>
    <xf numFmtId="10" fontId="0" fillId="0" borderId="0" xfId="439" applyNumberFormat="1" applyFont="1" applyFill="1"/>
    <xf numFmtId="4" fontId="0" fillId="0" borderId="0" xfId="0" applyNumberFormat="1" applyFill="1"/>
    <xf numFmtId="3" fontId="0" fillId="0" borderId="0" xfId="0" applyNumberFormat="1" applyFill="1"/>
    <xf numFmtId="0" fontId="136" fillId="26" borderId="0" xfId="30099" applyFont="1" applyFill="1" applyAlignment="1">
      <alignment horizontal="left" wrapText="1"/>
    </xf>
    <xf numFmtId="0" fontId="130" fillId="26" borderId="0" xfId="30099" applyFont="1" applyFill="1" applyAlignment="1">
      <alignment horizontal="left" vertical="top" wrapText="1"/>
    </xf>
    <xf numFmtId="0" fontId="136" fillId="26" borderId="0" xfId="30099" applyFont="1" applyFill="1" applyAlignment="1">
      <alignment horizontal="left" wrapText="1"/>
    </xf>
    <xf numFmtId="0" fontId="130" fillId="26" borderId="0" xfId="30099" applyFont="1" applyFill="1" applyAlignment="1">
      <alignment horizontal="left" vertical="top" wrapText="1"/>
    </xf>
    <xf numFmtId="164" fontId="51" fillId="0" borderId="0" xfId="0" applyNumberFormat="1" applyFont="1" applyAlignment="1">
      <alignment wrapText="1"/>
    </xf>
    <xf numFmtId="10" fontId="0" fillId="0" borderId="57" xfId="0" applyNumberFormat="1" applyBorder="1" applyAlignment="1">
      <alignment horizontal="center" wrapText="1"/>
    </xf>
    <xf numFmtId="43" fontId="0" fillId="73" borderId="0" xfId="439" applyNumberFormat="1" applyFont="1" applyFill="1"/>
    <xf numFmtId="0" fontId="135" fillId="78" borderId="0" xfId="30099" applyFont="1" applyFill="1" applyAlignment="1">
      <alignment vertical="top"/>
    </xf>
    <xf numFmtId="0" fontId="135" fillId="78" borderId="60" xfId="30099" applyFont="1" applyFill="1" applyBorder="1" applyAlignment="1">
      <alignment vertical="top"/>
    </xf>
    <xf numFmtId="0" fontId="135" fillId="78" borderId="0" xfId="30099" applyFont="1" applyFill="1" applyAlignment="1">
      <alignment vertical="center"/>
    </xf>
    <xf numFmtId="0" fontId="201" fillId="78" borderId="15" xfId="30099" applyFont="1" applyFill="1" applyBorder="1" applyAlignment="1">
      <alignment vertical="center"/>
    </xf>
    <xf numFmtId="0" fontId="134" fillId="78" borderId="0" xfId="30099" applyFont="1" applyFill="1" applyAlignment="1">
      <alignment vertical="center"/>
    </xf>
    <xf numFmtId="0" fontId="135" fillId="78" borderId="40" xfId="30099" applyFont="1" applyFill="1" applyBorder="1" applyAlignment="1">
      <alignment vertical="center"/>
    </xf>
    <xf numFmtId="0" fontId="135" fillId="78" borderId="41" xfId="30099" applyFont="1" applyFill="1" applyBorder="1" applyAlignment="1">
      <alignment vertical="center"/>
    </xf>
    <xf numFmtId="0" fontId="135" fillId="78" borderId="42" xfId="30099" applyFont="1" applyFill="1" applyBorder="1" applyAlignment="1">
      <alignment vertical="center"/>
    </xf>
    <xf numFmtId="0" fontId="198" fillId="0" borderId="107" xfId="0" applyFont="1" applyBorder="1" applyAlignment="1">
      <alignment horizontal="center" vertical="center" wrapText="1"/>
    </xf>
    <xf numFmtId="0" fontId="198" fillId="0" borderId="108" xfId="0" applyFont="1" applyBorder="1" applyAlignment="1">
      <alignment horizontal="center" vertical="center" wrapText="1"/>
    </xf>
    <xf numFmtId="0" fontId="0" fillId="78" borderId="133" xfId="0" applyFill="1" applyBorder="1"/>
    <xf numFmtId="0" fontId="0" fillId="78" borderId="134" xfId="0" applyFill="1" applyBorder="1"/>
    <xf numFmtId="0" fontId="0" fillId="0" borderId="0" xfId="0" applyBorder="1" applyAlignment="1">
      <alignment horizontal="center" wrapText="1"/>
    </xf>
    <xf numFmtId="0" fontId="40" fillId="78" borderId="133" xfId="0" applyFont="1" applyFill="1" applyBorder="1" applyAlignment="1">
      <alignment horizontal="left"/>
    </xf>
    <xf numFmtId="0" fontId="202" fillId="77" borderId="57" xfId="0" applyFont="1" applyFill="1" applyBorder="1" applyAlignment="1">
      <alignment horizontal="center" vertical="center" wrapText="1"/>
    </xf>
    <xf numFmtId="0" fontId="196" fillId="0" borderId="0" xfId="0" applyFont="1"/>
    <xf numFmtId="0" fontId="203" fillId="73" borderId="0" xfId="0" applyFont="1" applyFill="1" applyAlignment="1">
      <alignment horizontal="justify" vertical="center"/>
    </xf>
    <xf numFmtId="0" fontId="203" fillId="73" borderId="0" xfId="0" applyFont="1" applyFill="1" applyAlignment="1">
      <alignment vertical="center"/>
    </xf>
    <xf numFmtId="0" fontId="0" fillId="0" borderId="0" xfId="0" applyAlignment="1">
      <alignment vertical="center"/>
    </xf>
    <xf numFmtId="0" fontId="203" fillId="73" borderId="0" xfId="0" applyFont="1" applyFill="1" applyAlignment="1">
      <alignment vertical="center" wrapText="1"/>
    </xf>
    <xf numFmtId="0" fontId="207" fillId="73" borderId="0" xfId="611" applyFont="1" applyFill="1" applyAlignment="1">
      <alignment vertical="center"/>
    </xf>
    <xf numFmtId="0" fontId="208" fillId="73" borderId="0" xfId="0" applyFont="1" applyFill="1" applyAlignment="1">
      <alignment vertical="center"/>
    </xf>
    <xf numFmtId="0" fontId="209" fillId="73" borderId="0" xfId="611" applyFont="1" applyFill="1" applyAlignment="1" applyProtection="1">
      <alignment vertical="center"/>
      <protection locked="0"/>
    </xf>
    <xf numFmtId="0" fontId="208" fillId="73" borderId="0" xfId="0" applyFont="1" applyFill="1"/>
    <xf numFmtId="0" fontId="209" fillId="73" borderId="0" xfId="611" applyFont="1" applyFill="1" applyProtection="1">
      <protection locked="0"/>
    </xf>
    <xf numFmtId="0" fontId="122" fillId="73" borderId="0" xfId="30098" applyFont="1" applyFill="1" applyAlignment="1">
      <alignment horizontal="left" vertical="center" wrapText="1" indent="1"/>
    </xf>
    <xf numFmtId="0" fontId="122" fillId="73" borderId="0" xfId="30098" quotePrefix="1" applyFont="1" applyFill="1" applyAlignment="1">
      <alignment horizontal="left" vertical="center" wrapText="1" indent="1"/>
    </xf>
    <xf numFmtId="0" fontId="212" fillId="73" borderId="0" xfId="30098" applyFont="1" applyFill="1" applyAlignment="1">
      <alignment vertical="center" wrapText="1"/>
    </xf>
    <xf numFmtId="0" fontId="36" fillId="0" borderId="0" xfId="611"/>
    <xf numFmtId="0" fontId="203" fillId="73" borderId="0" xfId="30098" applyFont="1" applyFill="1" applyAlignment="1">
      <alignment vertical="center" wrapText="1"/>
    </xf>
    <xf numFmtId="0" fontId="209" fillId="73" borderId="0" xfId="611" applyFont="1" applyFill="1" applyAlignment="1">
      <alignment vertical="center"/>
    </xf>
    <xf numFmtId="164" fontId="0" fillId="0" borderId="0" xfId="0" applyNumberFormat="1" applyFill="1"/>
    <xf numFmtId="38" fontId="0" fillId="0" borderId="0" xfId="0" applyNumberFormat="1" applyFont="1" applyFill="1" applyProtection="1"/>
    <xf numFmtId="39" fontId="0" fillId="0" borderId="0" xfId="439" applyNumberFormat="1" applyFont="1" applyFill="1"/>
    <xf numFmtId="43" fontId="0" fillId="0" borderId="0" xfId="0" applyNumberFormat="1" applyFill="1"/>
    <xf numFmtId="14" fontId="0" fillId="0" borderId="0" xfId="0" applyNumberFormat="1" applyFont="1" applyProtection="1"/>
    <xf numFmtId="38" fontId="0" fillId="34" borderId="0" xfId="0" applyNumberFormat="1" applyFill="1" applyAlignment="1" applyProtection="1">
      <alignment vertical="center" wrapText="1"/>
      <protection locked="0"/>
    </xf>
    <xf numFmtId="0" fontId="0" fillId="34" borderId="25" xfId="0" applyNumberFormat="1" applyFont="1" applyFill="1" applyBorder="1" applyAlignment="1" applyProtection="1">
      <alignment horizontal="center" vertical="center" wrapText="1"/>
    </xf>
    <xf numFmtId="164" fontId="60" fillId="34" borderId="29" xfId="439" applyNumberFormat="1" applyFont="1" applyFill="1" applyBorder="1" applyAlignment="1" applyProtection="1">
      <alignment horizontal="center" vertical="center" wrapText="1"/>
    </xf>
    <xf numFmtId="0" fontId="148" fillId="26" borderId="0" xfId="30099" applyFont="1" applyFill="1" applyAlignment="1">
      <alignment horizontal="right" vertical="center" wrapText="1"/>
    </xf>
    <xf numFmtId="0" fontId="6" fillId="0" borderId="0" xfId="30099" applyFont="1" applyAlignment="1">
      <alignment horizontal="left" vertical="top"/>
    </xf>
    <xf numFmtId="0" fontId="214" fillId="0" borderId="0" xfId="30099" applyFont="1" applyAlignment="1">
      <alignment horizontal="left" vertical="top"/>
    </xf>
    <xf numFmtId="0" fontId="135" fillId="0" borderId="0" xfId="30099" applyFont="1" applyAlignment="1">
      <alignment horizontal="left" vertical="top" wrapText="1"/>
    </xf>
    <xf numFmtId="0" fontId="214" fillId="0" borderId="0" xfId="30099" applyFont="1" applyFill="1" applyAlignment="1">
      <alignment horizontal="left" vertical="top" wrapText="1"/>
    </xf>
    <xf numFmtId="0" fontId="136" fillId="0" borderId="0" xfId="30099" applyFont="1" applyAlignment="1">
      <alignment horizontal="left" vertical="top"/>
    </xf>
    <xf numFmtId="0" fontId="136" fillId="0" borderId="0" xfId="30099" applyFont="1" applyAlignment="1">
      <alignment horizontal="left" vertical="top" wrapText="1"/>
    </xf>
    <xf numFmtId="0" fontId="136" fillId="0" borderId="0" xfId="30099" applyFont="1" applyFill="1" applyAlignment="1">
      <alignment horizontal="left" vertical="top"/>
    </xf>
    <xf numFmtId="0" fontId="136" fillId="0" borderId="0" xfId="30099" applyFont="1" applyAlignment="1">
      <alignment vertical="top" wrapText="1"/>
    </xf>
    <xf numFmtId="0" fontId="136" fillId="0" borderId="0" xfId="30099" applyFont="1" applyFill="1" applyAlignment="1">
      <alignment vertical="top"/>
    </xf>
    <xf numFmtId="0" fontId="136" fillId="0" borderId="0" xfId="30099" applyFont="1" applyAlignment="1">
      <alignment vertical="top"/>
    </xf>
    <xf numFmtId="164" fontId="136" fillId="0" borderId="0" xfId="30099" applyNumberFormat="1" applyFont="1" applyAlignment="1">
      <alignment vertical="top"/>
    </xf>
    <xf numFmtId="14" fontId="136" fillId="0" borderId="0" xfId="30099" applyNumberFormat="1" applyFont="1" applyAlignment="1">
      <alignment horizontal="left" vertical="top"/>
    </xf>
    <xf numFmtId="164" fontId="136" fillId="0" borderId="0" xfId="30099" applyNumberFormat="1" applyFont="1" applyAlignment="1">
      <alignment horizontal="left" vertical="top"/>
    </xf>
    <xf numFmtId="0" fontId="136" fillId="0" borderId="0" xfId="30099" applyFont="1" applyAlignment="1">
      <alignment vertical="center" wrapText="1"/>
    </xf>
    <xf numFmtId="0" fontId="6" fillId="0" borderId="0" xfId="30099" applyFont="1" applyFill="1" applyAlignment="1">
      <alignment horizontal="left" vertical="top"/>
    </xf>
    <xf numFmtId="0" fontId="136" fillId="0" borderId="57" xfId="30099" applyFont="1" applyBorder="1" applyAlignment="1">
      <alignment horizontal="left" vertical="top"/>
    </xf>
    <xf numFmtId="0" fontId="136" fillId="0" borderId="71" xfId="30099" applyFont="1" applyBorder="1" applyAlignment="1">
      <alignment horizontal="left" vertical="top"/>
    </xf>
    <xf numFmtId="0" fontId="136" fillId="0" borderId="0" xfId="30099" applyFont="1" applyAlignment="1">
      <alignment horizontal="left"/>
    </xf>
    <xf numFmtId="0" fontId="136" fillId="0" borderId="0" xfId="30099" applyFont="1" applyAlignment="1">
      <alignment horizontal="left" wrapText="1"/>
    </xf>
    <xf numFmtId="0" fontId="136" fillId="0" borderId="0" xfId="30099" applyFont="1" applyFill="1" applyAlignment="1">
      <alignment horizontal="left" wrapText="1"/>
    </xf>
    <xf numFmtId="164" fontId="136" fillId="0" borderId="0" xfId="30099" applyNumberFormat="1" applyFont="1" applyFill="1" applyAlignment="1">
      <alignment horizontal="left" vertical="top"/>
    </xf>
    <xf numFmtId="0" fontId="136" fillId="0" borderId="0" xfId="30099" applyFont="1" applyFill="1" applyAlignment="1">
      <alignment horizontal="left"/>
    </xf>
    <xf numFmtId="0" fontId="136" fillId="0" borderId="15" xfId="30099" applyFont="1" applyFill="1" applyBorder="1" applyAlignment="1">
      <alignment horizontal="center" vertical="top" wrapText="1"/>
    </xf>
    <xf numFmtId="0" fontId="153" fillId="26" borderId="0" xfId="30099" applyFont="1" applyFill="1" applyAlignment="1">
      <alignment vertical="center"/>
    </xf>
    <xf numFmtId="0" fontId="157" fillId="26" borderId="0" xfId="30099" applyFont="1" applyFill="1" applyAlignment="1">
      <alignment horizontal="left" vertical="center" wrapText="1"/>
    </xf>
    <xf numFmtId="0" fontId="0" fillId="0" borderId="38" xfId="0" applyFont="1" applyBorder="1" applyAlignment="1">
      <alignment horizontal="left" wrapText="1"/>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40" fillId="0" borderId="13" xfId="0" applyFont="1" applyBorder="1" applyAlignment="1">
      <alignment horizontal="center"/>
    </xf>
    <xf numFmtId="0" fontId="40" fillId="0" borderId="16" xfId="0" applyFont="1" applyBorder="1" applyAlignment="1">
      <alignment horizontal="center"/>
    </xf>
    <xf numFmtId="0" fontId="40" fillId="0" borderId="11" xfId="0" applyFont="1" applyBorder="1" applyAlignment="1">
      <alignment horizontal="center"/>
    </xf>
    <xf numFmtId="0" fontId="61" fillId="74" borderId="113" xfId="0" applyFont="1" applyFill="1" applyBorder="1" applyAlignment="1">
      <alignment horizontal="center" vertical="center" wrapText="1"/>
    </xf>
    <xf numFmtId="0" fontId="131" fillId="78" borderId="13" xfId="30099" applyFont="1" applyFill="1" applyBorder="1" applyAlignment="1">
      <alignment horizontal="center" vertical="center" wrapText="1"/>
    </xf>
    <xf numFmtId="0" fontId="131" fillId="78" borderId="16" xfId="30099" applyFont="1" applyFill="1" applyBorder="1" applyAlignment="1">
      <alignment horizontal="center" vertical="center" wrapText="1"/>
    </xf>
    <xf numFmtId="0" fontId="131" fillId="78" borderId="11" xfId="30099" applyFont="1" applyFill="1" applyBorder="1" applyAlignment="1">
      <alignment horizontal="center" vertical="center" wrapText="1"/>
    </xf>
    <xf numFmtId="0" fontId="131" fillId="78" borderId="13" xfId="30099" applyFont="1" applyFill="1" applyBorder="1" applyAlignment="1">
      <alignment horizontal="center" vertical="top" wrapText="1"/>
    </xf>
    <xf numFmtId="0" fontId="131" fillId="78" borderId="16" xfId="30099" applyFont="1" applyFill="1" applyBorder="1" applyAlignment="1">
      <alignment horizontal="center" vertical="top" wrapText="1"/>
    </xf>
    <xf numFmtId="0" fontId="131" fillId="78" borderId="11" xfId="30099" applyFont="1" applyFill="1" applyBorder="1" applyAlignment="1">
      <alignment horizontal="center" vertical="top" wrapText="1"/>
    </xf>
    <xf numFmtId="164" fontId="133" fillId="79" borderId="13" xfId="30100" applyNumberFormat="1" applyFont="1" applyFill="1" applyBorder="1" applyAlignment="1">
      <alignment horizontal="center" vertical="center"/>
    </xf>
    <xf numFmtId="164" fontId="133" fillId="79" borderId="16" xfId="30100" applyNumberFormat="1" applyFont="1" applyFill="1" applyBorder="1" applyAlignment="1">
      <alignment horizontal="center" vertical="center"/>
    </xf>
    <xf numFmtId="164" fontId="133" fillId="79" borderId="11" xfId="30100" applyNumberFormat="1" applyFont="1" applyFill="1" applyBorder="1" applyAlignment="1">
      <alignment horizontal="center" vertical="center"/>
    </xf>
    <xf numFmtId="0" fontId="144" fillId="26" borderId="0" xfId="30099" applyFont="1" applyFill="1" applyAlignment="1">
      <alignment horizontal="left" vertical="center" wrapText="1"/>
    </xf>
    <xf numFmtId="0" fontId="130" fillId="0" borderId="67" xfId="30099" applyFont="1" applyBorder="1" applyAlignment="1" applyProtection="1">
      <alignment horizontal="left" vertical="center"/>
      <protection locked="0"/>
    </xf>
    <xf numFmtId="0" fontId="130" fillId="0" borderId="68" xfId="30099" applyFont="1" applyBorder="1" applyAlignment="1" applyProtection="1">
      <alignment horizontal="left" vertical="center"/>
      <protection locked="0"/>
    </xf>
    <xf numFmtId="0" fontId="130" fillId="0" borderId="69" xfId="30099" applyFont="1" applyBorder="1" applyAlignment="1" applyProtection="1">
      <alignment horizontal="left" vertical="center"/>
      <protection locked="0"/>
    </xf>
    <xf numFmtId="0" fontId="130" fillId="26" borderId="0" xfId="30099" applyFont="1" applyFill="1" applyAlignment="1">
      <alignment horizontal="left" vertical="center" wrapText="1"/>
    </xf>
    <xf numFmtId="0" fontId="120" fillId="0" borderId="67" xfId="29597" applyFill="1" applyBorder="1" applyAlignment="1" applyProtection="1">
      <alignment horizontal="left" vertical="center"/>
      <protection locked="0"/>
    </xf>
    <xf numFmtId="0" fontId="148" fillId="0" borderId="67" xfId="30099" applyFont="1" applyBorder="1" applyAlignment="1" applyProtection="1">
      <alignment horizontal="left" vertical="center"/>
      <protection locked="0"/>
    </xf>
    <xf numFmtId="0" fontId="148" fillId="0" borderId="68" xfId="30099" applyFont="1" applyBorder="1" applyAlignment="1" applyProtection="1">
      <alignment horizontal="left" vertical="center"/>
      <protection locked="0"/>
    </xf>
    <xf numFmtId="0" fontId="148" fillId="0" borderId="69" xfId="30099" applyFont="1" applyBorder="1" applyAlignment="1" applyProtection="1">
      <alignment horizontal="left" vertical="center"/>
      <protection locked="0"/>
    </xf>
    <xf numFmtId="0" fontId="130" fillId="0" borderId="13" xfId="30099" applyFont="1" applyBorder="1" applyAlignment="1" applyProtection="1">
      <alignment horizontal="left" vertical="center"/>
      <protection locked="0"/>
    </xf>
    <xf numFmtId="0" fontId="130" fillId="0" borderId="11" xfId="30099" applyFont="1" applyBorder="1" applyAlignment="1" applyProtection="1">
      <alignment horizontal="left" vertical="center"/>
      <protection locked="0"/>
    </xf>
    <xf numFmtId="0" fontId="147" fillId="26" borderId="0" xfId="30099" applyFont="1" applyFill="1" applyAlignment="1">
      <alignment horizontal="center" vertical="center" wrapText="1"/>
    </xf>
    <xf numFmtId="0" fontId="142" fillId="26" borderId="15" xfId="30099" applyFont="1" applyFill="1" applyBorder="1" applyAlignment="1">
      <alignment horizontal="center" vertical="top"/>
    </xf>
    <xf numFmtId="0" fontId="142" fillId="26" borderId="0" xfId="30099" applyFont="1" applyFill="1" applyAlignment="1">
      <alignment horizontal="center" vertical="top"/>
    </xf>
    <xf numFmtId="0" fontId="142" fillId="26" borderId="0" xfId="30099" applyFont="1" applyFill="1" applyAlignment="1">
      <alignment horizontal="center" vertical="top" wrapText="1"/>
    </xf>
    <xf numFmtId="0" fontId="130" fillId="26" borderId="0" xfId="30099" applyFont="1" applyFill="1" applyAlignment="1">
      <alignment horizontal="left" wrapText="1"/>
    </xf>
    <xf numFmtId="0" fontId="130" fillId="26" borderId="72" xfId="30099" applyFont="1" applyFill="1" applyBorder="1" applyAlignment="1">
      <alignment horizontal="left" wrapText="1"/>
    </xf>
    <xf numFmtId="0" fontId="136" fillId="0" borderId="0" xfId="30099" applyFont="1" applyFill="1" applyAlignment="1">
      <alignment horizontal="left" vertical="top" wrapText="1"/>
    </xf>
    <xf numFmtId="0" fontId="135" fillId="78" borderId="15" xfId="30099" applyFont="1" applyFill="1" applyBorder="1" applyAlignment="1">
      <alignment horizontal="left" wrapText="1"/>
    </xf>
    <xf numFmtId="0" fontId="135" fillId="78" borderId="0" xfId="30099" applyFont="1" applyFill="1" applyAlignment="1">
      <alignment horizontal="left" wrapText="1"/>
    </xf>
    <xf numFmtId="0" fontId="135" fillId="78" borderId="60" xfId="30099" applyFont="1" applyFill="1" applyBorder="1" applyAlignment="1">
      <alignment horizontal="left" wrapText="1"/>
    </xf>
    <xf numFmtId="0" fontId="6" fillId="0" borderId="0" xfId="30099" applyFont="1" applyFill="1" applyAlignment="1">
      <alignment horizontal="center" vertical="top" wrapText="1"/>
    </xf>
    <xf numFmtId="0" fontId="6" fillId="0" borderId="15" xfId="30099" applyFont="1" applyFill="1" applyBorder="1" applyAlignment="1">
      <alignment horizontal="center" vertical="top" wrapText="1"/>
    </xf>
    <xf numFmtId="0" fontId="130" fillId="26" borderId="0" xfId="30099" applyFont="1" applyFill="1" applyAlignment="1">
      <alignment horizontal="left" vertical="top" wrapText="1"/>
    </xf>
    <xf numFmtId="0" fontId="130" fillId="26" borderId="72" xfId="30099" applyFont="1" applyFill="1" applyBorder="1" applyAlignment="1">
      <alignment horizontal="left" vertical="center" wrapText="1"/>
    </xf>
    <xf numFmtId="0" fontId="147" fillId="26" borderId="41" xfId="30099" applyFont="1" applyFill="1" applyBorder="1" applyAlignment="1">
      <alignment horizontal="center" vertical="center" wrapText="1"/>
    </xf>
    <xf numFmtId="164" fontId="137" fillId="79" borderId="13" xfId="30100" applyNumberFormat="1" applyFont="1" applyFill="1" applyBorder="1" applyAlignment="1">
      <alignment horizontal="center" vertical="center" wrapText="1"/>
    </xf>
    <xf numFmtId="164" fontId="137" fillId="79" borderId="16" xfId="30100" applyNumberFormat="1" applyFont="1" applyFill="1" applyBorder="1" applyAlignment="1">
      <alignment horizontal="center" vertical="center" wrapText="1"/>
    </xf>
    <xf numFmtId="164" fontId="137" fillId="79" borderId="11" xfId="30100" applyNumberFormat="1" applyFont="1" applyFill="1" applyBorder="1" applyAlignment="1">
      <alignment horizontal="center" vertical="center" wrapText="1"/>
    </xf>
    <xf numFmtId="0" fontId="130" fillId="26" borderId="60" xfId="30099" applyFont="1" applyFill="1" applyBorder="1" applyAlignment="1">
      <alignment horizontal="left" vertical="center" wrapText="1"/>
    </xf>
    <xf numFmtId="0" fontId="136" fillId="26" borderId="0" xfId="30099" applyFont="1" applyFill="1" applyAlignment="1">
      <alignment horizontal="left" wrapText="1"/>
    </xf>
    <xf numFmtId="0" fontId="136" fillId="26" borderId="60" xfId="30099" applyFont="1" applyFill="1" applyBorder="1" applyAlignment="1">
      <alignment horizontal="left" wrapText="1"/>
    </xf>
    <xf numFmtId="0" fontId="136" fillId="26" borderId="0" xfId="30099" applyFont="1" applyFill="1" applyBorder="1" applyAlignment="1">
      <alignment horizontal="left" wrapText="1"/>
    </xf>
    <xf numFmtId="0" fontId="151" fillId="26" borderId="0" xfId="30099" applyFont="1" applyFill="1" applyAlignment="1">
      <alignment horizontal="right" vertical="center" wrapText="1"/>
    </xf>
    <xf numFmtId="0" fontId="142" fillId="26" borderId="0" xfId="30099" applyFont="1" applyFill="1" applyAlignment="1">
      <alignment horizontal="left" vertical="center" wrapText="1"/>
    </xf>
    <xf numFmtId="0" fontId="197" fillId="0" borderId="40" xfId="0" applyFont="1" applyBorder="1" applyAlignment="1">
      <alignment horizontal="center" vertical="center"/>
    </xf>
    <xf numFmtId="0" fontId="197" fillId="0" borderId="41" xfId="0" applyFont="1" applyBorder="1" applyAlignment="1">
      <alignment horizontal="center" vertical="center"/>
    </xf>
    <xf numFmtId="0" fontId="40" fillId="78" borderId="57" xfId="0" applyFont="1" applyFill="1" applyBorder="1" applyAlignment="1">
      <alignment horizontal="left" wrapText="1"/>
    </xf>
    <xf numFmtId="0" fontId="164" fillId="73" borderId="39" xfId="0" applyFont="1" applyFill="1" applyBorder="1" applyAlignment="1">
      <alignment horizontal="center" vertical="center" wrapText="1"/>
    </xf>
    <xf numFmtId="0" fontId="164" fillId="73" borderId="60" xfId="0" applyFont="1" applyFill="1" applyBorder="1" applyAlignment="1">
      <alignment horizontal="center" vertical="center" wrapText="1"/>
    </xf>
    <xf numFmtId="0" fontId="164" fillId="73" borderId="123" xfId="0" applyFont="1" applyFill="1" applyBorder="1" applyAlignment="1">
      <alignment horizontal="center" vertical="center" wrapText="1"/>
    </xf>
    <xf numFmtId="0" fontId="164" fillId="73" borderId="73" xfId="0" applyFont="1" applyFill="1" applyBorder="1" applyAlignment="1">
      <alignment horizontal="center" vertical="center" wrapText="1"/>
    </xf>
    <xf numFmtId="0" fontId="40" fillId="78" borderId="71" xfId="0" applyFont="1" applyFill="1" applyBorder="1" applyAlignment="1">
      <alignment horizontal="center" vertical="center" wrapText="1"/>
    </xf>
    <xf numFmtId="0" fontId="40" fillId="78" borderId="123" xfId="0" applyFont="1" applyFill="1" applyBorder="1" applyAlignment="1">
      <alignment horizontal="center" vertical="center" wrapText="1"/>
    </xf>
    <xf numFmtId="0" fontId="40" fillId="78" borderId="73" xfId="0" applyFont="1" applyFill="1" applyBorder="1" applyAlignment="1">
      <alignment horizontal="center" vertical="center" wrapText="1"/>
    </xf>
    <xf numFmtId="0" fontId="0" fillId="0" borderId="71" xfId="0" applyFill="1" applyBorder="1" applyAlignment="1">
      <alignment horizontal="center" vertical="center" wrapText="1"/>
    </xf>
    <xf numFmtId="0" fontId="0" fillId="0" borderId="123" xfId="0" applyFill="1" applyBorder="1" applyAlignment="1">
      <alignment horizontal="center" vertical="center" wrapText="1"/>
    </xf>
    <xf numFmtId="0" fontId="0" fillId="0" borderId="73" xfId="0" applyFill="1" applyBorder="1" applyAlignment="1">
      <alignment horizontal="center" vertical="center" wrapText="1"/>
    </xf>
    <xf numFmtId="0" fontId="40" fillId="78" borderId="13" xfId="0" applyFont="1" applyFill="1" applyBorder="1" applyAlignment="1">
      <alignment horizontal="left" wrapText="1"/>
    </xf>
    <xf numFmtId="0" fontId="40" fillId="78" borderId="16" xfId="0" applyFont="1" applyFill="1" applyBorder="1" applyAlignment="1">
      <alignment horizontal="left" wrapText="1"/>
    </xf>
    <xf numFmtId="0" fontId="40" fillId="78" borderId="11" xfId="0" applyFont="1" applyFill="1" applyBorder="1" applyAlignment="1">
      <alignment horizontal="left" wrapText="1"/>
    </xf>
    <xf numFmtId="0" fontId="40" fillId="78" borderId="13" xfId="0" applyFont="1" applyFill="1" applyBorder="1" applyAlignment="1">
      <alignment horizontal="center" wrapText="1"/>
    </xf>
    <xf numFmtId="0" fontId="40" fillId="78" borderId="16" xfId="0" applyFont="1" applyFill="1" applyBorder="1" applyAlignment="1">
      <alignment horizontal="center" wrapText="1"/>
    </xf>
    <xf numFmtId="0" fontId="40" fillId="78" borderId="11" xfId="0" applyFont="1" applyFill="1" applyBorder="1" applyAlignment="1">
      <alignment horizontal="center" wrapText="1"/>
    </xf>
    <xf numFmtId="0" fontId="0" fillId="78" borderId="13" xfId="0" applyFill="1" applyBorder="1" applyAlignment="1">
      <alignment horizontal="center"/>
    </xf>
    <xf numFmtId="0" fontId="0" fillId="78" borderId="16" xfId="0" applyFill="1" applyBorder="1" applyAlignment="1">
      <alignment horizontal="center"/>
    </xf>
    <xf numFmtId="0" fontId="0" fillId="78" borderId="11" xfId="0" applyFill="1" applyBorder="1" applyAlignment="1">
      <alignment horizontal="center"/>
    </xf>
    <xf numFmtId="0" fontId="40" fillId="78" borderId="57" xfId="0" applyFont="1" applyFill="1" applyBorder="1" applyAlignment="1">
      <alignment horizontal="left" vertical="center" wrapText="1"/>
    </xf>
    <xf numFmtId="0" fontId="61" fillId="78" borderId="13" xfId="0" applyFont="1" applyFill="1" applyBorder="1" applyAlignment="1">
      <alignment horizontal="left" wrapText="1"/>
    </xf>
    <xf numFmtId="0" fontId="61" fillId="78" borderId="16" xfId="0" applyFont="1" applyFill="1" applyBorder="1" applyAlignment="1">
      <alignment horizontal="left" wrapText="1"/>
    </xf>
    <xf numFmtId="0" fontId="61" fillId="78" borderId="11" xfId="0" applyFont="1" applyFill="1" applyBorder="1" applyAlignment="1">
      <alignment horizontal="left" wrapText="1"/>
    </xf>
    <xf numFmtId="0" fontId="61" fillId="78" borderId="129" xfId="0" applyFont="1" applyFill="1" applyBorder="1" applyAlignment="1">
      <alignment horizontal="left" wrapText="1"/>
    </xf>
    <xf numFmtId="0" fontId="61" fillId="0" borderId="37" xfId="0" applyFont="1" applyBorder="1" applyAlignment="1">
      <alignment horizontal="center" wrapText="1"/>
    </xf>
    <xf numFmtId="0" fontId="61" fillId="0" borderId="38" xfId="0" applyFont="1" applyBorder="1" applyAlignment="1">
      <alignment horizontal="center" wrapText="1"/>
    </xf>
    <xf numFmtId="0" fontId="61" fillId="0" borderId="39" xfId="0" applyFont="1" applyBorder="1" applyAlignment="1">
      <alignment horizontal="center" wrapText="1"/>
    </xf>
    <xf numFmtId="0" fontId="61" fillId="0" borderId="15" xfId="0" applyFont="1" applyBorder="1" applyAlignment="1">
      <alignment horizontal="center" wrapText="1"/>
    </xf>
    <xf numFmtId="0" fontId="61" fillId="0" borderId="0" xfId="0" applyFont="1" applyAlignment="1">
      <alignment horizontal="center" wrapText="1"/>
    </xf>
    <xf numFmtId="0" fontId="61" fillId="0" borderId="60" xfId="0" applyFont="1" applyBorder="1" applyAlignment="1">
      <alignment horizontal="center" wrapText="1"/>
    </xf>
    <xf numFmtId="0" fontId="38" fillId="78" borderId="71" xfId="0" applyFont="1" applyFill="1" applyBorder="1" applyAlignment="1">
      <alignment horizontal="left" vertical="center" wrapText="1"/>
    </xf>
    <xf numFmtId="0" fontId="38" fillId="78" borderId="123" xfId="0" applyFont="1" applyFill="1" applyBorder="1" applyAlignment="1">
      <alignment horizontal="left" vertical="center" wrapText="1"/>
    </xf>
    <xf numFmtId="0" fontId="38" fillId="78" borderId="73" xfId="0" applyFont="1" applyFill="1" applyBorder="1" applyAlignment="1">
      <alignment horizontal="left" vertical="center" wrapText="1"/>
    </xf>
    <xf numFmtId="0" fontId="61" fillId="78" borderId="57" xfId="0" applyFont="1" applyFill="1" applyBorder="1" applyAlignment="1">
      <alignment horizontal="left" wrapText="1"/>
    </xf>
    <xf numFmtId="0" fontId="40" fillId="0" borderId="13" xfId="0" applyFont="1" applyBorder="1" applyAlignment="1">
      <alignment horizontal="left" wrapText="1"/>
    </xf>
    <xf numFmtId="0" fontId="40" fillId="0" borderId="16" xfId="0" applyFont="1" applyBorder="1" applyAlignment="1">
      <alignment horizontal="left" wrapText="1"/>
    </xf>
    <xf numFmtId="0" fontId="40" fillId="0" borderId="11" xfId="0" applyFont="1" applyBorder="1" applyAlignment="1">
      <alignment horizontal="left" wrapText="1"/>
    </xf>
    <xf numFmtId="0" fontId="40" fillId="0" borderId="13" xfId="0" applyFont="1" applyBorder="1" applyAlignment="1">
      <alignment horizontal="center" wrapText="1"/>
    </xf>
    <xf numFmtId="0" fontId="40" fillId="0" borderId="16" xfId="0" applyFont="1" applyBorder="1" applyAlignment="1">
      <alignment horizontal="center" wrapText="1"/>
    </xf>
    <xf numFmtId="0" fontId="40" fillId="0" borderId="11" xfId="0" applyFont="1" applyBorder="1" applyAlignment="1">
      <alignment horizontal="center" wrapText="1"/>
    </xf>
    <xf numFmtId="0" fontId="197" fillId="0" borderId="37" xfId="0" applyFont="1" applyBorder="1" applyAlignment="1">
      <alignment horizontal="center" vertical="center"/>
    </xf>
    <xf numFmtId="0" fontId="197" fillId="0" borderId="38" xfId="0" applyFont="1" applyBorder="1" applyAlignment="1">
      <alignment horizontal="center" vertical="center"/>
    </xf>
    <xf numFmtId="0" fontId="197" fillId="0" borderId="39" xfId="0" applyFont="1" applyBorder="1" applyAlignment="1">
      <alignment horizontal="center" vertical="center"/>
    </xf>
    <xf numFmtId="0" fontId="61" fillId="34" borderId="13" xfId="0" applyFont="1" applyFill="1" applyBorder="1" applyAlignment="1">
      <alignment horizontal="center" vertical="center" wrapText="1"/>
    </xf>
    <xf numFmtId="0" fontId="61" fillId="34" borderId="16" xfId="0" applyFont="1" applyFill="1" applyBorder="1" applyAlignment="1">
      <alignment horizontal="center" vertical="center" wrapText="1"/>
    </xf>
    <xf numFmtId="0" fontId="61" fillId="34" borderId="11" xfId="0" applyFont="1" applyFill="1" applyBorder="1" applyAlignment="1">
      <alignment horizontal="center" vertical="center" wrapText="1"/>
    </xf>
    <xf numFmtId="0" fontId="0" fillId="78" borderId="17" xfId="0" applyFill="1" applyBorder="1" applyAlignment="1" applyProtection="1">
      <alignment horizontal="center"/>
    </xf>
    <xf numFmtId="0" fontId="50" fillId="0" borderId="10" xfId="0" applyFont="1" applyBorder="1" applyAlignment="1">
      <alignment horizontal="center" vertical="center" wrapText="1"/>
    </xf>
    <xf numFmtId="0" fontId="40" fillId="0" borderId="22" xfId="0" applyFont="1" applyBorder="1" applyAlignment="1">
      <alignment horizontal="center" vertical="center"/>
    </xf>
    <xf numFmtId="0" fontId="40" fillId="0" borderId="0" xfId="0" applyFont="1" applyAlignment="1">
      <alignment horizontal="center" vertical="center"/>
    </xf>
    <xf numFmtId="0" fontId="40" fillId="0" borderId="135" xfId="0" applyFont="1" applyBorder="1" applyAlignment="1">
      <alignment horizontal="center" vertical="center"/>
    </xf>
    <xf numFmtId="0" fontId="40" fillId="0" borderId="132" xfId="0" applyFont="1" applyBorder="1" applyAlignment="1">
      <alignment horizontal="center" vertical="center"/>
    </xf>
    <xf numFmtId="0" fontId="50" fillId="0" borderId="85" xfId="0" applyFont="1" applyBorder="1" applyAlignment="1">
      <alignment horizontal="center" vertical="center"/>
    </xf>
    <xf numFmtId="0" fontId="40" fillId="78" borderId="108" xfId="0" applyFont="1" applyFill="1" applyBorder="1" applyAlignment="1">
      <alignment horizontal="left" wrapText="1"/>
    </xf>
    <xf numFmtId="0" fontId="40" fillId="78" borderId="104" xfId="0" applyFont="1" applyFill="1" applyBorder="1" applyAlignment="1">
      <alignment horizontal="left" wrapText="1"/>
    </xf>
    <xf numFmtId="0" fontId="0" fillId="78" borderId="80" xfId="0" applyFont="1" applyFill="1" applyBorder="1" applyAlignment="1">
      <alignment horizontal="center"/>
    </xf>
    <xf numFmtId="0" fontId="0" fillId="78" borderId="81" xfId="0" applyFont="1" applyFill="1" applyBorder="1" applyAlignment="1">
      <alignment horizontal="center"/>
    </xf>
    <xf numFmtId="0" fontId="50" fillId="73" borderId="10" xfId="0" applyFont="1" applyFill="1" applyBorder="1" applyAlignment="1">
      <alignment horizontal="center" vertical="center" wrapText="1"/>
    </xf>
    <xf numFmtId="0" fontId="47" fillId="73" borderId="10" xfId="0" applyFont="1" applyFill="1" applyBorder="1" applyAlignment="1">
      <alignment horizontal="center" vertical="center" wrapText="1"/>
    </xf>
    <xf numFmtId="0" fontId="47" fillId="73" borderId="85" xfId="0" applyFont="1" applyFill="1" applyBorder="1" applyAlignment="1">
      <alignment horizontal="center" vertical="center" wrapText="1"/>
    </xf>
    <xf numFmtId="0" fontId="0" fillId="73" borderId="10" xfId="0" applyFont="1" applyFill="1" applyBorder="1" applyAlignment="1">
      <alignment horizontal="center" vertical="center"/>
    </xf>
    <xf numFmtId="0" fontId="164" fillId="73" borderId="75" xfId="0" applyFont="1" applyFill="1" applyBorder="1" applyAlignment="1">
      <alignment horizontal="center" vertical="center" wrapText="1"/>
    </xf>
    <xf numFmtId="0" fontId="164" fillId="73" borderId="0" xfId="0" applyFont="1" applyFill="1" applyBorder="1" applyAlignment="1">
      <alignment horizontal="center" vertical="center" wrapText="1"/>
    </xf>
    <xf numFmtId="0" fontId="165" fillId="73" borderId="109" xfId="0" applyFont="1" applyFill="1" applyBorder="1" applyAlignment="1">
      <alignment horizontal="center" vertical="center" wrapText="1"/>
    </xf>
    <xf numFmtId="0" fontId="165" fillId="73" borderId="110" xfId="0" applyFont="1" applyFill="1" applyBorder="1" applyAlignment="1">
      <alignment horizontal="center" vertical="center" wrapText="1"/>
    </xf>
    <xf numFmtId="0" fontId="54" fillId="0" borderId="0" xfId="682" applyFont="1" applyAlignment="1">
      <alignment horizontal="left" wrapText="1"/>
    </xf>
    <xf numFmtId="0" fontId="173" fillId="27" borderId="0" xfId="682" applyFont="1" applyFill="1" applyAlignment="1">
      <alignment horizontal="left" vertical="center" wrapText="1"/>
    </xf>
    <xf numFmtId="0" fontId="170" fillId="0" borderId="0" xfId="682" applyFont="1" applyAlignment="1">
      <alignment horizontal="center" vertical="center"/>
    </xf>
    <xf numFmtId="0" fontId="40" fillId="27" borderId="0" xfId="682" applyFont="1" applyFill="1" applyAlignment="1">
      <alignment horizontal="left" wrapText="1"/>
    </xf>
    <xf numFmtId="0" fontId="46" fillId="0" borderId="0" xfId="30099" applyFont="1" applyAlignment="1">
      <alignment horizontal="left" vertical="top" wrapText="1" indent="4"/>
    </xf>
    <xf numFmtId="0" fontId="46" fillId="0" borderId="0" xfId="30099" applyFont="1" applyAlignment="1">
      <alignment horizontal="center" vertical="top" wrapText="1"/>
    </xf>
    <xf numFmtId="0" fontId="46" fillId="0" borderId="0" xfId="30099" applyFont="1" applyAlignment="1">
      <alignment horizontal="left" vertical="top" wrapText="1" indent="8"/>
    </xf>
    <xf numFmtId="0" fontId="46" fillId="0" borderId="0" xfId="30099" applyFont="1" applyAlignment="1">
      <alignment horizontal="left" vertical="center" wrapText="1" indent="1"/>
    </xf>
    <xf numFmtId="0" fontId="46" fillId="0" borderId="0" xfId="30099" applyFont="1" applyAlignment="1">
      <alignment horizontal="left" vertical="top" wrapText="1" indent="1"/>
    </xf>
    <xf numFmtId="0" fontId="46" fillId="0" borderId="0" xfId="30099" applyFont="1" applyAlignment="1">
      <alignment horizontal="left" vertical="top" wrapText="1" indent="5"/>
    </xf>
    <xf numFmtId="0" fontId="46" fillId="0" borderId="37" xfId="26000" applyFont="1" applyBorder="1" applyAlignment="1" applyProtection="1">
      <alignment horizontal="left" vertical="top" wrapText="1"/>
    </xf>
    <xf numFmtId="0" fontId="46" fillId="0" borderId="38" xfId="26000" applyFont="1" applyBorder="1" applyAlignment="1" applyProtection="1">
      <alignment horizontal="left" vertical="top" wrapText="1"/>
    </xf>
    <xf numFmtId="0" fontId="46" fillId="0" borderId="39" xfId="26000" applyFont="1" applyBorder="1" applyAlignment="1" applyProtection="1">
      <alignment horizontal="left" vertical="top" wrapText="1"/>
    </xf>
    <xf numFmtId="0" fontId="46" fillId="0" borderId="15" xfId="26000" applyFont="1" applyBorder="1" applyAlignment="1" applyProtection="1">
      <alignment horizontal="left" vertical="top" wrapText="1"/>
    </xf>
    <xf numFmtId="0" fontId="46" fillId="0" borderId="0" xfId="26000" applyFont="1" applyAlignment="1" applyProtection="1">
      <alignment horizontal="left" vertical="top" wrapText="1"/>
    </xf>
    <xf numFmtId="0" fontId="46" fillId="0" borderId="60" xfId="26000" applyFont="1" applyBorder="1" applyAlignment="1" applyProtection="1">
      <alignment horizontal="left" vertical="top" wrapText="1"/>
    </xf>
    <xf numFmtId="0" fontId="46" fillId="0" borderId="40" xfId="26000" applyFont="1" applyBorder="1" applyAlignment="1" applyProtection="1">
      <alignment horizontal="left" vertical="top" wrapText="1"/>
    </xf>
    <xf numFmtId="0" fontId="46" fillId="0" borderId="41" xfId="26000" applyFont="1" applyBorder="1" applyAlignment="1" applyProtection="1">
      <alignment horizontal="left" vertical="top" wrapText="1"/>
    </xf>
    <xf numFmtId="0" fontId="46" fillId="0" borderId="42" xfId="26000" applyFont="1" applyBorder="1" applyAlignment="1" applyProtection="1">
      <alignment horizontal="left" vertical="top" wrapText="1"/>
    </xf>
    <xf numFmtId="0" fontId="61" fillId="0" borderId="0" xfId="26000" applyFont="1" applyAlignment="1" applyProtection="1">
      <alignment horizontal="center" vertical="top"/>
    </xf>
    <xf numFmtId="0" fontId="61" fillId="0" borderId="0" xfId="26000" applyFont="1" applyAlignment="1" applyProtection="1">
      <alignment horizontal="center" vertical="top" wrapText="1"/>
    </xf>
    <xf numFmtId="0" fontId="167" fillId="0" borderId="74" xfId="26000" applyFont="1" applyBorder="1" applyAlignment="1" applyProtection="1">
      <alignment horizontal="left" vertical="top" wrapText="1"/>
    </xf>
    <xf numFmtId="0" fontId="167" fillId="0" borderId="75" xfId="26000" applyFont="1" applyBorder="1" applyAlignment="1" applyProtection="1">
      <alignment horizontal="left" vertical="top" wrapText="1"/>
    </xf>
    <xf numFmtId="0" fontId="167" fillId="0" borderId="76" xfId="26000" applyFont="1" applyBorder="1" applyAlignment="1" applyProtection="1">
      <alignment horizontal="left" vertical="top" wrapText="1"/>
    </xf>
    <xf numFmtId="0" fontId="167" fillId="0" borderId="22" xfId="26000" applyFont="1" applyBorder="1" applyAlignment="1" applyProtection="1">
      <alignment horizontal="left" vertical="top" wrapText="1"/>
    </xf>
    <xf numFmtId="0" fontId="167" fillId="0" borderId="0" xfId="26000" applyFont="1" applyAlignment="1" applyProtection="1">
      <alignment horizontal="left" vertical="top" wrapText="1"/>
    </xf>
    <xf numFmtId="0" fontId="167" fillId="0" borderId="56" xfId="26000" applyFont="1" applyBorder="1" applyAlignment="1" applyProtection="1">
      <alignment horizontal="left" vertical="top" wrapText="1"/>
    </xf>
    <xf numFmtId="0" fontId="167" fillId="0" borderId="77" xfId="26000" applyFont="1" applyBorder="1" applyAlignment="1" applyProtection="1">
      <alignment horizontal="left" vertical="top" wrapText="1"/>
    </xf>
    <xf numFmtId="0" fontId="167" fillId="0" borderId="17" xfId="26000" applyFont="1" applyBorder="1" applyAlignment="1" applyProtection="1">
      <alignment horizontal="left" vertical="top" wrapText="1"/>
    </xf>
    <xf numFmtId="0" fontId="167" fillId="0" borderId="78" xfId="26000" applyFont="1" applyBorder="1" applyAlignment="1" applyProtection="1">
      <alignment horizontal="left" vertical="top" wrapText="1"/>
    </xf>
    <xf numFmtId="0" fontId="61" fillId="0" borderId="41" xfId="26000" applyFont="1" applyBorder="1" applyAlignment="1" applyProtection="1">
      <alignment horizontal="left"/>
    </xf>
  </cellXfs>
  <cellStyles count="31722">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3" xfId="551" xr:uid="{00000000-0005-0000-0000-000048030000}"/>
    <cellStyle name="Currency 3 10" xfId="30620" xr:uid="{CC98C09A-FB90-4F09-8713-CE67BE1C4FA6}"/>
    <cellStyle name="Currency 3 11" xfId="30918" xr:uid="{AC79C766-96F4-4BB0-9D53-CAD075CD5FB9}"/>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5" xfId="30098" xr:uid="{07506169-A6FD-44A0-8C52-1A1EF451F172}"/>
    <cellStyle name="Normal 26" xfId="30103" xr:uid="{7027CCDA-B9FD-43DE-A40A-182DF76F28F4}"/>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5" formatCode=";;;"/>
    </dxf>
    <dxf>
      <numFmt numFmtId="185" formatCode=";;;"/>
    </dxf>
    <dxf>
      <numFmt numFmtId="185" formatCode=";;;"/>
    </dxf>
    <dxf>
      <numFmt numFmtId="185" formatCode=";;;"/>
    </dxf>
    <dxf>
      <numFmt numFmtId="185"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5050"/>
        </patternFill>
      </fill>
    </dxf>
    <dxf>
      <fill>
        <patternFill>
          <bgColor rgb="FFFF5050"/>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37"/>
      <tableStyleElement type="headerRow" dxfId="136"/>
      <tableStyleElement type="firstRowStripe" dxfId="135"/>
    </tableStyle>
  </tableStyles>
  <colors>
    <mruColors>
      <color rgb="FFFCCCE1"/>
      <color rgb="FFF7EAE9"/>
      <color rgb="FFCCFFFF"/>
      <color rgb="FFFFFFCC"/>
      <color rgb="FFCCFF66"/>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0FB8-451E-A31F-8106E5059BFB}"/>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0FB8-451E-A31F-8106E5059BFB}"/>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0FB8-451E-A31F-8106E5059BFB}"/>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layout>
        <c:manualLayout>
          <c:xMode val="edge"/>
          <c:yMode val="edge"/>
          <c:x val="0.27314075943617855"/>
          <c:y val="8.035367889975679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#'!$B$11</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#'!$B$12</c:f>
              <c:numCache>
                <c:formatCode>0.00</c:formatCode>
                <c:ptCount val="1"/>
                <c:pt idx="0">
                  <c:v>#N/A</c:v>
                </c:pt>
              </c:numCache>
            </c:numRef>
          </c:val>
          <c:extLst>
            <c:ext xmlns:c16="http://schemas.microsoft.com/office/drawing/2014/chart" uri="{C3380CC4-5D6E-409C-BE32-E72D297353CC}">
              <c16:uniqueId val="{00000000-EC99-4B84-819B-5FA53B597976}"/>
            </c:ext>
          </c:extLst>
        </c:ser>
        <c:ser>
          <c:idx val="1"/>
          <c:order val="1"/>
          <c:tx>
            <c:strRef>
              <c:f>'PI series #'!$C$11</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#'!$C$12</c:f>
              <c:numCache>
                <c:formatCode>0.00</c:formatCode>
                <c:ptCount val="1"/>
                <c:pt idx="0">
                  <c:v>#N/A</c:v>
                </c:pt>
              </c:numCache>
            </c:numRef>
          </c:val>
          <c:extLst>
            <c:ext xmlns:c16="http://schemas.microsoft.com/office/drawing/2014/chart" uri="{C3380CC4-5D6E-409C-BE32-E72D297353CC}">
              <c16:uniqueId val="{00000001-EC99-4B84-819B-5FA53B597976}"/>
            </c:ext>
          </c:extLst>
        </c:ser>
        <c:ser>
          <c:idx val="2"/>
          <c:order val="2"/>
          <c:tx>
            <c:strRef>
              <c:f>'PI series #'!$D$11</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#'!$D$12</c:f>
              <c:numCache>
                <c:formatCode>0.00</c:formatCode>
                <c:ptCount val="1"/>
                <c:pt idx="0">
                  <c:v>#N/A</c:v>
                </c:pt>
              </c:numCache>
            </c:numRef>
          </c:val>
          <c:extLst>
            <c:ext xmlns:c16="http://schemas.microsoft.com/office/drawing/2014/chart" uri="{C3380CC4-5D6E-409C-BE32-E72D297353CC}">
              <c16:uniqueId val="{00000002-EC99-4B84-819B-5FA53B597976}"/>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layout>
        <c:manualLayout>
          <c:xMode val="edge"/>
          <c:yMode val="edge"/>
          <c:x val="0.37882602401356363"/>
          <c:y val="0.89314561268280834"/>
          <c:w val="0.24234779045462701"/>
          <c:h val="0.1014280294031689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layout>
        <c:manualLayout>
          <c:xMode val="edge"/>
          <c:yMode val="edge"/>
          <c:x val="0.38390997231415752"/>
          <c:y val="8.571773700680382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#'!$B$17</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#'!$B$18</c:f>
              <c:numCache>
                <c:formatCode>0.00</c:formatCode>
                <c:ptCount val="1"/>
                <c:pt idx="0">
                  <c:v>#N/A</c:v>
                </c:pt>
              </c:numCache>
            </c:numRef>
          </c:val>
          <c:extLst>
            <c:ext xmlns:c16="http://schemas.microsoft.com/office/drawing/2014/chart" uri="{C3380CC4-5D6E-409C-BE32-E72D297353CC}">
              <c16:uniqueId val="{00000000-A6EC-4DCA-A4FF-DAB01969D3CA}"/>
            </c:ext>
          </c:extLst>
        </c:ser>
        <c:ser>
          <c:idx val="1"/>
          <c:order val="1"/>
          <c:tx>
            <c:strRef>
              <c:f>'PI series #'!$C$17</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#'!$C$18</c:f>
              <c:numCache>
                <c:formatCode>0.00</c:formatCode>
                <c:ptCount val="1"/>
                <c:pt idx="0">
                  <c:v>#N/A</c:v>
                </c:pt>
              </c:numCache>
            </c:numRef>
          </c:val>
          <c:extLst>
            <c:ext xmlns:c16="http://schemas.microsoft.com/office/drawing/2014/chart" uri="{C3380CC4-5D6E-409C-BE32-E72D297353CC}">
              <c16:uniqueId val="{00000001-A6EC-4DCA-A4FF-DAB01969D3CA}"/>
            </c:ext>
          </c:extLst>
        </c:ser>
        <c:ser>
          <c:idx val="2"/>
          <c:order val="2"/>
          <c:tx>
            <c:strRef>
              <c:f>'PI series #'!$D$17</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#'!$D$18</c:f>
              <c:numCache>
                <c:formatCode>0.00</c:formatCode>
                <c:ptCount val="1"/>
                <c:pt idx="0">
                  <c:v>#N/A</c:v>
                </c:pt>
              </c:numCache>
            </c:numRef>
          </c:val>
          <c:extLst>
            <c:ext xmlns:c16="http://schemas.microsoft.com/office/drawing/2014/chart" uri="{C3380CC4-5D6E-409C-BE32-E72D297353CC}">
              <c16:uniqueId val="{00000002-A6EC-4DCA-A4FF-DAB01969D3CA}"/>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9E9-4F09-B4AB-5AEBE682FC95}"/>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9E9-4F09-B4AB-5AEBE682FC95}"/>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9E9-4F09-B4AB-5AEBE682FC95}"/>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CD8-4BD2-BB91-ABDB6BD1EDAF}"/>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CD8-4BD2-BB91-ABDB6BD1EDAF}"/>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CD8-4BD2-BB91-ABDB6BD1EDAF}"/>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1952621</xdr:colOff>
      <xdr:row>46</xdr:row>
      <xdr:rowOff>190500</xdr:rowOff>
    </xdr:from>
    <xdr:to>
      <xdr:col>5</xdr:col>
      <xdr:colOff>3507101</xdr:colOff>
      <xdr:row>51</xdr:row>
      <xdr:rowOff>57150</xdr:rowOff>
    </xdr:to>
    <xdr:sp macro="" textlink="">
      <xdr:nvSpPr>
        <xdr:cNvPr id="2" name="Arrow: Right 1">
          <a:extLst>
            <a:ext uri="{FF2B5EF4-FFF2-40B4-BE49-F238E27FC236}">
              <a16:creationId xmlns:a16="http://schemas.microsoft.com/office/drawing/2014/main" id="{00000000-0008-0000-0200-000002000000}"/>
            </a:ext>
          </a:extLst>
        </xdr:cNvPr>
        <xdr:cNvSpPr/>
      </xdr:nvSpPr>
      <xdr:spPr>
        <a:xfrm>
          <a:off x="5848346" y="4714875"/>
          <a:ext cx="1554480" cy="137160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950" b="1" i="1" baseline="0">
              <a:solidFill>
                <a:schemeClr val="tx1"/>
              </a:solidFill>
              <a:effectLst/>
              <a:latin typeface="+mn-lt"/>
              <a:ea typeface="+mn-ea"/>
              <a:cs typeface="+mn-cs"/>
            </a:rPr>
            <a:t>Q 955 &amp; 957 Exclude Federal and State compliance findings from this number</a:t>
          </a:r>
          <a:endParaRPr lang="en-US" sz="950" b="1" i="1">
            <a:solidFill>
              <a:schemeClr val="tx1"/>
            </a:solidFill>
            <a:effectLst/>
          </a:endParaRPr>
        </a:p>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353784</xdr:colOff>
      <xdr:row>8</xdr:row>
      <xdr:rowOff>176893</xdr:rowOff>
    </xdr:from>
    <xdr:to>
      <xdr:col>3</xdr:col>
      <xdr:colOff>1170214</xdr:colOff>
      <xdr:row>8</xdr:row>
      <xdr:rowOff>2286000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340178</xdr:colOff>
      <xdr:row>13</xdr:row>
      <xdr:rowOff>68036</xdr:rowOff>
    </xdr:from>
    <xdr:to>
      <xdr:col>3</xdr:col>
      <xdr:colOff>1156608</xdr:colOff>
      <xdr:row>13</xdr:row>
      <xdr:rowOff>2408464</xdr:rowOff>
    </xdr:to>
    <xdr:graphicFrame macro="">
      <xdr:nvGraphicFramePr>
        <xdr:cNvPr id="3" name="Chart 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272144</xdr:colOff>
      <xdr:row>20</xdr:row>
      <xdr:rowOff>81643</xdr:rowOff>
    </xdr:from>
    <xdr:to>
      <xdr:col>3</xdr:col>
      <xdr:colOff>1088574</xdr:colOff>
      <xdr:row>20</xdr:row>
      <xdr:rowOff>2449286</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289560</xdr:colOff>
          <xdr:row>5</xdr:row>
          <xdr:rowOff>251460</xdr:rowOff>
        </xdr:from>
        <xdr:to>
          <xdr:col>5</xdr:col>
          <xdr:colOff>480060</xdr:colOff>
          <xdr:row>6</xdr:row>
          <xdr:rowOff>1203960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400-0000014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353784</xdr:colOff>
      <xdr:row>9</xdr:row>
      <xdr:rowOff>176893</xdr:rowOff>
    </xdr:from>
    <xdr:to>
      <xdr:col>3</xdr:col>
      <xdr:colOff>1170214</xdr:colOff>
      <xdr:row>9</xdr:row>
      <xdr:rowOff>2286000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353784</xdr:colOff>
      <xdr:row>10</xdr:row>
      <xdr:rowOff>176893</xdr:rowOff>
    </xdr:from>
    <xdr:to>
      <xdr:col>3</xdr:col>
      <xdr:colOff>1170214</xdr:colOff>
      <xdr:row>10</xdr:row>
      <xdr:rowOff>2286000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persons/person.xml><?xml version="1.0" encoding="utf-8"?>
<personList xmlns="http://schemas.microsoft.com/office/spreadsheetml/2018/threadedcomments" xmlns:x="http://schemas.openxmlformats.org/spreadsheetml/2006/main">
  <person displayName="Kendra Boyle" id="{98656D0D-0113-411F-A474-741CC9AA41AD}" userId="S::LGC0084@nctreasurer.com::e6da70e9-72c2-409b-9978-192edee7820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U9" dT="2020-05-05T22:02:21.33" personId="{98656D0D-0113-411F-A474-741CC9AA41AD}" id="{C4AE4376-FDBE-4348-83A7-D8ECA04EEAC3}">
    <text>to catch Village/Town/City in name</text>
  </threadedComment>
  <threadedComment ref="U10" dT="2020-05-05T22:01:24.30" personId="{98656D0D-0113-411F-A474-741CC9AA41AD}" id="{79F6A927-FE80-4093-AD7D-D2C2D5E3D7C7}">
    <text>validation errors for length</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sheetPr>
    <tabColor theme="4" tint="0.79998168889431442"/>
  </sheetPr>
  <dimension ref="B1:N58"/>
  <sheetViews>
    <sheetView tabSelected="1" zoomScaleNormal="100" workbookViewId="0">
      <selection activeCell="B2" sqref="B2"/>
    </sheetView>
  </sheetViews>
  <sheetFormatPr defaultColWidth="9.109375" defaultRowHeight="14.4" x14ac:dyDescent="0.3"/>
  <cols>
    <col min="1" max="1" width="1.6640625" style="275" customWidth="1"/>
    <col min="2" max="2" width="187.109375" style="275" customWidth="1"/>
    <col min="3" max="4" width="9.109375" style="275" hidden="1" customWidth="1"/>
    <col min="5" max="5" width="2.33203125" style="275" customWidth="1"/>
    <col min="6" max="6" width="8.109375" style="275" customWidth="1"/>
    <col min="7" max="16384" width="9.109375" style="275"/>
  </cols>
  <sheetData>
    <row r="1" spans="2:14" ht="9.6" customHeight="1" thickBot="1" x14ac:dyDescent="0.35">
      <c r="B1" s="178"/>
    </row>
    <row r="2" spans="2:14" ht="91.95" customHeight="1" thickBot="1" x14ac:dyDescent="0.35">
      <c r="B2" s="1152" t="s">
        <v>1778</v>
      </c>
    </row>
    <row r="3" spans="2:14" ht="61.2" customHeight="1" x14ac:dyDescent="0.3">
      <c r="B3" s="189" t="s">
        <v>1779</v>
      </c>
    </row>
    <row r="4" spans="2:14" ht="83.4" customHeight="1" x14ac:dyDescent="0.4">
      <c r="B4" s="189" t="s">
        <v>1780</v>
      </c>
      <c r="F4" s="1153"/>
      <c r="G4" s="1153"/>
      <c r="H4" s="1153"/>
      <c r="I4" s="1153"/>
      <c r="J4" s="1153"/>
      <c r="K4" s="1153"/>
      <c r="L4" s="1153"/>
      <c r="M4" s="1153"/>
      <c r="N4" s="1153"/>
    </row>
    <row r="5" spans="2:14" ht="58.2" customHeight="1" x14ac:dyDescent="0.3">
      <c r="B5" s="189" t="s">
        <v>1781</v>
      </c>
    </row>
    <row r="6" spans="2:14" ht="117.6" customHeight="1" x14ac:dyDescent="0.3">
      <c r="B6" s="179" t="s">
        <v>1782</v>
      </c>
    </row>
    <row r="7" spans="2:14" ht="25.95" customHeight="1" x14ac:dyDescent="0.3">
      <c r="B7" s="191" t="s">
        <v>863</v>
      </c>
    </row>
    <row r="8" spans="2:14" ht="49.2" customHeight="1" x14ac:dyDescent="0.3">
      <c r="B8" s="1154" t="s">
        <v>1783</v>
      </c>
    </row>
    <row r="9" spans="2:14" ht="42.6" customHeight="1" x14ac:dyDescent="0.3">
      <c r="B9" s="1154" t="s">
        <v>864</v>
      </c>
    </row>
    <row r="10" spans="2:14" s="1156" customFormat="1" ht="34.200000000000003" customHeight="1" x14ac:dyDescent="0.3">
      <c r="B10" s="1155" t="s">
        <v>865</v>
      </c>
    </row>
    <row r="11" spans="2:14" s="1156" customFormat="1" ht="55.95" customHeight="1" x14ac:dyDescent="0.3">
      <c r="B11" s="1157" t="s">
        <v>1784</v>
      </c>
    </row>
    <row r="12" spans="2:14" ht="36" customHeight="1" x14ac:dyDescent="0.3">
      <c r="B12" s="1157" t="s">
        <v>1785</v>
      </c>
    </row>
    <row r="13" spans="2:14" ht="39" customHeight="1" x14ac:dyDescent="0.3">
      <c r="B13" s="1158" t="s">
        <v>1786</v>
      </c>
    </row>
    <row r="14" spans="2:14" ht="25.95" customHeight="1" x14ac:dyDescent="0.3">
      <c r="B14" s="191" t="s">
        <v>866</v>
      </c>
    </row>
    <row r="15" spans="2:14" x14ac:dyDescent="0.3">
      <c r="B15" s="178"/>
    </row>
    <row r="16" spans="2:14" x14ac:dyDescent="0.3">
      <c r="B16" s="1159" t="s">
        <v>37</v>
      </c>
    </row>
    <row r="17" spans="2:2" ht="15.6" customHeight="1" x14ac:dyDescent="0.3">
      <c r="B17" s="1160" t="s">
        <v>1787</v>
      </c>
    </row>
    <row r="18" spans="2:2" x14ac:dyDescent="0.3">
      <c r="B18" s="1161"/>
    </row>
    <row r="19" spans="2:2" x14ac:dyDescent="0.3">
      <c r="B19" s="1159" t="s">
        <v>38</v>
      </c>
    </row>
    <row r="20" spans="2:2" ht="15.6" customHeight="1" x14ac:dyDescent="0.3">
      <c r="B20" s="1162" t="s">
        <v>675</v>
      </c>
    </row>
    <row r="21" spans="2:2" ht="13.2" customHeight="1" x14ac:dyDescent="0.3">
      <c r="B21" s="178"/>
    </row>
    <row r="22" spans="2:2" ht="25.95" customHeight="1" x14ac:dyDescent="0.3">
      <c r="B22" s="191" t="s">
        <v>867</v>
      </c>
    </row>
    <row r="23" spans="2:2" s="1156" customFormat="1" ht="72.599999999999994" customHeight="1" x14ac:dyDescent="0.3">
      <c r="B23" s="1154" t="s">
        <v>1788</v>
      </c>
    </row>
    <row r="24" spans="2:2" s="1156" customFormat="1" ht="84.6" customHeight="1" x14ac:dyDescent="0.3">
      <c r="B24" s="1154" t="s">
        <v>1789</v>
      </c>
    </row>
    <row r="25" spans="2:2" s="1156" customFormat="1" ht="78.599999999999994" customHeight="1" x14ac:dyDescent="0.3">
      <c r="B25" s="1154" t="s">
        <v>868</v>
      </c>
    </row>
    <row r="26" spans="2:2" ht="15" x14ac:dyDescent="0.3">
      <c r="B26" s="181" t="s">
        <v>1790</v>
      </c>
    </row>
    <row r="27" spans="2:2" ht="8.4" customHeight="1" x14ac:dyDescent="0.3">
      <c r="B27" s="180"/>
    </row>
    <row r="28" spans="2:2" ht="25.95" customHeight="1" x14ac:dyDescent="0.3">
      <c r="B28" s="191" t="s">
        <v>1791</v>
      </c>
    </row>
    <row r="29" spans="2:2" ht="28.95" customHeight="1" x14ac:dyDescent="0.3">
      <c r="B29" s="192" t="s">
        <v>1792</v>
      </c>
    </row>
    <row r="30" spans="2:2" ht="31.95" customHeight="1" x14ac:dyDescent="0.3">
      <c r="B30" s="192" t="s">
        <v>1793</v>
      </c>
    </row>
    <row r="31" spans="2:2" ht="30.6" customHeight="1" x14ac:dyDescent="0.3">
      <c r="B31" s="1163" t="s">
        <v>1794</v>
      </c>
    </row>
    <row r="32" spans="2:2" ht="25.2" customHeight="1" x14ac:dyDescent="0.3">
      <c r="B32" s="1163" t="s">
        <v>1795</v>
      </c>
    </row>
    <row r="33" spans="2:7" ht="27.6" customHeight="1" x14ac:dyDescent="0.3">
      <c r="B33" s="1164" t="s">
        <v>1796</v>
      </c>
    </row>
    <row r="34" spans="2:7" ht="31.95" customHeight="1" x14ac:dyDescent="0.3">
      <c r="B34" s="1165" t="s">
        <v>1797</v>
      </c>
    </row>
    <row r="35" spans="2:7" ht="60" customHeight="1" x14ac:dyDescent="0.3">
      <c r="B35" s="192" t="s">
        <v>1798</v>
      </c>
    </row>
    <row r="36" spans="2:7" ht="25.95" customHeight="1" x14ac:dyDescent="0.3">
      <c r="B36" s="192" t="s">
        <v>1799</v>
      </c>
    </row>
    <row r="37" spans="2:7" ht="12" customHeight="1" x14ac:dyDescent="0.3">
      <c r="B37" s="192"/>
    </row>
    <row r="38" spans="2:7" ht="25.95" customHeight="1" x14ac:dyDescent="0.3">
      <c r="B38" s="191" t="s">
        <v>1135</v>
      </c>
    </row>
    <row r="39" spans="2:7" x14ac:dyDescent="0.3">
      <c r="B39" s="190"/>
      <c r="G39" s="1166"/>
    </row>
    <row r="40" spans="2:7" ht="43.2" customHeight="1" x14ac:dyDescent="0.3">
      <c r="B40" s="1167" t="s">
        <v>1800</v>
      </c>
    </row>
    <row r="41" spans="2:7" ht="19.95" customHeight="1" x14ac:dyDescent="0.3">
      <c r="B41" s="1168" t="s">
        <v>1786</v>
      </c>
    </row>
    <row r="42" spans="2:7" ht="11.4" customHeight="1" x14ac:dyDescent="0.3">
      <c r="B42" s="193"/>
    </row>
    <row r="43" spans="2:7" ht="15" x14ac:dyDescent="0.3">
      <c r="B43" s="194"/>
    </row>
    <row r="44" spans="2:7" ht="7.2" customHeight="1" x14ac:dyDescent="0.3">
      <c r="B44" s="192"/>
    </row>
    <row r="45" spans="2:7" ht="25.95" customHeight="1" x14ac:dyDescent="0.3">
      <c r="B45" s="191" t="s">
        <v>1136</v>
      </c>
    </row>
    <row r="46" spans="2:7" ht="35.4" customHeight="1" x14ac:dyDescent="0.3">
      <c r="B46" s="1167" t="s">
        <v>1801</v>
      </c>
    </row>
    <row r="47" spans="2:7" ht="15" x14ac:dyDescent="0.3">
      <c r="B47" s="194"/>
    </row>
    <row r="58" ht="44.25" customHeight="1" x14ac:dyDescent="0.3"/>
  </sheetData>
  <sheetProtection algorithmName="SHA-512" hashValue="RI30ph3VCFrzqdEemGWG9h5I93uJzUrVrI3xZwqC3LUvFPlkdBwxm7r1lSpdUG886q3rYp++9swt4qtlDdD08w==" saltValue="fBhqC+a4qkrMzsaO3YiC4Q==" spinCount="100000" sheet="1" formatCells="0" formatColumns="0" formatRows="0"/>
  <hyperlinks>
    <hyperlink ref="B17" r:id="rId1" xr:uid="{C1F6514A-E8A6-43E5-A86A-05C7A391046B}"/>
    <hyperlink ref="B20" r:id="rId2" xr:uid="{B1541227-3D45-4870-904D-604AA0D245A4}"/>
    <hyperlink ref="B41" r:id="rId3" xr:uid="{4A9D302D-DF03-4083-B0C5-61ACF65C0239}"/>
    <hyperlink ref="B13" r:id="rId4" xr:uid="{C422E034-BC33-4433-9232-B9B4AB71E050}"/>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8B78-A2B6-4661-B34D-EE63136445DC}">
  <sheetPr codeName="Sheet11">
    <pageSetUpPr fitToPage="1"/>
  </sheetPr>
  <dimension ref="A1:CM415"/>
  <sheetViews>
    <sheetView zoomScale="91" zoomScaleNormal="91" workbookViewId="0">
      <pane xSplit="5" ySplit="1" topLeftCell="BS2" activePane="bottomRight" state="frozen"/>
      <selection pane="topRight" activeCell="F1" sqref="F1"/>
      <selection pane="bottomLeft" activeCell="A2" sqref="A2"/>
      <selection pane="bottomRight" activeCell="BX31" sqref="BX31"/>
    </sheetView>
  </sheetViews>
  <sheetFormatPr defaultColWidth="9.109375" defaultRowHeight="14.4" x14ac:dyDescent="0.3"/>
  <cols>
    <col min="1" max="1" width="5.33203125" style="99" customWidth="1"/>
    <col min="2" max="2" width="17.44140625" style="318" customWidth="1"/>
    <col min="3" max="3" width="16.5546875" style="99" customWidth="1"/>
    <col min="4" max="4" width="27.6640625" style="99" customWidth="1"/>
    <col min="5" max="5" width="14.44140625" style="99" bestFit="1" customWidth="1"/>
    <col min="6" max="72" width="17.6640625" style="99" customWidth="1"/>
    <col min="73" max="16384" width="9.109375" style="99"/>
  </cols>
  <sheetData>
    <row r="1" spans="1:72" s="408" customFormat="1" x14ac:dyDescent="0.3">
      <c r="A1" s="408" t="s">
        <v>1762</v>
      </c>
      <c r="B1" s="409" t="s">
        <v>704</v>
      </c>
      <c r="C1" s="408" t="s">
        <v>567</v>
      </c>
      <c r="E1" s="408" t="s">
        <v>567</v>
      </c>
      <c r="F1" s="408" t="s">
        <v>930</v>
      </c>
      <c r="G1" s="408" t="s">
        <v>1699</v>
      </c>
      <c r="H1" s="408" t="s">
        <v>1700</v>
      </c>
      <c r="I1" s="408" t="s">
        <v>1701</v>
      </c>
      <c r="J1" s="408" t="s">
        <v>1702</v>
      </c>
      <c r="K1" s="408" t="s">
        <v>931</v>
      </c>
      <c r="L1" s="408" t="s">
        <v>1703</v>
      </c>
      <c r="M1" s="408" t="s">
        <v>1704</v>
      </c>
      <c r="N1" s="408" t="s">
        <v>1705</v>
      </c>
      <c r="O1" s="408" t="s">
        <v>1706</v>
      </c>
      <c r="P1" s="408" t="s">
        <v>1707</v>
      </c>
      <c r="Q1" s="408" t="s">
        <v>1708</v>
      </c>
      <c r="R1" s="408" t="s">
        <v>1709</v>
      </c>
      <c r="S1" s="408" t="s">
        <v>1710</v>
      </c>
      <c r="T1" s="408" t="s">
        <v>933</v>
      </c>
      <c r="U1" s="408" t="s">
        <v>1711</v>
      </c>
      <c r="V1" s="408" t="s">
        <v>1712</v>
      </c>
      <c r="W1" s="408" t="s">
        <v>1598</v>
      </c>
      <c r="X1" s="408" t="s">
        <v>1713</v>
      </c>
      <c r="Y1" s="408" t="s">
        <v>1714</v>
      </c>
      <c r="Z1" s="408" t="s">
        <v>1599</v>
      </c>
      <c r="AA1" s="408" t="s">
        <v>934</v>
      </c>
      <c r="AB1" s="408" t="s">
        <v>1600</v>
      </c>
      <c r="AC1" s="408" t="s">
        <v>1715</v>
      </c>
      <c r="AD1" s="408" t="s">
        <v>1716</v>
      </c>
      <c r="AE1" s="408" t="s">
        <v>1717</v>
      </c>
      <c r="AF1" s="408" t="s">
        <v>935</v>
      </c>
      <c r="AG1" s="408" t="s">
        <v>1718</v>
      </c>
      <c r="AH1" s="408" t="s">
        <v>1719</v>
      </c>
      <c r="AI1" s="408" t="s">
        <v>1720</v>
      </c>
      <c r="AJ1" s="408" t="s">
        <v>1721</v>
      </c>
      <c r="AK1" s="408" t="s">
        <v>936</v>
      </c>
      <c r="AL1" s="408" t="s">
        <v>1601</v>
      </c>
      <c r="AM1" s="408" t="e">
        <v>#N/A</v>
      </c>
      <c r="AN1" s="408" t="s">
        <v>1722</v>
      </c>
      <c r="AO1" s="408" t="s">
        <v>1723</v>
      </c>
      <c r="AP1" s="408" t="s">
        <v>1724</v>
      </c>
      <c r="AQ1" s="408" t="s">
        <v>1725</v>
      </c>
      <c r="AR1" s="408" t="s">
        <v>1726</v>
      </c>
      <c r="AS1" s="408" t="s">
        <v>939</v>
      </c>
      <c r="AT1" s="408" t="s">
        <v>1727</v>
      </c>
      <c r="AU1" s="408" t="s">
        <v>1728</v>
      </c>
      <c r="AV1" s="408" t="s">
        <v>1729</v>
      </c>
      <c r="AW1" s="408" t="e">
        <v>#N/A</v>
      </c>
      <c r="AX1" s="408" t="s">
        <v>1730</v>
      </c>
      <c r="AY1" s="408" t="s">
        <v>1731</v>
      </c>
      <c r="AZ1" s="408" t="s">
        <v>1732</v>
      </c>
      <c r="BA1" s="408" t="s">
        <v>941</v>
      </c>
      <c r="BB1" s="408" t="s">
        <v>1733</v>
      </c>
      <c r="BC1" s="408" t="s">
        <v>1734</v>
      </c>
      <c r="BD1" s="408" t="s">
        <v>1735</v>
      </c>
      <c r="BE1" s="408" t="s">
        <v>1736</v>
      </c>
      <c r="BF1" s="408" t="s">
        <v>942</v>
      </c>
      <c r="BG1" s="408" t="s">
        <v>1737</v>
      </c>
      <c r="BH1" s="408" t="s">
        <v>1738</v>
      </c>
      <c r="BI1" s="408" t="s">
        <v>1739</v>
      </c>
      <c r="BJ1" s="408" t="s">
        <v>943</v>
      </c>
      <c r="BK1" s="408" t="s">
        <v>1740</v>
      </c>
      <c r="BL1" s="408" t="s">
        <v>1741</v>
      </c>
      <c r="BM1" s="408" t="s">
        <v>1742</v>
      </c>
      <c r="BN1" s="408" t="s">
        <v>1743</v>
      </c>
      <c r="BO1" s="408" t="s">
        <v>1744</v>
      </c>
      <c r="BP1" s="408" t="s">
        <v>1602</v>
      </c>
      <c r="BQ1" s="408" t="s">
        <v>1745</v>
      </c>
      <c r="BR1" s="408" t="s">
        <v>1746</v>
      </c>
      <c r="BS1" s="408" t="s">
        <v>1747</v>
      </c>
      <c r="BT1" s="408" t="s">
        <v>1748</v>
      </c>
    </row>
    <row r="2" spans="1:72" s="408" customFormat="1" x14ac:dyDescent="0.3">
      <c r="B2" s="409" t="s">
        <v>1763</v>
      </c>
      <c r="E2" s="408" t="s">
        <v>297</v>
      </c>
      <c r="F2" s="408">
        <v>50001</v>
      </c>
      <c r="G2" s="408">
        <v>50002</v>
      </c>
      <c r="H2" s="408">
        <v>50471</v>
      </c>
      <c r="I2" s="408">
        <v>50003</v>
      </c>
      <c r="J2" s="408">
        <v>50005</v>
      </c>
      <c r="K2" s="408">
        <v>50006</v>
      </c>
      <c r="L2" s="408">
        <v>50007</v>
      </c>
      <c r="M2" s="408">
        <v>50008</v>
      </c>
      <c r="N2" s="408">
        <v>50009</v>
      </c>
      <c r="O2" s="408">
        <v>50464</v>
      </c>
      <c r="P2" s="408">
        <v>50442</v>
      </c>
      <c r="Q2" s="408">
        <v>50569</v>
      </c>
      <c r="R2" s="408">
        <v>50011</v>
      </c>
      <c r="S2" s="408">
        <v>50012</v>
      </c>
      <c r="T2" s="408">
        <v>50013</v>
      </c>
      <c r="U2" s="408">
        <v>50014</v>
      </c>
      <c r="V2" s="408">
        <v>50015</v>
      </c>
      <c r="W2" s="408">
        <v>50016</v>
      </c>
      <c r="X2" s="408">
        <v>50017</v>
      </c>
      <c r="Y2" s="408">
        <v>50018</v>
      </c>
      <c r="Z2" s="408">
        <v>50019</v>
      </c>
      <c r="AA2" s="408">
        <v>50504</v>
      </c>
      <c r="AB2" s="408">
        <v>50021</v>
      </c>
      <c r="AC2" s="408">
        <v>50022</v>
      </c>
      <c r="AD2" s="408">
        <v>50505</v>
      </c>
      <c r="AE2" s="408">
        <v>50023</v>
      </c>
      <c r="AF2" s="408">
        <v>50024</v>
      </c>
      <c r="AG2" s="408">
        <v>50026</v>
      </c>
      <c r="AH2" s="408">
        <v>50027</v>
      </c>
      <c r="AI2" s="408">
        <v>50028</v>
      </c>
      <c r="AJ2" s="408">
        <v>50491</v>
      </c>
      <c r="AK2" s="408">
        <v>50029</v>
      </c>
      <c r="AL2" s="408">
        <v>50031</v>
      </c>
      <c r="AM2" s="408">
        <v>0</v>
      </c>
      <c r="AN2" s="408">
        <v>50459</v>
      </c>
      <c r="AO2" s="408">
        <v>50032</v>
      </c>
      <c r="AP2" s="408">
        <v>50556</v>
      </c>
      <c r="AQ2" s="408">
        <v>50033</v>
      </c>
      <c r="AR2" s="408">
        <v>50030</v>
      </c>
      <c r="AS2" s="408">
        <v>50034</v>
      </c>
      <c r="AT2" s="408">
        <v>50035</v>
      </c>
      <c r="AU2" s="408">
        <v>50036</v>
      </c>
      <c r="AV2" s="408">
        <v>50037</v>
      </c>
      <c r="AW2" s="408">
        <v>0</v>
      </c>
      <c r="AX2" s="408">
        <v>50039</v>
      </c>
      <c r="AY2" s="408">
        <v>50040</v>
      </c>
      <c r="AZ2" s="408">
        <v>50041</v>
      </c>
      <c r="BA2" s="408">
        <v>50506</v>
      </c>
      <c r="BB2" s="408">
        <v>50507</v>
      </c>
      <c r="BC2" s="408">
        <v>50043</v>
      </c>
      <c r="BD2" s="408">
        <v>50042</v>
      </c>
      <c r="BE2" s="408">
        <v>50044</v>
      </c>
      <c r="BF2" s="408">
        <v>50045</v>
      </c>
      <c r="BG2" s="408">
        <v>50046</v>
      </c>
      <c r="BH2" s="408">
        <v>50047</v>
      </c>
      <c r="BI2" s="408">
        <v>50048</v>
      </c>
      <c r="BJ2" s="408">
        <v>50049</v>
      </c>
      <c r="BK2" s="408">
        <v>50050</v>
      </c>
      <c r="BL2" s="408">
        <v>50051</v>
      </c>
      <c r="BM2" s="408">
        <v>50052</v>
      </c>
      <c r="BN2" s="408">
        <v>50053</v>
      </c>
      <c r="BO2" s="408">
        <v>50054</v>
      </c>
      <c r="BP2" s="408">
        <v>50055</v>
      </c>
      <c r="BQ2" s="408">
        <v>50057</v>
      </c>
      <c r="BR2" s="408">
        <v>50058</v>
      </c>
      <c r="BS2" s="408">
        <v>50059</v>
      </c>
      <c r="BT2" s="408">
        <v>50567</v>
      </c>
    </row>
    <row r="3" spans="1:72" s="408" customFormat="1" x14ac:dyDescent="0.3">
      <c r="A3" s="408">
        <v>4</v>
      </c>
      <c r="B3" s="409">
        <v>4</v>
      </c>
      <c r="C3" s="408">
        <v>4</v>
      </c>
      <c r="D3" s="408" t="s">
        <v>618</v>
      </c>
      <c r="E3" s="408" t="s">
        <v>298</v>
      </c>
      <c r="F3" s="408">
        <v>787076</v>
      </c>
      <c r="G3" s="408">
        <v>134193</v>
      </c>
      <c r="H3" s="408">
        <v>17918</v>
      </c>
      <c r="I3" s="408">
        <v>1320138</v>
      </c>
      <c r="J3" s="408">
        <v>276</v>
      </c>
      <c r="K3" s="408">
        <v>114362</v>
      </c>
      <c r="L3" s="408">
        <v>229932</v>
      </c>
      <c r="M3" s="408">
        <v>8968</v>
      </c>
      <c r="N3" s="408">
        <v>5405772</v>
      </c>
      <c r="O3" s="408">
        <v>138</v>
      </c>
      <c r="P3" s="408">
        <v>667637</v>
      </c>
      <c r="Q3" s="408">
        <v>40931</v>
      </c>
      <c r="R3" s="408">
        <v>2409637</v>
      </c>
      <c r="S3" s="408">
        <v>9152108</v>
      </c>
      <c r="T3" s="408">
        <v>0</v>
      </c>
      <c r="U3" s="408">
        <v>3116</v>
      </c>
      <c r="V3" s="408">
        <v>412508</v>
      </c>
      <c r="W3" s="408">
        <v>38912</v>
      </c>
      <c r="X3" s="408">
        <v>12430</v>
      </c>
      <c r="Y3" s="408">
        <v>3910</v>
      </c>
      <c r="Z3" s="408">
        <v>275497</v>
      </c>
      <c r="AA3" s="408">
        <v>0</v>
      </c>
      <c r="AB3" s="408">
        <v>0</v>
      </c>
      <c r="AC3" s="408">
        <v>5294</v>
      </c>
      <c r="AD3" s="408">
        <v>350685</v>
      </c>
      <c r="AE3" s="408">
        <v>103280</v>
      </c>
      <c r="AF3" s="408">
        <v>2153</v>
      </c>
      <c r="AG3" s="408">
        <v>17897</v>
      </c>
      <c r="AH3" s="408">
        <v>0</v>
      </c>
      <c r="AI3" s="408">
        <v>321132</v>
      </c>
      <c r="AJ3" s="408">
        <v>368195</v>
      </c>
      <c r="AK3" s="408">
        <v>94259</v>
      </c>
      <c r="AL3" s="408">
        <v>0</v>
      </c>
      <c r="AM3" s="408">
        <v>0</v>
      </c>
      <c r="AN3" s="408">
        <v>1318</v>
      </c>
      <c r="AO3" s="408">
        <v>48485</v>
      </c>
      <c r="AP3" s="408">
        <v>62498</v>
      </c>
      <c r="AQ3" s="408">
        <v>139492</v>
      </c>
      <c r="AR3" s="408">
        <v>2744</v>
      </c>
      <c r="AS3" s="408">
        <v>7982</v>
      </c>
      <c r="AT3" s="408">
        <v>215631</v>
      </c>
      <c r="AU3" s="408">
        <v>94317</v>
      </c>
      <c r="AV3" s="408">
        <v>21976</v>
      </c>
      <c r="AW3" s="408">
        <v>0</v>
      </c>
      <c r="AX3" s="408">
        <v>382266</v>
      </c>
      <c r="AY3" s="408">
        <v>55449</v>
      </c>
      <c r="AZ3" s="408">
        <v>598215</v>
      </c>
      <c r="BA3" s="408">
        <v>648</v>
      </c>
      <c r="BB3" s="408">
        <v>9821</v>
      </c>
      <c r="BC3" s="408">
        <v>256147</v>
      </c>
      <c r="BD3" s="408">
        <v>43687</v>
      </c>
      <c r="BE3" s="408">
        <v>1791</v>
      </c>
      <c r="BF3" s="408">
        <v>18090</v>
      </c>
      <c r="BG3" s="408">
        <v>784641</v>
      </c>
      <c r="BH3" s="408">
        <v>14385</v>
      </c>
      <c r="BI3" s="408">
        <v>10156</v>
      </c>
      <c r="BJ3" s="408">
        <v>460536</v>
      </c>
      <c r="BK3" s="408">
        <v>93780</v>
      </c>
      <c r="BL3" s="408">
        <v>21293</v>
      </c>
      <c r="BM3" s="408">
        <v>8350</v>
      </c>
      <c r="BN3" s="408">
        <v>2710</v>
      </c>
      <c r="BO3" s="408">
        <v>113132</v>
      </c>
      <c r="BP3" s="408">
        <v>12493</v>
      </c>
      <c r="BQ3" s="408">
        <v>373937</v>
      </c>
      <c r="BR3" s="408">
        <v>3278792</v>
      </c>
      <c r="BS3" s="408">
        <v>42677</v>
      </c>
      <c r="BT3" s="408">
        <v>158979</v>
      </c>
    </row>
    <row r="4" spans="1:72" s="408" customFormat="1" x14ac:dyDescent="0.3">
      <c r="A4" s="408">
        <v>5</v>
      </c>
      <c r="B4" s="409">
        <v>5</v>
      </c>
      <c r="C4" s="408">
        <v>5</v>
      </c>
      <c r="D4" s="408" t="s">
        <v>120</v>
      </c>
      <c r="E4" s="408" t="s">
        <v>299</v>
      </c>
      <c r="F4" s="408">
        <v>0</v>
      </c>
      <c r="G4" s="408">
        <v>5607</v>
      </c>
      <c r="H4" s="408">
        <v>0</v>
      </c>
      <c r="I4" s="408">
        <v>2407</v>
      </c>
      <c r="J4" s="408">
        <v>0</v>
      </c>
      <c r="K4" s="408">
        <v>16750</v>
      </c>
      <c r="L4" s="408">
        <v>0</v>
      </c>
      <c r="M4" s="408">
        <v>0</v>
      </c>
      <c r="N4" s="408">
        <v>215529</v>
      </c>
      <c r="O4" s="408">
        <v>0</v>
      </c>
      <c r="P4" s="408">
        <v>1039</v>
      </c>
      <c r="Q4" s="408">
        <v>663</v>
      </c>
      <c r="R4" s="408">
        <v>2639</v>
      </c>
      <c r="S4" s="408">
        <v>48465</v>
      </c>
      <c r="T4" s="408">
        <v>0</v>
      </c>
      <c r="U4" s="408">
        <v>0</v>
      </c>
      <c r="V4" s="408">
        <v>0</v>
      </c>
      <c r="W4" s="408">
        <v>0</v>
      </c>
      <c r="X4" s="408">
        <v>0</v>
      </c>
      <c r="Y4" s="408">
        <v>0</v>
      </c>
      <c r="Z4" s="408">
        <v>0</v>
      </c>
      <c r="AA4" s="408">
        <v>0</v>
      </c>
      <c r="AB4" s="408">
        <v>0</v>
      </c>
      <c r="AC4" s="408">
        <v>804</v>
      </c>
      <c r="AD4" s="408">
        <v>0</v>
      </c>
      <c r="AE4" s="408">
        <v>0</v>
      </c>
      <c r="AF4" s="408">
        <v>0</v>
      </c>
      <c r="AG4" s="408">
        <v>0</v>
      </c>
      <c r="AH4" s="408">
        <v>0</v>
      </c>
      <c r="AI4" s="408">
        <v>171807</v>
      </c>
      <c r="AJ4" s="408">
        <v>0</v>
      </c>
      <c r="AK4" s="408">
        <v>0</v>
      </c>
      <c r="AL4" s="408">
        <v>0</v>
      </c>
      <c r="AM4" s="408">
        <v>0</v>
      </c>
      <c r="AN4" s="408">
        <v>0</v>
      </c>
      <c r="AO4" s="408">
        <v>61</v>
      </c>
      <c r="AP4" s="408">
        <v>0</v>
      </c>
      <c r="AQ4" s="408">
        <v>0</v>
      </c>
      <c r="AR4" s="408">
        <v>0</v>
      </c>
      <c r="AS4" s="408">
        <v>3</v>
      </c>
      <c r="AT4" s="408">
        <v>2012</v>
      </c>
      <c r="AU4" s="408">
        <v>0</v>
      </c>
      <c r="AV4" s="408">
        <v>0</v>
      </c>
      <c r="AW4" s="408">
        <v>0</v>
      </c>
      <c r="AX4" s="408">
        <v>0</v>
      </c>
      <c r="AY4" s="408">
        <v>1193</v>
      </c>
      <c r="AZ4" s="408">
        <v>2980</v>
      </c>
      <c r="BA4" s="408">
        <v>0</v>
      </c>
      <c r="BB4" s="408">
        <v>0</v>
      </c>
      <c r="BC4" s="408">
        <v>0</v>
      </c>
      <c r="BD4" s="408">
        <v>0</v>
      </c>
      <c r="BE4" s="408">
        <v>0</v>
      </c>
      <c r="BF4" s="408">
        <v>0</v>
      </c>
      <c r="BG4" s="408">
        <v>0</v>
      </c>
      <c r="BH4" s="408">
        <v>0</v>
      </c>
      <c r="BI4" s="408">
        <v>5</v>
      </c>
      <c r="BJ4" s="408">
        <v>0</v>
      </c>
      <c r="BK4" s="408">
        <v>0</v>
      </c>
      <c r="BL4" s="408">
        <v>1389</v>
      </c>
      <c r="BM4" s="408">
        <v>0</v>
      </c>
      <c r="BN4" s="408">
        <v>22113</v>
      </c>
      <c r="BO4" s="408">
        <v>0</v>
      </c>
      <c r="BP4" s="408">
        <v>10500</v>
      </c>
      <c r="BQ4" s="408">
        <v>0</v>
      </c>
      <c r="BR4" s="408">
        <v>0</v>
      </c>
      <c r="BS4" s="408">
        <v>5693</v>
      </c>
      <c r="BT4" s="408">
        <v>690</v>
      </c>
    </row>
    <row r="5" spans="1:72" s="408" customFormat="1" x14ac:dyDescent="0.3">
      <c r="A5" s="408">
        <v>6</v>
      </c>
      <c r="B5" s="409">
        <v>6</v>
      </c>
      <c r="C5" s="408">
        <v>6</v>
      </c>
      <c r="D5" s="408" t="s">
        <v>265</v>
      </c>
      <c r="E5" s="408" t="s">
        <v>300</v>
      </c>
      <c r="F5" s="408">
        <v>0</v>
      </c>
      <c r="G5" s="408">
        <v>0</v>
      </c>
      <c r="H5" s="408">
        <v>0</v>
      </c>
      <c r="I5" s="408">
        <v>308178</v>
      </c>
      <c r="J5" s="408">
        <v>0</v>
      </c>
      <c r="K5" s="408">
        <v>0</v>
      </c>
      <c r="L5" s="408">
        <v>0</v>
      </c>
      <c r="M5" s="408">
        <v>0</v>
      </c>
      <c r="N5" s="408">
        <v>3289384</v>
      </c>
      <c r="O5" s="408">
        <v>0</v>
      </c>
      <c r="P5" s="408">
        <v>152746</v>
      </c>
      <c r="Q5" s="408">
        <v>0</v>
      </c>
      <c r="R5" s="408">
        <v>0</v>
      </c>
      <c r="S5" s="408">
        <v>3751379</v>
      </c>
      <c r="T5" s="408">
        <v>0</v>
      </c>
      <c r="U5" s="408">
        <v>0</v>
      </c>
      <c r="V5" s="408">
        <v>0</v>
      </c>
      <c r="W5" s="408">
        <v>0</v>
      </c>
      <c r="X5" s="408">
        <v>0</v>
      </c>
      <c r="Y5" s="408">
        <v>0</v>
      </c>
      <c r="Z5" s="408">
        <v>16769</v>
      </c>
      <c r="AA5" s="408">
        <v>0</v>
      </c>
      <c r="AB5" s="408">
        <v>0</v>
      </c>
      <c r="AC5" s="408">
        <v>0</v>
      </c>
      <c r="AD5" s="408">
        <v>1844</v>
      </c>
      <c r="AE5" s="408">
        <v>0</v>
      </c>
      <c r="AF5" s="408">
        <v>0</v>
      </c>
      <c r="AG5" s="408">
        <v>0</v>
      </c>
      <c r="AH5" s="408">
        <v>0</v>
      </c>
      <c r="AI5" s="408">
        <v>0</v>
      </c>
      <c r="AJ5" s="408">
        <v>0</v>
      </c>
      <c r="AK5" s="408">
        <v>0</v>
      </c>
      <c r="AL5" s="408">
        <v>0</v>
      </c>
      <c r="AM5" s="408">
        <v>0</v>
      </c>
      <c r="AN5" s="408">
        <v>0</v>
      </c>
      <c r="AO5" s="408">
        <v>0</v>
      </c>
      <c r="AP5" s="408">
        <v>0</v>
      </c>
      <c r="AQ5" s="408">
        <v>0</v>
      </c>
      <c r="AR5" s="408">
        <v>0</v>
      </c>
      <c r="AS5" s="408">
        <v>0</v>
      </c>
      <c r="AT5" s="408">
        <v>0</v>
      </c>
      <c r="AU5" s="408">
        <v>11586</v>
      </c>
      <c r="AV5" s="408">
        <v>0</v>
      </c>
      <c r="AW5" s="408">
        <v>0</v>
      </c>
      <c r="AX5" s="408">
        <v>0</v>
      </c>
      <c r="AY5" s="408">
        <v>0</v>
      </c>
      <c r="AZ5" s="408">
        <v>0</v>
      </c>
      <c r="BA5" s="408">
        <v>0</v>
      </c>
      <c r="BB5" s="408">
        <v>0</v>
      </c>
      <c r="BC5" s="408">
        <v>0</v>
      </c>
      <c r="BD5" s="408">
        <v>0</v>
      </c>
      <c r="BE5" s="408">
        <v>0</v>
      </c>
      <c r="BF5" s="408">
        <v>0</v>
      </c>
      <c r="BG5" s="408">
        <v>0</v>
      </c>
      <c r="BH5" s="408">
        <v>0</v>
      </c>
      <c r="BI5" s="408">
        <v>0</v>
      </c>
      <c r="BJ5" s="408">
        <v>0</v>
      </c>
      <c r="BK5" s="408">
        <v>0</v>
      </c>
      <c r="BL5" s="408">
        <v>0</v>
      </c>
      <c r="BM5" s="408">
        <v>0</v>
      </c>
      <c r="BN5" s="408">
        <v>0</v>
      </c>
      <c r="BO5" s="408">
        <v>0</v>
      </c>
      <c r="BP5" s="408">
        <v>0</v>
      </c>
      <c r="BQ5" s="408">
        <v>0</v>
      </c>
      <c r="BR5" s="408">
        <v>0</v>
      </c>
      <c r="BS5" s="408">
        <v>0</v>
      </c>
      <c r="BT5" s="408">
        <v>78921</v>
      </c>
    </row>
    <row r="6" spans="1:72" s="408" customFormat="1" x14ac:dyDescent="0.3">
      <c r="A6" s="408">
        <v>7</v>
      </c>
      <c r="B6" s="409">
        <v>7</v>
      </c>
      <c r="C6" s="408">
        <v>7</v>
      </c>
      <c r="D6" s="408" t="s">
        <v>202</v>
      </c>
      <c r="E6" s="408" t="s">
        <v>301</v>
      </c>
      <c r="F6" s="408">
        <v>1627</v>
      </c>
      <c r="G6" s="408">
        <v>0</v>
      </c>
      <c r="H6" s="408">
        <v>0</v>
      </c>
      <c r="I6" s="408">
        <v>30928</v>
      </c>
      <c r="J6" s="408">
        <v>0</v>
      </c>
      <c r="K6" s="408">
        <v>34344</v>
      </c>
      <c r="L6" s="408">
        <v>0</v>
      </c>
      <c r="M6" s="408">
        <v>0</v>
      </c>
      <c r="N6" s="408">
        <v>284707</v>
      </c>
      <c r="O6" s="408">
        <v>0</v>
      </c>
      <c r="P6" s="408">
        <v>11162</v>
      </c>
      <c r="Q6" s="408">
        <v>0</v>
      </c>
      <c r="R6" s="408">
        <v>848691</v>
      </c>
      <c r="S6" s="408">
        <v>10745744</v>
      </c>
      <c r="T6" s="408">
        <v>0</v>
      </c>
      <c r="U6" s="408">
        <v>0</v>
      </c>
      <c r="V6" s="408">
        <v>0</v>
      </c>
      <c r="W6" s="408">
        <v>0</v>
      </c>
      <c r="X6" s="408">
        <v>0</v>
      </c>
      <c r="Y6" s="408">
        <v>0</v>
      </c>
      <c r="Z6" s="408">
        <v>20933</v>
      </c>
      <c r="AA6" s="408">
        <v>0</v>
      </c>
      <c r="AB6" s="408">
        <v>0</v>
      </c>
      <c r="AC6" s="408">
        <v>0</v>
      </c>
      <c r="AD6" s="408">
        <v>22970</v>
      </c>
      <c r="AE6" s="408">
        <v>0</v>
      </c>
      <c r="AF6" s="408">
        <v>0</v>
      </c>
      <c r="AG6" s="408">
        <v>0</v>
      </c>
      <c r="AH6" s="408">
        <v>0</v>
      </c>
      <c r="AI6" s="408">
        <v>144432</v>
      </c>
      <c r="AJ6" s="408">
        <v>35366</v>
      </c>
      <c r="AK6" s="408">
        <v>0</v>
      </c>
      <c r="AL6" s="408">
        <v>0</v>
      </c>
      <c r="AM6" s="408">
        <v>0</v>
      </c>
      <c r="AN6" s="408">
        <v>0</v>
      </c>
      <c r="AO6" s="408">
        <v>77166</v>
      </c>
      <c r="AP6" s="408">
        <v>0</v>
      </c>
      <c r="AQ6" s="408">
        <v>0</v>
      </c>
      <c r="AR6" s="408">
        <v>0</v>
      </c>
      <c r="AS6" s="408">
        <v>0</v>
      </c>
      <c r="AT6" s="408">
        <v>0</v>
      </c>
      <c r="AU6" s="408">
        <v>2229</v>
      </c>
      <c r="AV6" s="408">
        <v>0</v>
      </c>
      <c r="AW6" s="408">
        <v>0</v>
      </c>
      <c r="AX6" s="408">
        <v>17772</v>
      </c>
      <c r="AY6" s="408">
        <v>0</v>
      </c>
      <c r="AZ6" s="408">
        <v>51300</v>
      </c>
      <c r="BA6" s="408">
        <v>0</v>
      </c>
      <c r="BB6" s="408">
        <v>0</v>
      </c>
      <c r="BC6" s="408">
        <v>0</v>
      </c>
      <c r="BD6" s="408">
        <v>3887</v>
      </c>
      <c r="BE6" s="408">
        <v>0</v>
      </c>
      <c r="BF6" s="408">
        <v>0</v>
      </c>
      <c r="BG6" s="408">
        <v>0</v>
      </c>
      <c r="BH6" s="408">
        <v>0</v>
      </c>
      <c r="BI6" s="408">
        <v>1342</v>
      </c>
      <c r="BJ6" s="408">
        <v>45669</v>
      </c>
      <c r="BK6" s="408">
        <v>0</v>
      </c>
      <c r="BL6" s="408">
        <v>7328</v>
      </c>
      <c r="BM6" s="408">
        <v>2449</v>
      </c>
      <c r="BN6" s="408">
        <v>0</v>
      </c>
      <c r="BO6" s="408">
        <v>0</v>
      </c>
      <c r="BP6" s="408">
        <v>0</v>
      </c>
      <c r="BQ6" s="408">
        <v>0</v>
      </c>
      <c r="BR6" s="408">
        <v>0</v>
      </c>
      <c r="BS6" s="408">
        <v>0</v>
      </c>
      <c r="BT6" s="408">
        <v>0</v>
      </c>
    </row>
    <row r="7" spans="1:72" s="408" customFormat="1" x14ac:dyDescent="0.3">
      <c r="A7" s="408">
        <v>9</v>
      </c>
      <c r="B7" s="409">
        <v>9</v>
      </c>
      <c r="C7" s="408">
        <v>9</v>
      </c>
      <c r="D7" s="408" t="s">
        <v>204</v>
      </c>
      <c r="E7" s="408" t="s">
        <v>302</v>
      </c>
      <c r="F7" s="408">
        <v>4657763</v>
      </c>
      <c r="G7" s="408">
        <v>1398381</v>
      </c>
      <c r="H7" s="408">
        <v>2617817</v>
      </c>
      <c r="I7" s="408">
        <v>8612490</v>
      </c>
      <c r="J7" s="408">
        <v>512687</v>
      </c>
      <c r="K7" s="408">
        <v>1628677</v>
      </c>
      <c r="L7" s="408">
        <v>4730167</v>
      </c>
      <c r="M7" s="408">
        <v>422674</v>
      </c>
      <c r="N7" s="408">
        <v>42263315</v>
      </c>
      <c r="O7" s="408">
        <v>84501</v>
      </c>
      <c r="P7" s="408">
        <v>10862878</v>
      </c>
      <c r="Q7" s="408">
        <v>1211266</v>
      </c>
      <c r="R7" s="408">
        <v>19297709</v>
      </c>
      <c r="S7" s="408">
        <v>93962817</v>
      </c>
      <c r="T7" s="408" t="s">
        <v>1751</v>
      </c>
      <c r="U7" s="408">
        <v>1027822</v>
      </c>
      <c r="V7" s="408">
        <v>4359138</v>
      </c>
      <c r="W7" s="408">
        <v>1154357</v>
      </c>
      <c r="X7" s="408">
        <v>413874</v>
      </c>
      <c r="Y7" s="408">
        <v>357525</v>
      </c>
      <c r="Z7" s="408">
        <v>1958503</v>
      </c>
      <c r="AA7" s="408" t="s">
        <v>1751</v>
      </c>
      <c r="AB7" s="408" t="s">
        <v>1751</v>
      </c>
      <c r="AC7" s="408">
        <v>764169</v>
      </c>
      <c r="AD7" s="408">
        <v>7562871</v>
      </c>
      <c r="AE7" s="408">
        <v>2482307</v>
      </c>
      <c r="AF7" s="408">
        <v>327734</v>
      </c>
      <c r="AG7" s="408">
        <v>381004</v>
      </c>
      <c r="AH7" s="408">
        <v>170387</v>
      </c>
      <c r="AI7" s="408">
        <v>4390029</v>
      </c>
      <c r="AJ7" s="408">
        <v>8136845</v>
      </c>
      <c r="AK7" s="408">
        <v>1385530</v>
      </c>
      <c r="AL7" s="408" t="s">
        <v>1751</v>
      </c>
      <c r="AM7" s="408" t="s">
        <v>1751</v>
      </c>
      <c r="AN7" s="408">
        <v>98811</v>
      </c>
      <c r="AO7" s="408">
        <v>2569384</v>
      </c>
      <c r="AP7" s="408">
        <v>2896139</v>
      </c>
      <c r="AQ7" s="408">
        <v>2290327</v>
      </c>
      <c r="AR7" s="408">
        <v>463867</v>
      </c>
      <c r="AS7" s="408">
        <v>1867538</v>
      </c>
      <c r="AT7" s="408">
        <v>986603</v>
      </c>
      <c r="AU7" s="408">
        <v>3432546</v>
      </c>
      <c r="AV7" s="408">
        <v>2646598</v>
      </c>
      <c r="AW7" s="408" t="s">
        <v>1751</v>
      </c>
      <c r="AX7" s="408">
        <v>5509719</v>
      </c>
      <c r="AY7" s="408">
        <v>1251574</v>
      </c>
      <c r="AZ7" s="408">
        <v>6135034</v>
      </c>
      <c r="BA7" s="408">
        <v>395752</v>
      </c>
      <c r="BB7" s="408">
        <v>500449</v>
      </c>
      <c r="BC7" s="408">
        <v>3901368</v>
      </c>
      <c r="BD7" s="408">
        <v>1644113</v>
      </c>
      <c r="BE7" s="408">
        <v>692417</v>
      </c>
      <c r="BF7" s="408">
        <v>405657</v>
      </c>
      <c r="BG7" s="408">
        <v>13057284</v>
      </c>
      <c r="BH7" s="408">
        <v>918681</v>
      </c>
      <c r="BI7" s="408">
        <v>290735</v>
      </c>
      <c r="BJ7" s="408">
        <v>4551757</v>
      </c>
      <c r="BK7" s="408">
        <v>425257</v>
      </c>
      <c r="BL7" s="408">
        <v>1248205</v>
      </c>
      <c r="BM7" s="408">
        <v>662380</v>
      </c>
      <c r="BN7" s="408">
        <v>1311815</v>
      </c>
      <c r="BO7" s="408">
        <v>2558152</v>
      </c>
      <c r="BP7" s="408">
        <v>826975</v>
      </c>
      <c r="BQ7" s="408">
        <v>3410554</v>
      </c>
      <c r="BR7" s="408">
        <v>34022227</v>
      </c>
      <c r="BS7" s="408">
        <v>1367447</v>
      </c>
      <c r="BT7" s="408">
        <v>8617183</v>
      </c>
    </row>
    <row r="8" spans="1:72" s="408" customFormat="1" x14ac:dyDescent="0.3">
      <c r="A8" s="408">
        <v>11</v>
      </c>
      <c r="B8" s="409">
        <v>11</v>
      </c>
      <c r="C8" s="408">
        <v>11</v>
      </c>
      <c r="D8" s="408" t="s">
        <v>203</v>
      </c>
      <c r="E8" s="408" t="s">
        <v>303</v>
      </c>
      <c r="F8" s="408">
        <v>611060</v>
      </c>
      <c r="G8" s="408">
        <v>0</v>
      </c>
      <c r="H8" s="408">
        <v>0</v>
      </c>
      <c r="I8" s="408">
        <v>153247</v>
      </c>
      <c r="J8" s="408">
        <v>25527</v>
      </c>
      <c r="K8" s="408">
        <v>153927</v>
      </c>
      <c r="L8" s="408">
        <v>80308</v>
      </c>
      <c r="M8" s="408">
        <v>103700</v>
      </c>
      <c r="N8" s="408">
        <v>0</v>
      </c>
      <c r="O8" s="408">
        <v>0</v>
      </c>
      <c r="P8" s="408">
        <v>655803</v>
      </c>
      <c r="Q8" s="408">
        <v>0</v>
      </c>
      <c r="R8" s="408">
        <v>5469491</v>
      </c>
      <c r="S8" s="408">
        <v>0</v>
      </c>
      <c r="T8" s="408">
        <v>0</v>
      </c>
      <c r="U8" s="408">
        <v>8894</v>
      </c>
      <c r="V8" s="408">
        <v>326125</v>
      </c>
      <c r="W8" s="408">
        <v>71312</v>
      </c>
      <c r="X8" s="408">
        <v>41481</v>
      </c>
      <c r="Y8" s="408">
        <v>0</v>
      </c>
      <c r="Z8" s="408">
        <v>236112</v>
      </c>
      <c r="AA8" s="408">
        <v>0</v>
      </c>
      <c r="AB8" s="408">
        <v>0</v>
      </c>
      <c r="AC8" s="408">
        <v>3331</v>
      </c>
      <c r="AD8" s="408">
        <v>0</v>
      </c>
      <c r="AE8" s="408">
        <v>0</v>
      </c>
      <c r="AF8" s="408">
        <v>0</v>
      </c>
      <c r="AG8" s="408">
        <v>44344</v>
      </c>
      <c r="AH8" s="408">
        <v>10165</v>
      </c>
      <c r="AI8" s="408">
        <v>20440</v>
      </c>
      <c r="AJ8" s="408">
        <v>0</v>
      </c>
      <c r="AK8" s="408">
        <v>244346</v>
      </c>
      <c r="AL8" s="408">
        <v>0</v>
      </c>
      <c r="AM8" s="408">
        <v>0</v>
      </c>
      <c r="AN8" s="408">
        <v>0</v>
      </c>
      <c r="AO8" s="408">
        <v>0</v>
      </c>
      <c r="AP8" s="408">
        <v>310334</v>
      </c>
      <c r="AQ8" s="408">
        <v>247563</v>
      </c>
      <c r="AR8" s="408">
        <v>70931</v>
      </c>
      <c r="AS8" s="408">
        <v>40006</v>
      </c>
      <c r="AT8" s="408">
        <v>501</v>
      </c>
      <c r="AU8" s="408">
        <v>0</v>
      </c>
      <c r="AV8" s="408">
        <v>52013</v>
      </c>
      <c r="AW8" s="408">
        <v>0</v>
      </c>
      <c r="AX8" s="408">
        <v>365081</v>
      </c>
      <c r="AY8" s="408">
        <v>51755</v>
      </c>
      <c r="AZ8" s="408">
        <v>0</v>
      </c>
      <c r="BA8" s="408">
        <v>20951</v>
      </c>
      <c r="BB8" s="408">
        <v>28000</v>
      </c>
      <c r="BC8" s="408">
        <v>377776</v>
      </c>
      <c r="BD8" s="408">
        <v>617547</v>
      </c>
      <c r="BE8" s="408">
        <v>16966</v>
      </c>
      <c r="BF8" s="408">
        <v>37817</v>
      </c>
      <c r="BG8" s="408">
        <v>409725</v>
      </c>
      <c r="BH8" s="408">
        <v>41294</v>
      </c>
      <c r="BI8" s="408">
        <v>52055</v>
      </c>
      <c r="BJ8" s="408">
        <v>62189</v>
      </c>
      <c r="BK8" s="408">
        <v>15488</v>
      </c>
      <c r="BL8" s="408">
        <v>240849</v>
      </c>
      <c r="BM8" s="408">
        <v>9874</v>
      </c>
      <c r="BN8" s="408">
        <v>0</v>
      </c>
      <c r="BO8" s="408">
        <v>0</v>
      </c>
      <c r="BP8" s="408">
        <v>51563</v>
      </c>
      <c r="BQ8" s="408">
        <v>67408</v>
      </c>
      <c r="BR8" s="408">
        <v>0</v>
      </c>
      <c r="BS8" s="408">
        <v>79245</v>
      </c>
      <c r="BT8" s="408">
        <v>532174</v>
      </c>
    </row>
    <row r="9" spans="1:72" s="408" customFormat="1" x14ac:dyDescent="0.3">
      <c r="A9" s="408">
        <v>12</v>
      </c>
      <c r="B9" s="409"/>
      <c r="C9" s="408">
        <v>12</v>
      </c>
      <c r="D9" s="408" t="s">
        <v>619</v>
      </c>
      <c r="E9" s="408" t="s">
        <v>304</v>
      </c>
    </row>
    <row r="10" spans="1:72" s="408" customFormat="1" x14ac:dyDescent="0.3">
      <c r="A10" s="408">
        <v>13</v>
      </c>
      <c r="B10" s="409"/>
      <c r="C10" s="408">
        <v>13</v>
      </c>
      <c r="D10" s="408" t="s">
        <v>620</v>
      </c>
      <c r="E10" s="408" t="s">
        <v>305</v>
      </c>
    </row>
    <row r="11" spans="1:72" s="408" customFormat="1" x14ac:dyDescent="0.3">
      <c r="A11" s="408">
        <v>14</v>
      </c>
      <c r="B11" s="409"/>
      <c r="C11" s="408">
        <v>14</v>
      </c>
      <c r="D11" s="408" t="s">
        <v>306</v>
      </c>
      <c r="E11" s="408" t="s">
        <v>307</v>
      </c>
    </row>
    <row r="12" spans="1:72" s="408" customFormat="1" x14ac:dyDescent="0.3">
      <c r="A12" s="408">
        <v>16</v>
      </c>
      <c r="B12" s="409">
        <v>16</v>
      </c>
      <c r="C12" s="408">
        <v>16</v>
      </c>
      <c r="D12" s="408" t="s">
        <v>206</v>
      </c>
      <c r="E12" s="408" t="s">
        <v>308</v>
      </c>
      <c r="F12" s="408">
        <v>9786471</v>
      </c>
      <c r="G12" s="408">
        <v>5375674</v>
      </c>
      <c r="H12" s="408">
        <v>641551</v>
      </c>
      <c r="I12" s="408">
        <v>15969314</v>
      </c>
      <c r="J12" s="408">
        <v>146458</v>
      </c>
      <c r="K12" s="408">
        <v>1690626</v>
      </c>
      <c r="L12" s="408">
        <v>4375452</v>
      </c>
      <c r="M12" s="408">
        <v>442826</v>
      </c>
      <c r="N12" s="408">
        <v>62139240</v>
      </c>
      <c r="O12" s="408">
        <v>21023</v>
      </c>
      <c r="P12" s="408">
        <v>8613926</v>
      </c>
      <c r="Q12" s="408">
        <v>1372573</v>
      </c>
      <c r="R12" s="408">
        <v>30720519</v>
      </c>
      <c r="S12" s="408">
        <v>131261140</v>
      </c>
      <c r="T12" s="408">
        <v>0</v>
      </c>
      <c r="U12" s="408">
        <v>726974</v>
      </c>
      <c r="V12" s="408">
        <v>6825790</v>
      </c>
      <c r="W12" s="408">
        <v>802721</v>
      </c>
      <c r="X12" s="408">
        <v>489724</v>
      </c>
      <c r="Y12" s="408">
        <v>159886</v>
      </c>
      <c r="Z12" s="408">
        <v>3941715</v>
      </c>
      <c r="AA12" s="408">
        <v>0</v>
      </c>
      <c r="AB12" s="408">
        <v>0</v>
      </c>
      <c r="AC12" s="408">
        <v>441475</v>
      </c>
      <c r="AD12" s="408">
        <v>12978943</v>
      </c>
      <c r="AE12" s="408">
        <v>2273897</v>
      </c>
      <c r="AF12" s="408">
        <v>240923</v>
      </c>
      <c r="AG12" s="408">
        <v>304316</v>
      </c>
      <c r="AH12" s="408">
        <v>51963</v>
      </c>
      <c r="AI12" s="408">
        <v>9213742</v>
      </c>
      <c r="AJ12" s="408">
        <v>7130331</v>
      </c>
      <c r="AK12" s="408">
        <v>1576070</v>
      </c>
      <c r="AL12" s="408">
        <v>0</v>
      </c>
      <c r="AM12" s="408">
        <v>0</v>
      </c>
      <c r="AN12" s="408">
        <v>82702</v>
      </c>
      <c r="AO12" s="408">
        <v>4483677</v>
      </c>
      <c r="AP12" s="408">
        <v>1951494</v>
      </c>
      <c r="AQ12" s="408">
        <v>4442925</v>
      </c>
      <c r="AR12" s="408">
        <v>216547</v>
      </c>
      <c r="AS12" s="408">
        <v>1119161</v>
      </c>
      <c r="AT12" s="408">
        <v>1158029</v>
      </c>
      <c r="AU12" s="408">
        <v>4210786</v>
      </c>
      <c r="AV12" s="408">
        <v>1916078</v>
      </c>
      <c r="AW12" s="408">
        <v>0</v>
      </c>
      <c r="AX12" s="408">
        <v>9006167</v>
      </c>
      <c r="AY12" s="408">
        <v>1623380</v>
      </c>
      <c r="AZ12" s="408">
        <v>9508385</v>
      </c>
      <c r="BA12" s="408">
        <v>256381</v>
      </c>
      <c r="BB12" s="408">
        <v>142003</v>
      </c>
      <c r="BC12" s="408">
        <v>5418344</v>
      </c>
      <c r="BD12" s="408">
        <v>2457594</v>
      </c>
      <c r="BE12" s="408">
        <v>142405</v>
      </c>
      <c r="BF12" s="408">
        <v>540555</v>
      </c>
      <c r="BG12" s="408">
        <v>14508555</v>
      </c>
      <c r="BH12" s="408">
        <v>900226</v>
      </c>
      <c r="BI12" s="408">
        <v>161307</v>
      </c>
      <c r="BJ12" s="408">
        <v>9452833</v>
      </c>
      <c r="BK12" s="408">
        <v>559772</v>
      </c>
      <c r="BL12" s="408">
        <v>967053</v>
      </c>
      <c r="BM12" s="408">
        <v>305340</v>
      </c>
      <c r="BN12" s="408">
        <v>536613</v>
      </c>
      <c r="BO12" s="408">
        <v>1995394</v>
      </c>
      <c r="BP12" s="408">
        <v>481205</v>
      </c>
      <c r="BQ12" s="408">
        <v>4314516</v>
      </c>
      <c r="BR12" s="408">
        <v>58816248</v>
      </c>
      <c r="BS12" s="408">
        <v>2197866</v>
      </c>
      <c r="BT12" s="408">
        <v>6865228</v>
      </c>
    </row>
    <row r="13" spans="1:72" s="408" customFormat="1" x14ac:dyDescent="0.3">
      <c r="A13" s="408">
        <v>17</v>
      </c>
      <c r="B13" s="409">
        <v>17</v>
      </c>
      <c r="C13" s="408">
        <v>17</v>
      </c>
      <c r="D13" s="408" t="s">
        <v>209</v>
      </c>
      <c r="E13" s="408" t="s">
        <v>309</v>
      </c>
      <c r="F13" s="408">
        <v>0</v>
      </c>
      <c r="G13" s="408">
        <v>0</v>
      </c>
      <c r="H13" s="408">
        <v>4287</v>
      </c>
      <c r="I13" s="408">
        <v>882460</v>
      </c>
      <c r="J13" s="408">
        <v>0</v>
      </c>
      <c r="K13" s="408">
        <v>0</v>
      </c>
      <c r="L13" s="408">
        <v>0</v>
      </c>
      <c r="M13" s="408">
        <v>42064</v>
      </c>
      <c r="N13" s="408">
        <v>1508300</v>
      </c>
      <c r="O13" s="408">
        <v>0</v>
      </c>
      <c r="P13" s="408">
        <v>0</v>
      </c>
      <c r="Q13" s="408">
        <v>67919</v>
      </c>
      <c r="R13" s="408">
        <v>0</v>
      </c>
      <c r="S13" s="408">
        <v>3893993</v>
      </c>
      <c r="T13" s="408">
        <v>0</v>
      </c>
      <c r="U13" s="408">
        <v>0</v>
      </c>
      <c r="V13" s="408">
        <v>244802</v>
      </c>
      <c r="W13" s="408">
        <v>0</v>
      </c>
      <c r="X13" s="408">
        <v>0</v>
      </c>
      <c r="Y13" s="408">
        <v>0</v>
      </c>
      <c r="Z13" s="408">
        <v>653593</v>
      </c>
      <c r="AA13" s="408">
        <v>0</v>
      </c>
      <c r="AB13" s="408">
        <v>0</v>
      </c>
      <c r="AC13" s="408">
        <v>0</v>
      </c>
      <c r="AD13" s="408">
        <v>0</v>
      </c>
      <c r="AE13" s="408">
        <v>0</v>
      </c>
      <c r="AF13" s="408">
        <v>0</v>
      </c>
      <c r="AG13" s="408">
        <v>0</v>
      </c>
      <c r="AH13" s="408">
        <v>0</v>
      </c>
      <c r="AI13" s="408">
        <v>0</v>
      </c>
      <c r="AJ13" s="408">
        <v>0</v>
      </c>
      <c r="AK13" s="408">
        <v>0</v>
      </c>
      <c r="AL13" s="408">
        <v>0</v>
      </c>
      <c r="AM13" s="408">
        <v>0</v>
      </c>
      <c r="AN13" s="408">
        <v>0</v>
      </c>
      <c r="AO13" s="408">
        <v>0</v>
      </c>
      <c r="AP13" s="408">
        <v>0</v>
      </c>
      <c r="AQ13" s="408">
        <v>120717</v>
      </c>
      <c r="AR13" s="408">
        <v>0</v>
      </c>
      <c r="AS13" s="408">
        <v>0</v>
      </c>
      <c r="AT13" s="408">
        <v>0</v>
      </c>
      <c r="AU13" s="408">
        <v>0</v>
      </c>
      <c r="AV13" s="408">
        <v>77049</v>
      </c>
      <c r="AW13" s="408">
        <v>0</v>
      </c>
      <c r="AX13" s="408">
        <v>157110</v>
      </c>
      <c r="AY13" s="408">
        <v>0</v>
      </c>
      <c r="AZ13" s="408">
        <v>141720</v>
      </c>
      <c r="BA13" s="408">
        <v>0</v>
      </c>
      <c r="BB13" s="408">
        <v>0</v>
      </c>
      <c r="BC13" s="408">
        <v>615541</v>
      </c>
      <c r="BD13" s="408">
        <v>205490</v>
      </c>
      <c r="BE13" s="408">
        <v>0</v>
      </c>
      <c r="BF13" s="408">
        <v>0</v>
      </c>
      <c r="BG13" s="408">
        <v>957520</v>
      </c>
      <c r="BH13" s="408">
        <v>0</v>
      </c>
      <c r="BI13" s="408">
        <v>11500</v>
      </c>
      <c r="BJ13" s="408">
        <v>6500</v>
      </c>
      <c r="BK13" s="408">
        <v>0</v>
      </c>
      <c r="BL13" s="408">
        <v>0</v>
      </c>
      <c r="BM13" s="408">
        <v>0</v>
      </c>
      <c r="BN13" s="408">
        <v>7966</v>
      </c>
      <c r="BO13" s="408">
        <v>0</v>
      </c>
      <c r="BP13" s="408">
        <v>0</v>
      </c>
      <c r="BQ13" s="408">
        <v>0</v>
      </c>
      <c r="BR13" s="408">
        <v>55709</v>
      </c>
      <c r="BS13" s="408">
        <v>0</v>
      </c>
      <c r="BT13" s="408">
        <v>0</v>
      </c>
    </row>
    <row r="14" spans="1:72" s="408" customFormat="1" x14ac:dyDescent="0.3">
      <c r="A14" s="408">
        <v>19</v>
      </c>
      <c r="B14" s="409"/>
      <c r="C14" s="408">
        <v>19</v>
      </c>
      <c r="D14" s="408" t="s">
        <v>621</v>
      </c>
      <c r="E14" s="408" t="s">
        <v>310</v>
      </c>
    </row>
    <row r="15" spans="1:72" s="408" customFormat="1" x14ac:dyDescent="0.3">
      <c r="A15" s="408">
        <v>20</v>
      </c>
      <c r="B15" s="409">
        <v>20</v>
      </c>
      <c r="C15" s="408">
        <v>20</v>
      </c>
      <c r="D15" s="408" t="s">
        <v>210</v>
      </c>
      <c r="E15" s="408" t="s">
        <v>311</v>
      </c>
      <c r="F15" s="408">
        <v>19100</v>
      </c>
      <c r="G15" s="408">
        <v>684502</v>
      </c>
      <c r="H15" s="408">
        <v>0</v>
      </c>
      <c r="I15" s="408">
        <v>239571</v>
      </c>
      <c r="J15" s="408">
        <v>0</v>
      </c>
      <c r="K15" s="408">
        <v>0</v>
      </c>
      <c r="L15" s="408">
        <v>10316</v>
      </c>
      <c r="M15" s="408">
        <v>0</v>
      </c>
      <c r="N15" s="408">
        <v>3147200</v>
      </c>
      <c r="O15" s="408">
        <v>0</v>
      </c>
      <c r="P15" s="408">
        <v>30000</v>
      </c>
      <c r="Q15" s="408">
        <v>181484</v>
      </c>
      <c r="R15" s="408">
        <v>4534700</v>
      </c>
      <c r="S15" s="408">
        <v>9939826</v>
      </c>
      <c r="T15" s="408">
        <v>0</v>
      </c>
      <c r="U15" s="408">
        <v>0</v>
      </c>
      <c r="V15" s="408">
        <v>0</v>
      </c>
      <c r="W15" s="408">
        <v>0</v>
      </c>
      <c r="X15" s="408">
        <v>0</v>
      </c>
      <c r="Y15" s="408">
        <v>0</v>
      </c>
      <c r="Z15" s="408">
        <v>11752</v>
      </c>
      <c r="AA15" s="408">
        <v>0</v>
      </c>
      <c r="AB15" s="408">
        <v>0</v>
      </c>
      <c r="AC15" s="408">
        <v>0</v>
      </c>
      <c r="AD15" s="408">
        <v>409836</v>
      </c>
      <c r="AE15" s="408">
        <v>0</v>
      </c>
      <c r="AF15" s="408">
        <v>0</v>
      </c>
      <c r="AG15" s="408">
        <v>0</v>
      </c>
      <c r="AH15" s="408">
        <v>0</v>
      </c>
      <c r="AI15" s="408">
        <v>573999</v>
      </c>
      <c r="AJ15" s="408">
        <v>0</v>
      </c>
      <c r="AK15" s="408">
        <v>0</v>
      </c>
      <c r="AL15" s="408">
        <v>0</v>
      </c>
      <c r="AM15" s="408">
        <v>0</v>
      </c>
      <c r="AN15" s="408">
        <v>0</v>
      </c>
      <c r="AO15" s="408">
        <v>156476</v>
      </c>
      <c r="AP15" s="408">
        <v>0</v>
      </c>
      <c r="AQ15" s="408">
        <v>0</v>
      </c>
      <c r="AR15" s="408">
        <v>0</v>
      </c>
      <c r="AS15" s="408">
        <v>0</v>
      </c>
      <c r="AT15" s="408">
        <v>0</v>
      </c>
      <c r="AU15" s="408">
        <v>0</v>
      </c>
      <c r="AV15" s="408">
        <v>0</v>
      </c>
      <c r="AW15" s="408">
        <v>0</v>
      </c>
      <c r="AX15" s="408">
        <v>148875</v>
      </c>
      <c r="AY15" s="408">
        <v>0</v>
      </c>
      <c r="AZ15" s="408">
        <v>669954</v>
      </c>
      <c r="BA15" s="408">
        <v>0</v>
      </c>
      <c r="BB15" s="408">
        <v>0</v>
      </c>
      <c r="BC15" s="408">
        <v>231403</v>
      </c>
      <c r="BD15" s="408">
        <v>30000</v>
      </c>
      <c r="BE15" s="408">
        <v>0</v>
      </c>
      <c r="BF15" s="408">
        <v>0</v>
      </c>
      <c r="BG15" s="408">
        <v>0</v>
      </c>
      <c r="BH15" s="408">
        <v>0</v>
      </c>
      <c r="BI15" s="408">
        <v>0</v>
      </c>
      <c r="BJ15" s="408">
        <v>1841696</v>
      </c>
      <c r="BK15" s="408">
        <v>79394</v>
      </c>
      <c r="BL15" s="408">
        <v>0</v>
      </c>
      <c r="BM15" s="408">
        <v>0</v>
      </c>
      <c r="BN15" s="408">
        <v>0</v>
      </c>
      <c r="BO15" s="408">
        <v>169000</v>
      </c>
      <c r="BP15" s="408">
        <v>13178</v>
      </c>
      <c r="BQ15" s="408">
        <v>0</v>
      </c>
      <c r="BR15" s="408">
        <v>6580035</v>
      </c>
      <c r="BS15" s="408">
        <v>398411</v>
      </c>
      <c r="BT15" s="408">
        <v>20000</v>
      </c>
    </row>
    <row r="16" spans="1:72" s="408" customFormat="1" x14ac:dyDescent="0.3">
      <c r="A16" s="408">
        <v>21</v>
      </c>
      <c r="B16" s="409"/>
      <c r="C16" s="408">
        <v>21</v>
      </c>
      <c r="D16" s="408" t="s">
        <v>622</v>
      </c>
      <c r="E16" s="408" t="s">
        <v>312</v>
      </c>
    </row>
    <row r="17" spans="1:72" s="408" customFormat="1" x14ac:dyDescent="0.3">
      <c r="A17" s="408">
        <v>22</v>
      </c>
      <c r="B17" s="409">
        <v>22</v>
      </c>
      <c r="C17" s="408">
        <v>22</v>
      </c>
      <c r="D17" s="408" t="s">
        <v>212</v>
      </c>
      <c r="E17" s="408" t="s">
        <v>313</v>
      </c>
      <c r="F17" s="408">
        <v>-13467</v>
      </c>
      <c r="G17" s="408">
        <v>0</v>
      </c>
      <c r="H17" s="408">
        <v>0</v>
      </c>
      <c r="I17" s="408">
        <v>0</v>
      </c>
      <c r="J17" s="408">
        <v>0</v>
      </c>
      <c r="K17" s="408">
        <v>0</v>
      </c>
      <c r="L17" s="408">
        <v>67783</v>
      </c>
      <c r="M17" s="408">
        <v>0</v>
      </c>
      <c r="N17" s="408">
        <v>0</v>
      </c>
      <c r="O17" s="408">
        <v>0</v>
      </c>
      <c r="P17" s="408">
        <v>57996</v>
      </c>
      <c r="Q17" s="408">
        <v>0</v>
      </c>
      <c r="R17" s="408">
        <v>0</v>
      </c>
      <c r="S17" s="408">
        <v>107069</v>
      </c>
      <c r="T17" s="408">
        <v>0</v>
      </c>
      <c r="U17" s="408">
        <v>0</v>
      </c>
      <c r="V17" s="408">
        <v>42976</v>
      </c>
      <c r="W17" s="408">
        <v>0</v>
      </c>
      <c r="X17" s="408">
        <v>0</v>
      </c>
      <c r="Y17" s="408">
        <v>0</v>
      </c>
      <c r="Z17" s="408">
        <v>3938</v>
      </c>
      <c r="AA17" s="408">
        <v>0</v>
      </c>
      <c r="AB17" s="408">
        <v>0</v>
      </c>
      <c r="AC17" s="408">
        <v>0</v>
      </c>
      <c r="AD17" s="408">
        <v>0</v>
      </c>
      <c r="AE17" s="408">
        <v>23254</v>
      </c>
      <c r="AF17" s="408">
        <v>0</v>
      </c>
      <c r="AG17" s="408">
        <v>92717</v>
      </c>
      <c r="AH17" s="408">
        <v>0</v>
      </c>
      <c r="AI17" s="408">
        <v>0</v>
      </c>
      <c r="AJ17" s="408">
        <v>20118</v>
      </c>
      <c r="AK17" s="408">
        <v>136021</v>
      </c>
      <c r="AL17" s="408">
        <v>0</v>
      </c>
      <c r="AM17" s="408">
        <v>0</v>
      </c>
      <c r="AN17" s="408">
        <v>0</v>
      </c>
      <c r="AO17" s="408">
        <v>30704</v>
      </c>
      <c r="AP17" s="408">
        <v>0</v>
      </c>
      <c r="AQ17" s="408">
        <v>0</v>
      </c>
      <c r="AR17" s="408">
        <v>0</v>
      </c>
      <c r="AS17" s="408">
        <v>0</v>
      </c>
      <c r="AT17" s="408">
        <v>70850</v>
      </c>
      <c r="AU17" s="408">
        <v>15889</v>
      </c>
      <c r="AV17" s="408">
        <v>0</v>
      </c>
      <c r="AW17" s="408">
        <v>0</v>
      </c>
      <c r="AX17" s="408">
        <v>563663</v>
      </c>
      <c r="AY17" s="408">
        <v>0</v>
      </c>
      <c r="AZ17" s="408">
        <v>26027</v>
      </c>
      <c r="BA17" s="408">
        <v>0</v>
      </c>
      <c r="BB17" s="408">
        <v>0</v>
      </c>
      <c r="BC17" s="408">
        <v>0</v>
      </c>
      <c r="BD17" s="408">
        <v>0</v>
      </c>
      <c r="BE17" s="408">
        <v>0</v>
      </c>
      <c r="BF17" s="408">
        <v>4000</v>
      </c>
      <c r="BG17" s="408">
        <v>0</v>
      </c>
      <c r="BH17" s="408">
        <v>0</v>
      </c>
      <c r="BI17" s="408">
        <v>0</v>
      </c>
      <c r="BJ17" s="408">
        <v>10350</v>
      </c>
      <c r="BK17" s="408">
        <v>0</v>
      </c>
      <c r="BL17" s="408">
        <v>52990</v>
      </c>
      <c r="BM17" s="408">
        <v>0</v>
      </c>
      <c r="BN17" s="408">
        <v>0</v>
      </c>
      <c r="BO17" s="408">
        <v>0</v>
      </c>
      <c r="BP17" s="408">
        <v>300</v>
      </c>
      <c r="BQ17" s="408">
        <v>84435</v>
      </c>
      <c r="BR17" s="408">
        <v>0</v>
      </c>
      <c r="BS17" s="408">
        <v>0</v>
      </c>
      <c r="BT17" s="408">
        <v>42582</v>
      </c>
    </row>
    <row r="18" spans="1:72" s="408" customFormat="1" x14ac:dyDescent="0.3">
      <c r="A18" s="408">
        <v>23</v>
      </c>
      <c r="B18" s="409">
        <v>23</v>
      </c>
      <c r="C18" s="408">
        <v>23</v>
      </c>
      <c r="D18" s="408" t="s">
        <v>215</v>
      </c>
      <c r="E18" s="408" t="s">
        <v>314</v>
      </c>
      <c r="F18" s="408">
        <v>792211</v>
      </c>
      <c r="G18" s="408">
        <v>-185063</v>
      </c>
      <c r="H18" s="408">
        <v>217056</v>
      </c>
      <c r="I18" s="408">
        <v>1367823</v>
      </c>
      <c r="J18" s="408">
        <v>35870</v>
      </c>
      <c r="K18" s="408">
        <v>356231</v>
      </c>
      <c r="L18" s="408">
        <v>128818</v>
      </c>
      <c r="M18" s="408">
        <v>55212</v>
      </c>
      <c r="N18" s="408">
        <v>2430163</v>
      </c>
      <c r="O18" s="408">
        <v>-274</v>
      </c>
      <c r="P18" s="408">
        <v>820849</v>
      </c>
      <c r="Q18" s="408">
        <v>143558</v>
      </c>
      <c r="R18" s="408">
        <v>-3775553</v>
      </c>
      <c r="S18" s="408">
        <v>10956006</v>
      </c>
      <c r="T18" s="408" t="s">
        <v>1751</v>
      </c>
      <c r="U18" s="408">
        <v>316575</v>
      </c>
      <c r="V18" s="408">
        <v>115687</v>
      </c>
      <c r="W18" s="408">
        <v>-29607</v>
      </c>
      <c r="X18" s="408">
        <v>17264</v>
      </c>
      <c r="Y18" s="408">
        <v>35023</v>
      </c>
      <c r="Z18" s="408">
        <v>-424129</v>
      </c>
      <c r="AA18" s="408" t="s">
        <v>1751</v>
      </c>
      <c r="AB18" s="408" t="s">
        <v>1751</v>
      </c>
      <c r="AC18" s="408">
        <v>37092</v>
      </c>
      <c r="AD18" s="408">
        <v>526756</v>
      </c>
      <c r="AE18" s="408">
        <v>241913</v>
      </c>
      <c r="AF18" s="408">
        <v>20042</v>
      </c>
      <c r="AG18" s="408">
        <v>166296</v>
      </c>
      <c r="AH18" s="408">
        <v>-1808</v>
      </c>
      <c r="AI18" s="408">
        <v>-420082</v>
      </c>
      <c r="AJ18" s="408">
        <v>-85033</v>
      </c>
      <c r="AK18" s="408">
        <v>66621</v>
      </c>
      <c r="AL18" s="408" t="s">
        <v>1751</v>
      </c>
      <c r="AM18" s="408" t="s">
        <v>1751</v>
      </c>
      <c r="AN18" s="408">
        <v>14284</v>
      </c>
      <c r="AO18" s="408">
        <v>317189</v>
      </c>
      <c r="AP18" s="408">
        <v>189877</v>
      </c>
      <c r="AQ18" s="408">
        <v>99911</v>
      </c>
      <c r="AR18" s="408">
        <v>38110</v>
      </c>
      <c r="AS18" s="408">
        <v>291752</v>
      </c>
      <c r="AT18" s="408">
        <v>157562</v>
      </c>
      <c r="AU18" s="408">
        <v>-223384</v>
      </c>
      <c r="AV18" s="408">
        <v>147167</v>
      </c>
      <c r="AW18" s="408" t="s">
        <v>1751</v>
      </c>
      <c r="AX18" s="408">
        <v>898930</v>
      </c>
      <c r="AY18" s="408">
        <v>428250</v>
      </c>
      <c r="AZ18" s="408">
        <v>192241</v>
      </c>
      <c r="BA18" s="408">
        <v>344676</v>
      </c>
      <c r="BB18" s="408">
        <v>10986</v>
      </c>
      <c r="BC18" s="408">
        <v>-364420</v>
      </c>
      <c r="BD18" s="408">
        <v>-20209</v>
      </c>
      <c r="BE18" s="408">
        <v>-151787</v>
      </c>
      <c r="BF18" s="408">
        <v>82659</v>
      </c>
      <c r="BG18" s="408">
        <v>23699</v>
      </c>
      <c r="BH18" s="408">
        <v>214780</v>
      </c>
      <c r="BI18" s="408">
        <v>-12750</v>
      </c>
      <c r="BJ18" s="408">
        <v>-614653</v>
      </c>
      <c r="BK18" s="408">
        <v>-174165</v>
      </c>
      <c r="BL18" s="408">
        <v>98712</v>
      </c>
      <c r="BM18" s="408">
        <v>13587</v>
      </c>
      <c r="BN18" s="408">
        <v>152809</v>
      </c>
      <c r="BO18" s="408">
        <v>60270</v>
      </c>
      <c r="BP18" s="408">
        <v>9971</v>
      </c>
      <c r="BQ18" s="408">
        <v>-195937</v>
      </c>
      <c r="BR18" s="408">
        <v>-2640321</v>
      </c>
      <c r="BS18" s="408">
        <v>-121719</v>
      </c>
      <c r="BT18" s="408">
        <v>628055</v>
      </c>
    </row>
    <row r="19" spans="1:72" s="408" customFormat="1" x14ac:dyDescent="0.3">
      <c r="A19" s="408">
        <v>31</v>
      </c>
      <c r="B19" s="409"/>
      <c r="C19" s="408">
        <v>31</v>
      </c>
      <c r="D19" s="408" t="s">
        <v>623</v>
      </c>
      <c r="E19" s="408" t="s">
        <v>315</v>
      </c>
    </row>
    <row r="20" spans="1:72" s="408" customFormat="1" x14ac:dyDescent="0.3">
      <c r="A20" s="408">
        <v>32</v>
      </c>
      <c r="B20" s="409"/>
      <c r="C20" s="408">
        <v>32</v>
      </c>
      <c r="D20" s="408" t="s">
        <v>316</v>
      </c>
      <c r="E20" s="408" t="s">
        <v>317</v>
      </c>
    </row>
    <row r="21" spans="1:72" s="408" customFormat="1" x14ac:dyDescent="0.3">
      <c r="A21" s="408">
        <v>33</v>
      </c>
      <c r="B21" s="409"/>
      <c r="C21" s="408">
        <v>33</v>
      </c>
      <c r="D21" s="408" t="s">
        <v>318</v>
      </c>
      <c r="E21" s="408" t="s">
        <v>319</v>
      </c>
    </row>
    <row r="22" spans="1:72" s="408" customFormat="1" x14ac:dyDescent="0.3">
      <c r="A22" s="408">
        <v>34</v>
      </c>
      <c r="B22" s="409"/>
      <c r="C22" s="408">
        <v>34</v>
      </c>
      <c r="D22" s="408" t="s">
        <v>320</v>
      </c>
      <c r="E22" s="408" t="s">
        <v>321</v>
      </c>
    </row>
    <row r="23" spans="1:72" s="408" customFormat="1" x14ac:dyDescent="0.3">
      <c r="A23" s="408">
        <v>35</v>
      </c>
      <c r="B23" s="409"/>
      <c r="C23" s="408">
        <v>35</v>
      </c>
      <c r="D23" s="408" t="s">
        <v>624</v>
      </c>
      <c r="E23" s="408" t="s">
        <v>322</v>
      </c>
    </row>
    <row r="24" spans="1:72" s="408" customFormat="1" x14ac:dyDescent="0.3">
      <c r="A24" s="408">
        <v>36</v>
      </c>
      <c r="B24" s="409"/>
      <c r="C24" s="408">
        <v>36</v>
      </c>
      <c r="D24" s="408" t="s">
        <v>625</v>
      </c>
      <c r="E24" s="408" t="s">
        <v>323</v>
      </c>
    </row>
    <row r="25" spans="1:72" s="408" customFormat="1" x14ac:dyDescent="0.3">
      <c r="A25" s="408">
        <v>37</v>
      </c>
      <c r="B25" s="409"/>
      <c r="C25" s="408">
        <v>37</v>
      </c>
      <c r="D25" s="408" t="s">
        <v>324</v>
      </c>
      <c r="E25" s="408" t="s">
        <v>325</v>
      </c>
    </row>
    <row r="26" spans="1:72" s="408" customFormat="1" x14ac:dyDescent="0.3">
      <c r="A26" s="408">
        <v>38</v>
      </c>
      <c r="B26" s="409"/>
      <c r="C26" s="408">
        <v>38</v>
      </c>
      <c r="D26" s="408" t="s">
        <v>626</v>
      </c>
      <c r="E26" s="408" t="s">
        <v>326</v>
      </c>
    </row>
    <row r="27" spans="1:72" s="408" customFormat="1" x14ac:dyDescent="0.3">
      <c r="A27" s="408">
        <v>39</v>
      </c>
      <c r="B27" s="409"/>
      <c r="C27" s="408">
        <v>39</v>
      </c>
      <c r="D27" s="408" t="s">
        <v>327</v>
      </c>
      <c r="E27" s="408" t="s">
        <v>328</v>
      </c>
    </row>
    <row r="28" spans="1:72" s="408" customFormat="1" x14ac:dyDescent="0.3">
      <c r="A28" s="408">
        <v>40</v>
      </c>
      <c r="B28" s="409"/>
      <c r="C28" s="408">
        <v>40</v>
      </c>
      <c r="D28" s="408" t="s">
        <v>329</v>
      </c>
      <c r="E28" s="408" t="s">
        <v>330</v>
      </c>
    </row>
    <row r="29" spans="1:72" s="408" customFormat="1" x14ac:dyDescent="0.3">
      <c r="A29" s="408">
        <v>41</v>
      </c>
      <c r="B29" s="409"/>
      <c r="C29" s="408">
        <v>41</v>
      </c>
      <c r="D29" s="408" t="s">
        <v>331</v>
      </c>
      <c r="E29" s="408" t="s">
        <v>332</v>
      </c>
    </row>
    <row r="30" spans="1:72" s="408" customFormat="1" x14ac:dyDescent="0.3">
      <c r="A30" s="408">
        <v>43</v>
      </c>
      <c r="B30" s="409"/>
      <c r="C30" s="408">
        <v>43</v>
      </c>
      <c r="D30" s="408" t="s">
        <v>333</v>
      </c>
      <c r="E30" s="408" t="s">
        <v>334</v>
      </c>
    </row>
    <row r="31" spans="1:72" s="408" customFormat="1" x14ac:dyDescent="0.3">
      <c r="A31" s="408">
        <v>44</v>
      </c>
      <c r="B31" s="409"/>
      <c r="C31" s="408">
        <v>44</v>
      </c>
      <c r="D31" s="408" t="s">
        <v>627</v>
      </c>
      <c r="E31" s="408" t="s">
        <v>335</v>
      </c>
      <c r="F31" s="408">
        <v>3127686</v>
      </c>
      <c r="G31" s="408">
        <v>1250035</v>
      </c>
      <c r="H31" s="408">
        <v>315155</v>
      </c>
      <c r="I31" s="408">
        <v>6555925</v>
      </c>
      <c r="J31" s="408">
        <v>0</v>
      </c>
      <c r="K31" s="408">
        <v>0</v>
      </c>
      <c r="L31" s="408">
        <v>4863606</v>
      </c>
      <c r="M31" s="408">
        <v>182009</v>
      </c>
      <c r="N31" s="408">
        <v>63477432</v>
      </c>
      <c r="O31" s="408">
        <v>0</v>
      </c>
      <c r="P31" s="408">
        <v>7490503</v>
      </c>
      <c r="Q31" s="408">
        <v>0</v>
      </c>
      <c r="R31" s="408">
        <v>14397119</v>
      </c>
      <c r="S31" s="408">
        <v>75138015</v>
      </c>
      <c r="T31" s="408">
        <v>0</v>
      </c>
      <c r="U31" s="408">
        <v>152717</v>
      </c>
      <c r="V31" s="408">
        <v>1563062</v>
      </c>
      <c r="W31" s="408">
        <v>0</v>
      </c>
      <c r="X31" s="408">
        <v>123627</v>
      </c>
      <c r="Y31" s="408">
        <v>43417</v>
      </c>
      <c r="Z31" s="408">
        <v>0</v>
      </c>
      <c r="AA31" s="408">
        <v>0</v>
      </c>
      <c r="AB31" s="408">
        <v>0</v>
      </c>
      <c r="AC31" s="408">
        <v>303543</v>
      </c>
      <c r="AD31" s="408">
        <v>2061738</v>
      </c>
      <c r="AE31" s="408">
        <v>1710946</v>
      </c>
      <c r="AF31" s="408">
        <v>126142</v>
      </c>
      <c r="AG31" s="408">
        <v>0</v>
      </c>
      <c r="AH31" s="408">
        <v>0</v>
      </c>
      <c r="AI31" s="408">
        <v>2796815</v>
      </c>
      <c r="AJ31" s="408">
        <v>2509725</v>
      </c>
      <c r="AK31" s="408">
        <v>182484</v>
      </c>
      <c r="AL31" s="408">
        <v>0</v>
      </c>
      <c r="AM31" s="408">
        <v>0</v>
      </c>
      <c r="AN31" s="408">
        <v>0</v>
      </c>
      <c r="AO31" s="408">
        <v>838927</v>
      </c>
      <c r="AP31" s="408">
        <v>1949827</v>
      </c>
      <c r="AQ31" s="408">
        <v>1377122</v>
      </c>
      <c r="AR31" s="408">
        <v>0</v>
      </c>
      <c r="AS31" s="408">
        <v>428275</v>
      </c>
      <c r="AT31" s="408">
        <v>890098</v>
      </c>
      <c r="AU31" s="408">
        <v>463664</v>
      </c>
      <c r="AV31" s="408">
        <v>1427600</v>
      </c>
      <c r="AW31" s="408">
        <v>0</v>
      </c>
      <c r="AX31" s="408">
        <v>1114726</v>
      </c>
      <c r="AY31" s="408">
        <v>680089</v>
      </c>
      <c r="AZ31" s="408">
        <v>790946</v>
      </c>
      <c r="BA31" s="408">
        <v>78137</v>
      </c>
      <c r="BB31" s="408">
        <v>0</v>
      </c>
      <c r="BC31" s="408">
        <v>0</v>
      </c>
      <c r="BD31" s="408">
        <v>726413</v>
      </c>
      <c r="BE31" s="408">
        <v>0</v>
      </c>
      <c r="BF31" s="408">
        <v>13520</v>
      </c>
      <c r="BG31" s="408">
        <v>21882551</v>
      </c>
      <c r="BH31" s="408">
        <v>925490</v>
      </c>
      <c r="BI31" s="408">
        <v>738124</v>
      </c>
      <c r="BJ31" s="408">
        <v>1320855</v>
      </c>
      <c r="BK31" s="408">
        <v>117931</v>
      </c>
      <c r="BL31" s="408">
        <v>690105</v>
      </c>
      <c r="BM31" s="408">
        <v>0</v>
      </c>
      <c r="BN31" s="408">
        <v>201362</v>
      </c>
      <c r="BO31" s="408">
        <v>453976</v>
      </c>
      <c r="BP31" s="408">
        <v>0</v>
      </c>
      <c r="BQ31" s="408">
        <v>3142182</v>
      </c>
      <c r="BR31" s="408">
        <v>86070119</v>
      </c>
      <c r="BS31" s="408">
        <v>2185718</v>
      </c>
      <c r="BT31" s="408">
        <v>0</v>
      </c>
    </row>
    <row r="32" spans="1:72" s="408" customFormat="1" x14ac:dyDescent="0.3">
      <c r="A32" s="408">
        <v>45</v>
      </c>
      <c r="B32" s="409"/>
      <c r="C32" s="408">
        <v>45</v>
      </c>
      <c r="D32" s="408" t="s">
        <v>628</v>
      </c>
      <c r="E32" s="408" t="s">
        <v>336</v>
      </c>
      <c r="F32" s="408">
        <v>481785</v>
      </c>
      <c r="G32" s="408">
        <v>602328</v>
      </c>
      <c r="H32" s="408">
        <v>37855</v>
      </c>
      <c r="I32" s="408">
        <v>2451245</v>
      </c>
      <c r="J32" s="408">
        <v>0</v>
      </c>
      <c r="K32" s="408">
        <v>0</v>
      </c>
      <c r="L32" s="408">
        <v>916252</v>
      </c>
      <c r="M32" s="408">
        <v>37127</v>
      </c>
      <c r="N32" s="408">
        <v>5153894</v>
      </c>
      <c r="O32" s="408">
        <v>0</v>
      </c>
      <c r="P32" s="408">
        <v>1129468</v>
      </c>
      <c r="Q32" s="408">
        <v>0</v>
      </c>
      <c r="R32" s="408">
        <v>2115780</v>
      </c>
      <c r="S32" s="408">
        <v>42187408</v>
      </c>
      <c r="T32" s="408">
        <v>0</v>
      </c>
      <c r="U32" s="408">
        <v>0</v>
      </c>
      <c r="V32" s="408">
        <v>105783</v>
      </c>
      <c r="W32" s="408">
        <v>0</v>
      </c>
      <c r="X32" s="408">
        <v>32957</v>
      </c>
      <c r="Y32" s="408">
        <v>15141</v>
      </c>
      <c r="Z32" s="408">
        <v>0</v>
      </c>
      <c r="AA32" s="408">
        <v>0</v>
      </c>
      <c r="AB32" s="408">
        <v>0</v>
      </c>
      <c r="AC32" s="408">
        <v>251209</v>
      </c>
      <c r="AD32" s="408">
        <v>691531</v>
      </c>
      <c r="AE32" s="408">
        <v>53872</v>
      </c>
      <c r="AF32" s="408">
        <v>271173</v>
      </c>
      <c r="AG32" s="408">
        <v>0</v>
      </c>
      <c r="AH32" s="408">
        <v>0</v>
      </c>
      <c r="AI32" s="408">
        <v>1238519</v>
      </c>
      <c r="AJ32" s="408">
        <v>653513</v>
      </c>
      <c r="AK32" s="408">
        <v>355814</v>
      </c>
      <c r="AL32" s="408">
        <v>0</v>
      </c>
      <c r="AM32" s="408">
        <v>0</v>
      </c>
      <c r="AN32" s="408">
        <v>0</v>
      </c>
      <c r="AO32" s="408">
        <v>342017</v>
      </c>
      <c r="AP32" s="408">
        <v>83</v>
      </c>
      <c r="AQ32" s="408">
        <v>616413</v>
      </c>
      <c r="AR32" s="408">
        <v>0</v>
      </c>
      <c r="AS32" s="408">
        <v>612300</v>
      </c>
      <c r="AT32" s="408">
        <v>80367</v>
      </c>
      <c r="AU32" s="408">
        <v>16433</v>
      </c>
      <c r="AV32" s="408">
        <v>130008</v>
      </c>
      <c r="AW32" s="408">
        <v>0</v>
      </c>
      <c r="AX32" s="408">
        <v>422860</v>
      </c>
      <c r="AY32" s="408">
        <v>43389</v>
      </c>
      <c r="AZ32" s="408">
        <v>449531</v>
      </c>
      <c r="BA32" s="408">
        <v>0</v>
      </c>
      <c r="BB32" s="408">
        <v>0</v>
      </c>
      <c r="BC32" s="408">
        <v>0</v>
      </c>
      <c r="BD32" s="408">
        <v>204706</v>
      </c>
      <c r="BE32" s="408">
        <v>0</v>
      </c>
      <c r="BF32" s="408">
        <v>0</v>
      </c>
      <c r="BG32" s="408">
        <v>1136811</v>
      </c>
      <c r="BH32" s="408">
        <v>433180</v>
      </c>
      <c r="BI32" s="408">
        <v>35758</v>
      </c>
      <c r="BJ32" s="408">
        <v>2106533</v>
      </c>
      <c r="BK32" s="408">
        <v>52589</v>
      </c>
      <c r="BL32" s="408">
        <v>78195</v>
      </c>
      <c r="BM32" s="408">
        <v>0</v>
      </c>
      <c r="BN32" s="408">
        <v>288</v>
      </c>
      <c r="BO32" s="408">
        <v>226571</v>
      </c>
      <c r="BP32" s="408">
        <v>0</v>
      </c>
      <c r="BQ32" s="408">
        <v>190788</v>
      </c>
      <c r="BR32" s="408">
        <v>4087612</v>
      </c>
      <c r="BS32" s="408">
        <v>305126</v>
      </c>
      <c r="BT32" s="408">
        <v>0</v>
      </c>
    </row>
    <row r="33" spans="1:72" s="408" customFormat="1" x14ac:dyDescent="0.3">
      <c r="A33" s="408">
        <v>46</v>
      </c>
      <c r="B33" s="409"/>
      <c r="C33" s="408">
        <v>46</v>
      </c>
      <c r="D33" s="408" t="s">
        <v>629</v>
      </c>
      <c r="E33" s="408" t="s">
        <v>337</v>
      </c>
    </row>
    <row r="34" spans="1:72" s="408" customFormat="1" x14ac:dyDescent="0.3">
      <c r="A34" s="408">
        <v>47</v>
      </c>
      <c r="B34" s="409">
        <v>47</v>
      </c>
      <c r="C34" s="408">
        <v>47</v>
      </c>
      <c r="D34" s="408" t="s">
        <v>630</v>
      </c>
      <c r="E34" s="408" t="s">
        <v>338</v>
      </c>
      <c r="F34" s="408">
        <v>0</v>
      </c>
      <c r="G34" s="408">
        <v>0</v>
      </c>
      <c r="H34" s="408">
        <v>0</v>
      </c>
      <c r="I34" s="408">
        <v>17122024</v>
      </c>
      <c r="J34" s="408">
        <v>0</v>
      </c>
      <c r="K34" s="408">
        <v>0</v>
      </c>
      <c r="L34" s="408">
        <v>0</v>
      </c>
      <c r="M34" s="408">
        <v>0</v>
      </c>
      <c r="N34" s="408">
        <v>21306174</v>
      </c>
      <c r="O34" s="408">
        <v>0</v>
      </c>
      <c r="P34" s="408">
        <v>0</v>
      </c>
      <c r="Q34" s="408">
        <v>0</v>
      </c>
      <c r="R34" s="408">
        <v>0</v>
      </c>
      <c r="S34" s="408">
        <v>0</v>
      </c>
      <c r="T34" s="408">
        <v>0</v>
      </c>
      <c r="U34" s="408">
        <v>0</v>
      </c>
      <c r="V34" s="408">
        <v>0</v>
      </c>
      <c r="W34" s="408">
        <v>0</v>
      </c>
      <c r="X34" s="408">
        <v>0</v>
      </c>
      <c r="Y34" s="408">
        <v>0</v>
      </c>
      <c r="Z34" s="408">
        <v>0</v>
      </c>
      <c r="AA34" s="408">
        <v>0</v>
      </c>
      <c r="AB34" s="408">
        <v>0</v>
      </c>
      <c r="AC34" s="408">
        <v>0</v>
      </c>
      <c r="AD34" s="408">
        <v>0</v>
      </c>
      <c r="AE34" s="408">
        <v>0</v>
      </c>
      <c r="AF34" s="408">
        <v>0</v>
      </c>
      <c r="AG34" s="408">
        <v>0</v>
      </c>
      <c r="AH34" s="408">
        <v>0</v>
      </c>
      <c r="AI34" s="408">
        <v>0</v>
      </c>
      <c r="AJ34" s="408">
        <v>0</v>
      </c>
      <c r="AK34" s="408">
        <v>802864</v>
      </c>
      <c r="AL34" s="408">
        <v>0</v>
      </c>
      <c r="AM34" s="408">
        <v>0</v>
      </c>
      <c r="AN34" s="408">
        <v>0</v>
      </c>
      <c r="AO34" s="408">
        <v>2038735</v>
      </c>
      <c r="AP34" s="408">
        <v>0</v>
      </c>
      <c r="AQ34" s="408">
        <v>0</v>
      </c>
      <c r="AR34" s="408">
        <v>0</v>
      </c>
      <c r="AS34" s="408">
        <v>0</v>
      </c>
      <c r="AT34" s="408">
        <v>0</v>
      </c>
      <c r="AU34" s="408">
        <v>0</v>
      </c>
      <c r="AV34" s="408">
        <v>0</v>
      </c>
      <c r="AW34" s="408">
        <v>0</v>
      </c>
      <c r="AX34" s="408">
        <v>0</v>
      </c>
      <c r="AY34" s="408">
        <v>0</v>
      </c>
      <c r="AZ34" s="408">
        <v>0</v>
      </c>
      <c r="BA34" s="408">
        <v>0</v>
      </c>
      <c r="BB34" s="408">
        <v>0</v>
      </c>
      <c r="BC34" s="408">
        <v>0</v>
      </c>
      <c r="BD34" s="408">
        <v>0</v>
      </c>
      <c r="BE34" s="408">
        <v>0</v>
      </c>
      <c r="BF34" s="408">
        <v>0</v>
      </c>
      <c r="BG34" s="408">
        <v>0</v>
      </c>
      <c r="BH34" s="408">
        <v>0</v>
      </c>
      <c r="BI34" s="408">
        <v>1511896</v>
      </c>
      <c r="BJ34" s="408">
        <v>0</v>
      </c>
      <c r="BK34" s="408">
        <v>0</v>
      </c>
      <c r="BL34" s="408">
        <v>0</v>
      </c>
      <c r="BM34" s="408">
        <v>0</v>
      </c>
      <c r="BN34" s="408">
        <v>0</v>
      </c>
      <c r="BO34" s="408">
        <v>0</v>
      </c>
      <c r="BP34" s="408">
        <v>0</v>
      </c>
      <c r="BQ34" s="408">
        <v>0</v>
      </c>
      <c r="BR34" s="408">
        <v>0</v>
      </c>
      <c r="BS34" s="408">
        <v>0</v>
      </c>
      <c r="BT34" s="408">
        <v>0</v>
      </c>
    </row>
    <row r="35" spans="1:72" s="408" customFormat="1" x14ac:dyDescent="0.3">
      <c r="A35" s="408">
        <v>48</v>
      </c>
      <c r="B35" s="409">
        <v>48</v>
      </c>
      <c r="C35" s="408">
        <v>48</v>
      </c>
      <c r="D35" s="408" t="s">
        <v>123</v>
      </c>
      <c r="E35" s="408" t="s">
        <v>339</v>
      </c>
      <c r="F35" s="408">
        <v>0</v>
      </c>
      <c r="G35" s="408">
        <v>0</v>
      </c>
      <c r="H35" s="408">
        <v>0</v>
      </c>
      <c r="I35" s="408">
        <v>2674906</v>
      </c>
      <c r="J35" s="408">
        <v>0</v>
      </c>
      <c r="K35" s="408">
        <v>0</v>
      </c>
      <c r="L35" s="408">
        <v>0</v>
      </c>
      <c r="M35" s="408">
        <v>0</v>
      </c>
      <c r="N35" s="408">
        <v>5850499</v>
      </c>
      <c r="O35" s="408">
        <v>0</v>
      </c>
      <c r="P35" s="408">
        <v>0</v>
      </c>
      <c r="Q35" s="408">
        <v>0</v>
      </c>
      <c r="R35" s="408">
        <v>0</v>
      </c>
      <c r="S35" s="408">
        <v>0</v>
      </c>
      <c r="T35" s="408">
        <v>0</v>
      </c>
      <c r="U35" s="408">
        <v>0</v>
      </c>
      <c r="V35" s="408">
        <v>0</v>
      </c>
      <c r="W35" s="408">
        <v>0</v>
      </c>
      <c r="X35" s="408">
        <v>0</v>
      </c>
      <c r="Y35" s="408">
        <v>0</v>
      </c>
      <c r="Z35" s="408">
        <v>0</v>
      </c>
      <c r="AA35" s="408">
        <v>0</v>
      </c>
      <c r="AB35" s="408">
        <v>0</v>
      </c>
      <c r="AC35" s="408">
        <v>0</v>
      </c>
      <c r="AD35" s="408">
        <v>0</v>
      </c>
      <c r="AE35" s="408">
        <v>0</v>
      </c>
      <c r="AF35" s="408">
        <v>0</v>
      </c>
      <c r="AG35" s="408">
        <v>0</v>
      </c>
      <c r="AH35" s="408">
        <v>0</v>
      </c>
      <c r="AI35" s="408">
        <v>0</v>
      </c>
      <c r="AJ35" s="408">
        <v>0</v>
      </c>
      <c r="AK35" s="408">
        <v>93798</v>
      </c>
      <c r="AL35" s="408">
        <v>0</v>
      </c>
      <c r="AM35" s="408">
        <v>0</v>
      </c>
      <c r="AN35" s="408">
        <v>0</v>
      </c>
      <c r="AO35" s="408">
        <v>389476</v>
      </c>
      <c r="AP35" s="408">
        <v>0</v>
      </c>
      <c r="AQ35" s="408">
        <v>0</v>
      </c>
      <c r="AR35" s="408">
        <v>0</v>
      </c>
      <c r="AS35" s="408">
        <v>0</v>
      </c>
      <c r="AT35" s="408">
        <v>0</v>
      </c>
      <c r="AU35" s="408">
        <v>0</v>
      </c>
      <c r="AV35" s="408">
        <v>0</v>
      </c>
      <c r="AW35" s="408">
        <v>0</v>
      </c>
      <c r="AX35" s="408">
        <v>0</v>
      </c>
      <c r="AY35" s="408">
        <v>0</v>
      </c>
      <c r="AZ35" s="408">
        <v>0</v>
      </c>
      <c r="BA35" s="408">
        <v>0</v>
      </c>
      <c r="BB35" s="408">
        <v>0</v>
      </c>
      <c r="BC35" s="408">
        <v>0</v>
      </c>
      <c r="BD35" s="408">
        <v>0</v>
      </c>
      <c r="BE35" s="408">
        <v>0</v>
      </c>
      <c r="BF35" s="408">
        <v>0</v>
      </c>
      <c r="BG35" s="408">
        <v>0</v>
      </c>
      <c r="BH35" s="408">
        <v>0</v>
      </c>
      <c r="BI35" s="408">
        <v>19963</v>
      </c>
      <c r="BJ35" s="408">
        <v>0</v>
      </c>
      <c r="BK35" s="408">
        <v>0</v>
      </c>
      <c r="BL35" s="408">
        <v>0</v>
      </c>
      <c r="BM35" s="408">
        <v>0</v>
      </c>
      <c r="BN35" s="408">
        <v>0</v>
      </c>
      <c r="BO35" s="408">
        <v>0</v>
      </c>
      <c r="BP35" s="408">
        <v>0</v>
      </c>
      <c r="BQ35" s="408">
        <v>0</v>
      </c>
      <c r="BR35" s="408">
        <v>0</v>
      </c>
      <c r="BS35" s="408">
        <v>0</v>
      </c>
      <c r="BT35" s="408">
        <v>0</v>
      </c>
    </row>
    <row r="36" spans="1:72" s="408" customFormat="1" x14ac:dyDescent="0.3">
      <c r="A36" s="408">
        <v>49</v>
      </c>
      <c r="B36" s="409">
        <v>49</v>
      </c>
      <c r="C36" s="408">
        <v>49</v>
      </c>
      <c r="D36" s="408" t="s">
        <v>228</v>
      </c>
      <c r="E36" s="408" t="s">
        <v>340</v>
      </c>
      <c r="F36" s="408">
        <v>684049</v>
      </c>
      <c r="G36" s="408">
        <v>861715</v>
      </c>
      <c r="H36" s="408">
        <v>146379</v>
      </c>
      <c r="I36" s="408">
        <v>2805830</v>
      </c>
      <c r="J36" s="408">
        <v>0</v>
      </c>
      <c r="K36" s="408">
        <v>457134</v>
      </c>
      <c r="L36" s="408">
        <v>516247</v>
      </c>
      <c r="M36" s="408">
        <v>80657</v>
      </c>
      <c r="N36" s="408">
        <v>10680288</v>
      </c>
      <c r="O36" s="408">
        <v>0</v>
      </c>
      <c r="P36" s="408">
        <v>1079704</v>
      </c>
      <c r="Q36" s="408">
        <v>0</v>
      </c>
      <c r="R36" s="408">
        <v>2136053</v>
      </c>
      <c r="S36" s="408">
        <v>6008958</v>
      </c>
      <c r="T36" s="408">
        <v>0</v>
      </c>
      <c r="U36" s="408">
        <v>55328</v>
      </c>
      <c r="V36" s="408">
        <v>171990</v>
      </c>
      <c r="W36" s="408">
        <v>241921</v>
      </c>
      <c r="X36" s="408">
        <v>20287</v>
      </c>
      <c r="Y36" s="408">
        <v>13841</v>
      </c>
      <c r="Z36" s="408">
        <v>446289</v>
      </c>
      <c r="AA36" s="408">
        <v>0</v>
      </c>
      <c r="AB36" s="408">
        <v>0</v>
      </c>
      <c r="AC36" s="408">
        <v>93160</v>
      </c>
      <c r="AD36" s="408">
        <v>343409</v>
      </c>
      <c r="AE36" s="408">
        <v>175885</v>
      </c>
      <c r="AF36" s="408">
        <v>52263</v>
      </c>
      <c r="AG36" s="408">
        <v>0</v>
      </c>
      <c r="AH36" s="408">
        <v>0</v>
      </c>
      <c r="AI36" s="408">
        <v>986922</v>
      </c>
      <c r="AJ36" s="408">
        <v>497876</v>
      </c>
      <c r="AK36" s="408">
        <v>169172</v>
      </c>
      <c r="AL36" s="408">
        <v>0</v>
      </c>
      <c r="AM36" s="408">
        <v>0</v>
      </c>
      <c r="AN36" s="408">
        <v>0</v>
      </c>
      <c r="AO36" s="408">
        <v>365854</v>
      </c>
      <c r="AP36" s="408">
        <v>88739</v>
      </c>
      <c r="AQ36" s="408">
        <v>673510</v>
      </c>
      <c r="AR36" s="408">
        <v>0</v>
      </c>
      <c r="AS36" s="408">
        <v>569172</v>
      </c>
      <c r="AT36" s="408">
        <v>314253</v>
      </c>
      <c r="AU36" s="408">
        <v>166969</v>
      </c>
      <c r="AV36" s="408">
        <v>310635</v>
      </c>
      <c r="AW36" s="408">
        <v>0</v>
      </c>
      <c r="AX36" s="408">
        <v>299582</v>
      </c>
      <c r="AY36" s="408">
        <v>222587</v>
      </c>
      <c r="AZ36" s="408">
        <v>509138</v>
      </c>
      <c r="BA36" s="408">
        <v>71645</v>
      </c>
      <c r="BB36" s="408">
        <v>0</v>
      </c>
      <c r="BC36" s="408">
        <v>0</v>
      </c>
      <c r="BD36" s="408">
        <v>272949</v>
      </c>
      <c r="BE36" s="408">
        <v>0</v>
      </c>
      <c r="BF36" s="408">
        <v>133399</v>
      </c>
      <c r="BG36" s="408">
        <v>2193557</v>
      </c>
      <c r="BH36" s="408">
        <v>108147</v>
      </c>
      <c r="BI36" s="408">
        <v>31879</v>
      </c>
      <c r="BJ36" s="408">
        <v>1155471</v>
      </c>
      <c r="BK36" s="408">
        <v>58962</v>
      </c>
      <c r="BL36" s="408">
        <v>109188</v>
      </c>
      <c r="BM36" s="408">
        <v>0</v>
      </c>
      <c r="BN36" s="408">
        <v>56250</v>
      </c>
      <c r="BO36" s="408">
        <v>489734</v>
      </c>
      <c r="BP36" s="408">
        <v>138145</v>
      </c>
      <c r="BQ36" s="408">
        <v>513199</v>
      </c>
      <c r="BR36" s="408">
        <v>6438161</v>
      </c>
      <c r="BS36" s="408">
        <v>351772</v>
      </c>
      <c r="BT36" s="408">
        <v>0</v>
      </c>
    </row>
    <row r="37" spans="1:72" s="408" customFormat="1" x14ac:dyDescent="0.3">
      <c r="A37" s="408">
        <v>50</v>
      </c>
      <c r="B37" s="409">
        <v>50</v>
      </c>
      <c r="C37" s="408">
        <v>50</v>
      </c>
      <c r="D37" s="408" t="s">
        <v>100</v>
      </c>
      <c r="E37" s="408" t="s">
        <v>341</v>
      </c>
      <c r="F37" s="408">
        <v>629442</v>
      </c>
      <c r="G37" s="408">
        <v>795071</v>
      </c>
      <c r="H37" s="408">
        <v>-165383</v>
      </c>
      <c r="I37" s="408">
        <v>749168</v>
      </c>
      <c r="J37" s="408" t="s">
        <v>1764</v>
      </c>
      <c r="K37" s="408">
        <v>741663</v>
      </c>
      <c r="L37" s="408">
        <v>450727</v>
      </c>
      <c r="M37" s="408">
        <v>-18188</v>
      </c>
      <c r="N37" s="408">
        <v>20660839</v>
      </c>
      <c r="O37" s="408" t="s">
        <v>1751</v>
      </c>
      <c r="P37" s="408">
        <v>833225</v>
      </c>
      <c r="Q37" s="408" t="s">
        <v>1751</v>
      </c>
      <c r="R37" s="408">
        <v>-1961864</v>
      </c>
      <c r="S37" s="408">
        <v>13404545</v>
      </c>
      <c r="T37" s="408" t="s">
        <v>1751</v>
      </c>
      <c r="U37" s="408">
        <v>-38211</v>
      </c>
      <c r="V37" s="408">
        <v>-78019</v>
      </c>
      <c r="W37" s="408">
        <v>166437</v>
      </c>
      <c r="X37" s="408">
        <v>119423</v>
      </c>
      <c r="Y37" s="408">
        <v>-13789</v>
      </c>
      <c r="Z37" s="408">
        <v>42321</v>
      </c>
      <c r="AA37" s="408" t="s">
        <v>1751</v>
      </c>
      <c r="AB37" s="408" t="s">
        <v>1751</v>
      </c>
      <c r="AC37" s="408">
        <v>1384695</v>
      </c>
      <c r="AD37" s="408">
        <v>603673</v>
      </c>
      <c r="AE37" s="408">
        <v>189520</v>
      </c>
      <c r="AF37" s="408">
        <v>-17490</v>
      </c>
      <c r="AG37" s="408" t="s">
        <v>1751</v>
      </c>
      <c r="AH37" s="408" t="s">
        <v>1751</v>
      </c>
      <c r="AI37" s="408">
        <v>701992</v>
      </c>
      <c r="AJ37" s="408">
        <v>527058</v>
      </c>
      <c r="AK37" s="408">
        <v>-2676</v>
      </c>
      <c r="AL37" s="408" t="s">
        <v>1751</v>
      </c>
      <c r="AM37" s="408" t="s">
        <v>1751</v>
      </c>
      <c r="AN37" s="408" t="s">
        <v>1751</v>
      </c>
      <c r="AO37" s="408">
        <v>643187</v>
      </c>
      <c r="AP37" s="408">
        <v>225472</v>
      </c>
      <c r="AQ37" s="408">
        <v>2088483</v>
      </c>
      <c r="AR37" s="408" t="s">
        <v>1751</v>
      </c>
      <c r="AS37" s="408">
        <v>-242538</v>
      </c>
      <c r="AT37" s="408">
        <v>-165351</v>
      </c>
      <c r="AU37" s="408">
        <v>-22356</v>
      </c>
      <c r="AV37" s="408">
        <v>-154763</v>
      </c>
      <c r="AW37" s="408" t="s">
        <v>1751</v>
      </c>
      <c r="AX37" s="408">
        <v>-493703</v>
      </c>
      <c r="AY37" s="408">
        <v>99703</v>
      </c>
      <c r="AZ37" s="408">
        <v>-122565</v>
      </c>
      <c r="BA37" s="408">
        <v>-91879</v>
      </c>
      <c r="BB37" s="408" t="s">
        <v>1751</v>
      </c>
      <c r="BC37" s="408">
        <v>-375000</v>
      </c>
      <c r="BD37" s="408">
        <v>40940</v>
      </c>
      <c r="BE37" s="408" t="s">
        <v>1751</v>
      </c>
      <c r="BF37" s="408">
        <v>-116869</v>
      </c>
      <c r="BG37" s="408">
        <v>-653188</v>
      </c>
      <c r="BH37" s="408">
        <v>-70998</v>
      </c>
      <c r="BI37" s="408">
        <v>40850</v>
      </c>
      <c r="BJ37" s="408">
        <v>234767</v>
      </c>
      <c r="BK37" s="408">
        <v>53149</v>
      </c>
      <c r="BL37" s="408">
        <v>-14645</v>
      </c>
      <c r="BM37" s="408" t="s">
        <v>1751</v>
      </c>
      <c r="BN37" s="408">
        <v>1055220</v>
      </c>
      <c r="BO37" s="408">
        <v>399276</v>
      </c>
      <c r="BP37" s="408">
        <v>173481</v>
      </c>
      <c r="BQ37" s="408">
        <v>449110</v>
      </c>
      <c r="BR37" s="408">
        <v>1945780</v>
      </c>
      <c r="BS37" s="408">
        <v>283151</v>
      </c>
      <c r="BT37" s="408">
        <v>0</v>
      </c>
    </row>
    <row r="38" spans="1:72" s="408" customFormat="1" x14ac:dyDescent="0.3">
      <c r="A38" s="408">
        <v>51</v>
      </c>
      <c r="B38" s="409">
        <v>51</v>
      </c>
      <c r="C38" s="408">
        <v>51</v>
      </c>
      <c r="D38" s="408" t="s">
        <v>246</v>
      </c>
      <c r="E38" s="408" t="s">
        <v>342</v>
      </c>
      <c r="F38" s="408">
        <v>785181</v>
      </c>
      <c r="G38" s="408">
        <v>1325253</v>
      </c>
      <c r="H38" s="408">
        <v>-28251</v>
      </c>
      <c r="I38" s="408">
        <v>3678709</v>
      </c>
      <c r="J38" s="408" t="s">
        <v>1764</v>
      </c>
      <c r="K38" s="408">
        <v>429460</v>
      </c>
      <c r="L38" s="408">
        <v>1555777</v>
      </c>
      <c r="M38" s="408">
        <v>120281</v>
      </c>
      <c r="N38" s="408">
        <v>6334436</v>
      </c>
      <c r="O38" s="408" t="s">
        <v>1751</v>
      </c>
      <c r="P38" s="408">
        <v>1992646</v>
      </c>
      <c r="Q38" s="408" t="s">
        <v>1751</v>
      </c>
      <c r="R38" s="408">
        <v>955314</v>
      </c>
      <c r="S38" s="408">
        <v>14560777</v>
      </c>
      <c r="T38" s="408" t="s">
        <v>1751</v>
      </c>
      <c r="U38" s="408">
        <v>33092</v>
      </c>
      <c r="V38" s="408">
        <v>486899</v>
      </c>
      <c r="W38" s="408">
        <v>50901</v>
      </c>
      <c r="X38" s="408">
        <v>-9133</v>
      </c>
      <c r="Y38" s="408">
        <v>294</v>
      </c>
      <c r="Z38" s="408">
        <v>323199</v>
      </c>
      <c r="AA38" s="408" t="s">
        <v>1751</v>
      </c>
      <c r="AB38" s="408" t="s">
        <v>1751</v>
      </c>
      <c r="AC38" s="408">
        <v>36221</v>
      </c>
      <c r="AD38" s="408">
        <v>864067</v>
      </c>
      <c r="AE38" s="408">
        <v>383686</v>
      </c>
      <c r="AF38" s="408">
        <v>-24107</v>
      </c>
      <c r="AG38" s="408" t="s">
        <v>1751</v>
      </c>
      <c r="AH38" s="408" t="s">
        <v>1751</v>
      </c>
      <c r="AI38" s="408">
        <v>1870001</v>
      </c>
      <c r="AJ38" s="408">
        <v>232735</v>
      </c>
      <c r="AK38" s="408">
        <v>320196</v>
      </c>
      <c r="AL38" s="408" t="s">
        <v>1751</v>
      </c>
      <c r="AM38" s="408" t="s">
        <v>1751</v>
      </c>
      <c r="AN38" s="408" t="s">
        <v>1751</v>
      </c>
      <c r="AO38" s="408">
        <v>-260006</v>
      </c>
      <c r="AP38" s="408">
        <v>313362</v>
      </c>
      <c r="AQ38" s="408">
        <v>478634</v>
      </c>
      <c r="AR38" s="408" t="s">
        <v>1751</v>
      </c>
      <c r="AS38" s="408">
        <v>347548</v>
      </c>
      <c r="AT38" s="408">
        <v>247379</v>
      </c>
      <c r="AU38" s="408">
        <v>178915</v>
      </c>
      <c r="AV38" s="408">
        <v>125479</v>
      </c>
      <c r="AW38" s="408" t="s">
        <v>1751</v>
      </c>
      <c r="AX38" s="408">
        <v>529386</v>
      </c>
      <c r="AY38" s="408">
        <v>147895</v>
      </c>
      <c r="AZ38" s="408">
        <v>377037</v>
      </c>
      <c r="BA38" s="408">
        <v>-20976</v>
      </c>
      <c r="BB38" s="408" t="s">
        <v>1751</v>
      </c>
      <c r="BC38" s="408" t="s">
        <v>1751</v>
      </c>
      <c r="BD38" s="408">
        <v>328639</v>
      </c>
      <c r="BE38" s="408" t="s">
        <v>1751</v>
      </c>
      <c r="BF38" s="408">
        <v>10224</v>
      </c>
      <c r="BG38" s="408">
        <v>5978226</v>
      </c>
      <c r="BH38" s="408">
        <v>49368</v>
      </c>
      <c r="BI38" s="408">
        <v>73413</v>
      </c>
      <c r="BJ38" s="408">
        <v>1648164</v>
      </c>
      <c r="BK38" s="408">
        <v>15768</v>
      </c>
      <c r="BL38" s="408">
        <v>96716</v>
      </c>
      <c r="BM38" s="408" t="s">
        <v>1751</v>
      </c>
      <c r="BN38" s="408">
        <v>34254</v>
      </c>
      <c r="BO38" s="408">
        <v>166802</v>
      </c>
      <c r="BP38" s="408">
        <v>124450</v>
      </c>
      <c r="BQ38" s="408">
        <v>432964</v>
      </c>
      <c r="BR38" s="408">
        <v>11044649</v>
      </c>
      <c r="BS38" s="408">
        <v>572382</v>
      </c>
      <c r="BT38" s="408">
        <v>0</v>
      </c>
    </row>
    <row r="39" spans="1:72" s="408" customFormat="1" x14ac:dyDescent="0.3">
      <c r="A39" s="408">
        <v>52</v>
      </c>
      <c r="B39" s="409">
        <v>52</v>
      </c>
      <c r="C39" s="408">
        <v>52</v>
      </c>
      <c r="D39" s="408" t="s">
        <v>239</v>
      </c>
      <c r="E39" s="408" t="s">
        <v>343</v>
      </c>
      <c r="F39" s="408">
        <v>0</v>
      </c>
      <c r="G39" s="408">
        <v>0</v>
      </c>
      <c r="H39" s="408">
        <v>0</v>
      </c>
      <c r="I39" s="408">
        <v>652153</v>
      </c>
      <c r="J39" s="408">
        <v>0</v>
      </c>
      <c r="K39" s="408">
        <v>0</v>
      </c>
      <c r="L39" s="408">
        <v>0</v>
      </c>
      <c r="M39" s="408">
        <v>0</v>
      </c>
      <c r="N39" s="408">
        <v>2760235</v>
      </c>
      <c r="O39" s="408">
        <v>0</v>
      </c>
      <c r="P39" s="408">
        <v>0</v>
      </c>
      <c r="Q39" s="408">
        <v>0</v>
      </c>
      <c r="R39" s="408">
        <v>0</v>
      </c>
      <c r="S39" s="408">
        <v>0</v>
      </c>
      <c r="T39" s="408">
        <v>0</v>
      </c>
      <c r="U39" s="408">
        <v>0</v>
      </c>
      <c r="V39" s="408">
        <v>0</v>
      </c>
      <c r="W39" s="408">
        <v>0</v>
      </c>
      <c r="X39" s="408">
        <v>0</v>
      </c>
      <c r="Y39" s="408">
        <v>0</v>
      </c>
      <c r="Z39" s="408">
        <v>550499</v>
      </c>
      <c r="AA39" s="408">
        <v>0</v>
      </c>
      <c r="AB39" s="408">
        <v>0</v>
      </c>
      <c r="AC39" s="408">
        <v>0</v>
      </c>
      <c r="AD39" s="408">
        <v>0</v>
      </c>
      <c r="AE39" s="408">
        <v>0</v>
      </c>
      <c r="AF39" s="408">
        <v>0</v>
      </c>
      <c r="AG39" s="408">
        <v>0</v>
      </c>
      <c r="AH39" s="408">
        <v>0</v>
      </c>
      <c r="AI39" s="408">
        <v>0</v>
      </c>
      <c r="AJ39" s="408">
        <v>0</v>
      </c>
      <c r="AK39" s="408">
        <v>9912</v>
      </c>
      <c r="AL39" s="408">
        <v>0</v>
      </c>
      <c r="AM39" s="408">
        <v>0</v>
      </c>
      <c r="AN39" s="408">
        <v>0</v>
      </c>
      <c r="AO39" s="408">
        <v>49507</v>
      </c>
      <c r="AP39" s="408">
        <v>0</v>
      </c>
      <c r="AQ39" s="408">
        <v>0</v>
      </c>
      <c r="AR39" s="408">
        <v>0</v>
      </c>
      <c r="AS39" s="408">
        <v>0</v>
      </c>
      <c r="AT39" s="408">
        <v>0</v>
      </c>
      <c r="AU39" s="408">
        <v>0</v>
      </c>
      <c r="AV39" s="408">
        <v>0</v>
      </c>
      <c r="AW39" s="408">
        <v>0</v>
      </c>
      <c r="AX39" s="408">
        <v>0</v>
      </c>
      <c r="AY39" s="408">
        <v>0</v>
      </c>
      <c r="AZ39" s="408">
        <v>0</v>
      </c>
      <c r="BA39" s="408">
        <v>0</v>
      </c>
      <c r="BB39" s="408">
        <v>0</v>
      </c>
      <c r="BC39" s="408">
        <v>0</v>
      </c>
      <c r="BD39" s="408">
        <v>0</v>
      </c>
      <c r="BE39" s="408">
        <v>0</v>
      </c>
      <c r="BF39" s="408">
        <v>0</v>
      </c>
      <c r="BG39" s="408">
        <v>0</v>
      </c>
      <c r="BH39" s="408">
        <v>0</v>
      </c>
      <c r="BI39" s="408">
        <v>19688</v>
      </c>
      <c r="BJ39" s="408">
        <v>0</v>
      </c>
      <c r="BK39" s="408">
        <v>0</v>
      </c>
      <c r="BL39" s="408">
        <v>0</v>
      </c>
      <c r="BM39" s="408">
        <v>0</v>
      </c>
      <c r="BN39" s="408">
        <v>0</v>
      </c>
      <c r="BO39" s="408">
        <v>0</v>
      </c>
      <c r="BP39" s="408">
        <v>0</v>
      </c>
      <c r="BQ39" s="408">
        <v>0</v>
      </c>
      <c r="BR39" s="408">
        <v>0</v>
      </c>
      <c r="BS39" s="408">
        <v>0</v>
      </c>
      <c r="BT39" s="408">
        <v>0</v>
      </c>
    </row>
    <row r="40" spans="1:72" s="408" customFormat="1" x14ac:dyDescent="0.3">
      <c r="A40" s="408">
        <v>53</v>
      </c>
      <c r="B40" s="409">
        <v>53</v>
      </c>
      <c r="C40" s="408">
        <v>53</v>
      </c>
      <c r="D40" s="408" t="s">
        <v>101</v>
      </c>
      <c r="E40" s="408" t="s">
        <v>344</v>
      </c>
      <c r="F40" s="408" t="s">
        <v>1764</v>
      </c>
      <c r="G40" s="408" t="s">
        <v>1764</v>
      </c>
      <c r="H40" s="408" t="s">
        <v>1764</v>
      </c>
      <c r="I40" s="408">
        <v>6792259</v>
      </c>
      <c r="J40" s="408" t="s">
        <v>1764</v>
      </c>
      <c r="K40" s="408" t="s">
        <v>1764</v>
      </c>
      <c r="L40" s="408" t="s">
        <v>1764</v>
      </c>
      <c r="M40" s="408" t="s">
        <v>1751</v>
      </c>
      <c r="N40" s="408">
        <v>3203969</v>
      </c>
      <c r="O40" s="408" t="s">
        <v>1751</v>
      </c>
      <c r="P40" s="408" t="s">
        <v>1751</v>
      </c>
      <c r="Q40" s="408" t="s">
        <v>1751</v>
      </c>
      <c r="R40" s="408" t="s">
        <v>1751</v>
      </c>
      <c r="S40" s="408" t="s">
        <v>1751</v>
      </c>
      <c r="T40" s="408" t="s">
        <v>1751</v>
      </c>
      <c r="U40" s="408" t="s">
        <v>1751</v>
      </c>
      <c r="V40" s="408" t="s">
        <v>1751</v>
      </c>
      <c r="W40" s="408" t="s">
        <v>1751</v>
      </c>
      <c r="X40" s="408" t="s">
        <v>1751</v>
      </c>
      <c r="Y40" s="408" t="s">
        <v>1751</v>
      </c>
      <c r="Z40" s="408">
        <v>-209713</v>
      </c>
      <c r="AA40" s="408" t="s">
        <v>1751</v>
      </c>
      <c r="AB40" s="408" t="s">
        <v>1751</v>
      </c>
      <c r="AC40" s="408" t="s">
        <v>1751</v>
      </c>
      <c r="AD40" s="408" t="s">
        <v>1751</v>
      </c>
      <c r="AE40" s="408" t="s">
        <v>1751</v>
      </c>
      <c r="AF40" s="408" t="s">
        <v>1751</v>
      </c>
      <c r="AG40" s="408" t="s">
        <v>1751</v>
      </c>
      <c r="AH40" s="408" t="s">
        <v>1751</v>
      </c>
      <c r="AI40" s="408" t="s">
        <v>1751</v>
      </c>
      <c r="AJ40" s="408" t="s">
        <v>1751</v>
      </c>
      <c r="AK40" s="408">
        <v>84161</v>
      </c>
      <c r="AL40" s="408" t="s">
        <v>1751</v>
      </c>
      <c r="AM40" s="408" t="s">
        <v>1751</v>
      </c>
      <c r="AN40" s="408" t="s">
        <v>1751</v>
      </c>
      <c r="AO40" s="408">
        <v>4750</v>
      </c>
      <c r="AP40" s="408" t="s">
        <v>1751</v>
      </c>
      <c r="AQ40" s="408" t="s">
        <v>1751</v>
      </c>
      <c r="AR40" s="408" t="s">
        <v>1751</v>
      </c>
      <c r="AS40" s="408" t="s">
        <v>1751</v>
      </c>
      <c r="AT40" s="408" t="s">
        <v>1751</v>
      </c>
      <c r="AU40" s="408" t="s">
        <v>1751</v>
      </c>
      <c r="AV40" s="408" t="s">
        <v>1751</v>
      </c>
      <c r="AW40" s="408" t="s">
        <v>1751</v>
      </c>
      <c r="AX40" s="408" t="s">
        <v>1751</v>
      </c>
      <c r="AY40" s="408" t="s">
        <v>1751</v>
      </c>
      <c r="AZ40" s="408" t="s">
        <v>1751</v>
      </c>
      <c r="BA40" s="408" t="s">
        <v>1751</v>
      </c>
      <c r="BB40" s="408" t="s">
        <v>1751</v>
      </c>
      <c r="BC40" s="408" t="s">
        <v>1751</v>
      </c>
      <c r="BD40" s="408" t="s">
        <v>1751</v>
      </c>
      <c r="BE40" s="408" t="s">
        <v>1751</v>
      </c>
      <c r="BF40" s="408" t="s">
        <v>1751</v>
      </c>
      <c r="BG40" s="408" t="s">
        <v>1751</v>
      </c>
      <c r="BH40" s="408" t="s">
        <v>1751</v>
      </c>
      <c r="BI40" s="408">
        <v>126151</v>
      </c>
      <c r="BJ40" s="408" t="s">
        <v>1751</v>
      </c>
      <c r="BK40" s="408" t="s">
        <v>1751</v>
      </c>
      <c r="BL40" s="408" t="s">
        <v>1751</v>
      </c>
      <c r="BM40" s="408" t="s">
        <v>1751</v>
      </c>
      <c r="BN40" s="408" t="s">
        <v>1751</v>
      </c>
      <c r="BO40" s="408" t="s">
        <v>1751</v>
      </c>
      <c r="BP40" s="408" t="s">
        <v>1751</v>
      </c>
      <c r="BQ40" s="408" t="s">
        <v>1751</v>
      </c>
      <c r="BR40" s="408" t="s">
        <v>1751</v>
      </c>
      <c r="BS40" s="408" t="s">
        <v>1751</v>
      </c>
      <c r="BT40" s="408">
        <v>0</v>
      </c>
    </row>
    <row r="41" spans="1:72" s="408" customFormat="1" x14ac:dyDescent="0.3">
      <c r="A41" s="408">
        <v>54</v>
      </c>
      <c r="B41" s="409"/>
      <c r="C41" s="408">
        <v>54</v>
      </c>
      <c r="D41" s="408" t="s">
        <v>631</v>
      </c>
      <c r="E41" s="408" t="s">
        <v>345</v>
      </c>
      <c r="BT41" s="408">
        <v>0</v>
      </c>
    </row>
    <row r="42" spans="1:72" s="408" customFormat="1" x14ac:dyDescent="0.3">
      <c r="A42" s="408">
        <v>55</v>
      </c>
      <c r="B42" s="409">
        <v>55</v>
      </c>
      <c r="C42" s="408">
        <v>55</v>
      </c>
      <c r="D42" s="408" t="s">
        <v>249</v>
      </c>
      <c r="E42" s="408" t="s">
        <v>346</v>
      </c>
      <c r="F42" s="408" t="s">
        <v>1764</v>
      </c>
      <c r="G42" s="408" t="s">
        <v>1764</v>
      </c>
      <c r="H42" s="408" t="s">
        <v>1764</v>
      </c>
      <c r="I42" s="408">
        <v>3105226</v>
      </c>
      <c r="J42" s="408" t="s">
        <v>1764</v>
      </c>
      <c r="K42" s="408" t="s">
        <v>1764</v>
      </c>
      <c r="L42" s="408" t="s">
        <v>1764</v>
      </c>
      <c r="M42" s="408" t="s">
        <v>1751</v>
      </c>
      <c r="N42" s="408">
        <v>7029624</v>
      </c>
      <c r="O42" s="408" t="s">
        <v>1751</v>
      </c>
      <c r="P42" s="408" t="s">
        <v>1751</v>
      </c>
      <c r="Q42" s="408" t="s">
        <v>1751</v>
      </c>
      <c r="R42" s="408" t="s">
        <v>1751</v>
      </c>
      <c r="S42" s="408" t="s">
        <v>1751</v>
      </c>
      <c r="T42" s="408" t="s">
        <v>1751</v>
      </c>
      <c r="U42" s="408" t="s">
        <v>1751</v>
      </c>
      <c r="V42" s="408" t="s">
        <v>1751</v>
      </c>
      <c r="W42" s="408" t="s">
        <v>1751</v>
      </c>
      <c r="X42" s="408" t="s">
        <v>1751</v>
      </c>
      <c r="Y42" s="408" t="s">
        <v>1751</v>
      </c>
      <c r="Z42" s="408">
        <v>1032400</v>
      </c>
      <c r="AA42" s="408" t="s">
        <v>1751</v>
      </c>
      <c r="AB42" s="408" t="s">
        <v>1751</v>
      </c>
      <c r="AC42" s="408" t="s">
        <v>1751</v>
      </c>
      <c r="AD42" s="408" t="s">
        <v>1751</v>
      </c>
      <c r="AE42" s="408" t="s">
        <v>1751</v>
      </c>
      <c r="AF42" s="408" t="s">
        <v>1751</v>
      </c>
      <c r="AG42" s="408" t="s">
        <v>1751</v>
      </c>
      <c r="AH42" s="408" t="s">
        <v>1751</v>
      </c>
      <c r="AI42" s="408" t="s">
        <v>1751</v>
      </c>
      <c r="AJ42" s="408" t="s">
        <v>1751</v>
      </c>
      <c r="AK42" s="408">
        <v>148349</v>
      </c>
      <c r="AL42" s="408" t="s">
        <v>1751</v>
      </c>
      <c r="AM42" s="408" t="s">
        <v>1751</v>
      </c>
      <c r="AN42" s="408" t="s">
        <v>1751</v>
      </c>
      <c r="AO42" s="408">
        <v>57644</v>
      </c>
      <c r="AP42" s="408" t="s">
        <v>1751</v>
      </c>
      <c r="AQ42" s="408" t="s">
        <v>1751</v>
      </c>
      <c r="AR42" s="408" t="s">
        <v>1751</v>
      </c>
      <c r="AS42" s="408" t="s">
        <v>1751</v>
      </c>
      <c r="AT42" s="408" t="s">
        <v>1751</v>
      </c>
      <c r="AU42" s="408" t="s">
        <v>1751</v>
      </c>
      <c r="AV42" s="408" t="s">
        <v>1751</v>
      </c>
      <c r="AW42" s="408" t="s">
        <v>1751</v>
      </c>
      <c r="AX42" s="408" t="s">
        <v>1751</v>
      </c>
      <c r="AY42" s="408" t="s">
        <v>1751</v>
      </c>
      <c r="AZ42" s="408" t="s">
        <v>1751</v>
      </c>
      <c r="BA42" s="408" t="s">
        <v>1751</v>
      </c>
      <c r="BB42" s="408" t="s">
        <v>1751</v>
      </c>
      <c r="BC42" s="408" t="s">
        <v>1751</v>
      </c>
      <c r="BD42" s="408" t="s">
        <v>1751</v>
      </c>
      <c r="BE42" s="408" t="s">
        <v>1751</v>
      </c>
      <c r="BF42" s="408" t="s">
        <v>1751</v>
      </c>
      <c r="BG42" s="408" t="s">
        <v>1751</v>
      </c>
      <c r="BH42" s="408" t="s">
        <v>1751</v>
      </c>
      <c r="BI42" s="408">
        <v>132463</v>
      </c>
      <c r="BJ42" s="408" t="s">
        <v>1751</v>
      </c>
      <c r="BK42" s="408" t="s">
        <v>1751</v>
      </c>
      <c r="BL42" s="408" t="s">
        <v>1751</v>
      </c>
      <c r="BM42" s="408" t="s">
        <v>1751</v>
      </c>
      <c r="BN42" s="408" t="s">
        <v>1751</v>
      </c>
      <c r="BO42" s="408" t="s">
        <v>1751</v>
      </c>
      <c r="BP42" s="408" t="s">
        <v>1751</v>
      </c>
      <c r="BQ42" s="408" t="s">
        <v>1751</v>
      </c>
      <c r="BR42" s="408" t="s">
        <v>1751</v>
      </c>
      <c r="BS42" s="408" t="s">
        <v>1751</v>
      </c>
      <c r="BT42" s="408">
        <v>0</v>
      </c>
    </row>
    <row r="43" spans="1:72" s="410" customFormat="1" x14ac:dyDescent="0.3">
      <c r="A43" s="408">
        <v>61</v>
      </c>
      <c r="B43" s="409">
        <v>61</v>
      </c>
      <c r="C43" s="410">
        <v>61</v>
      </c>
      <c r="D43" s="410" t="s">
        <v>268</v>
      </c>
      <c r="E43" s="410" t="s">
        <v>347</v>
      </c>
      <c r="F43" s="412">
        <v>99.64</v>
      </c>
      <c r="G43" s="412">
        <v>96.96</v>
      </c>
      <c r="H43" s="412">
        <v>99.36</v>
      </c>
      <c r="I43" s="412">
        <v>97.49</v>
      </c>
      <c r="J43" s="412">
        <v>94.95</v>
      </c>
      <c r="K43" s="412">
        <v>93.58</v>
      </c>
      <c r="L43" s="412">
        <v>99.8</v>
      </c>
      <c r="M43" s="412">
        <v>82.06</v>
      </c>
      <c r="N43" s="412">
        <v>99.8</v>
      </c>
      <c r="O43" s="412" t="s">
        <v>1751</v>
      </c>
      <c r="P43" s="412">
        <v>99.38</v>
      </c>
      <c r="Q43" s="412">
        <v>99.78</v>
      </c>
      <c r="R43" s="412">
        <v>99.41</v>
      </c>
      <c r="S43" s="412">
        <v>99.67</v>
      </c>
      <c r="T43" s="412" t="s">
        <v>1751</v>
      </c>
      <c r="U43" s="412">
        <v>91.24</v>
      </c>
      <c r="V43" s="412">
        <v>99.82</v>
      </c>
      <c r="W43" s="412">
        <v>96.51</v>
      </c>
      <c r="X43" s="412">
        <v>84.71</v>
      </c>
      <c r="Y43" s="412">
        <v>100</v>
      </c>
      <c r="Z43" s="412">
        <v>98.06</v>
      </c>
      <c r="AA43" s="412" t="s">
        <v>1751</v>
      </c>
      <c r="AB43" s="412" t="s">
        <v>1751</v>
      </c>
      <c r="AC43" s="412">
        <v>97.29</v>
      </c>
      <c r="AD43" s="412">
        <v>99.54</v>
      </c>
      <c r="AE43" s="412">
        <v>98.52</v>
      </c>
      <c r="AF43" s="412">
        <v>97.99</v>
      </c>
      <c r="AG43" s="412">
        <v>93.76</v>
      </c>
      <c r="AH43" s="412">
        <v>98.21</v>
      </c>
      <c r="AI43" s="412">
        <v>97.61</v>
      </c>
      <c r="AJ43" s="412">
        <v>98.8</v>
      </c>
      <c r="AK43" s="412">
        <v>96.36</v>
      </c>
      <c r="AL43" s="412" t="s">
        <v>1751</v>
      </c>
      <c r="AM43" s="412" t="s">
        <v>1751</v>
      </c>
      <c r="AN43" s="412">
        <v>95.24</v>
      </c>
      <c r="AO43" s="412">
        <v>99.4</v>
      </c>
      <c r="AP43" s="412">
        <v>99.31</v>
      </c>
      <c r="AQ43" s="412">
        <v>97.88</v>
      </c>
      <c r="AR43" s="412">
        <v>99.56</v>
      </c>
      <c r="AS43" s="412">
        <v>97.72</v>
      </c>
      <c r="AT43" s="412">
        <v>97.14</v>
      </c>
      <c r="AU43" s="412">
        <v>99.67</v>
      </c>
      <c r="AV43" s="412">
        <v>96.89</v>
      </c>
      <c r="AW43" s="412" t="s">
        <v>1751</v>
      </c>
      <c r="AX43" s="412">
        <v>99.42</v>
      </c>
      <c r="AY43" s="412">
        <v>89.4</v>
      </c>
      <c r="AZ43" s="412">
        <v>98.64</v>
      </c>
      <c r="BA43" s="412">
        <v>94.52</v>
      </c>
      <c r="BB43" s="412">
        <v>95.42</v>
      </c>
      <c r="BC43" s="412">
        <v>97.84</v>
      </c>
      <c r="BD43" s="412">
        <v>99.28</v>
      </c>
      <c r="BE43" s="412">
        <v>97.94</v>
      </c>
      <c r="BF43" s="412">
        <v>98.7</v>
      </c>
      <c r="BG43" s="412">
        <v>99.4</v>
      </c>
      <c r="BH43" s="412">
        <v>97.21</v>
      </c>
      <c r="BI43" s="412">
        <v>95.93</v>
      </c>
      <c r="BJ43" s="412">
        <v>99.48</v>
      </c>
      <c r="BK43" s="412">
        <v>95.27</v>
      </c>
      <c r="BL43" s="412">
        <v>98.45</v>
      </c>
      <c r="BM43" s="412">
        <v>92.48</v>
      </c>
      <c r="BN43" s="412">
        <v>96.85</v>
      </c>
      <c r="BO43" s="412">
        <v>93.93</v>
      </c>
      <c r="BP43" s="412">
        <v>95.66</v>
      </c>
      <c r="BQ43" s="412">
        <v>99.25</v>
      </c>
      <c r="BR43" s="412">
        <v>98.18</v>
      </c>
      <c r="BS43" s="412">
        <v>98.47</v>
      </c>
      <c r="BT43" s="412">
        <v>99.18</v>
      </c>
    </row>
    <row r="44" spans="1:72" s="408" customFormat="1" x14ac:dyDescent="0.3">
      <c r="A44" s="408">
        <v>80</v>
      </c>
      <c r="B44" s="409">
        <v>80</v>
      </c>
      <c r="C44" s="408">
        <v>80</v>
      </c>
      <c r="D44" s="408" t="s">
        <v>218</v>
      </c>
      <c r="E44" s="408" t="s">
        <v>348</v>
      </c>
      <c r="F44" s="408">
        <v>2662963</v>
      </c>
      <c r="G44" s="408">
        <v>914846</v>
      </c>
      <c r="H44" s="408">
        <v>255376</v>
      </c>
      <c r="I44" s="408">
        <v>4827120</v>
      </c>
      <c r="J44" s="408">
        <v>0</v>
      </c>
      <c r="K44" s="408">
        <v>375366</v>
      </c>
      <c r="L44" s="408">
        <v>4502107</v>
      </c>
      <c r="M44" s="408">
        <v>147625</v>
      </c>
      <c r="N44" s="408">
        <v>60174349</v>
      </c>
      <c r="O44" s="408">
        <v>0</v>
      </c>
      <c r="P44" s="408">
        <v>6875921</v>
      </c>
      <c r="Q44" s="408">
        <v>0</v>
      </c>
      <c r="R44" s="408">
        <v>11303654</v>
      </c>
      <c r="S44" s="408">
        <v>67314999</v>
      </c>
      <c r="T44" s="408">
        <v>0</v>
      </c>
      <c r="U44" s="408">
        <v>143895</v>
      </c>
      <c r="V44" s="408">
        <v>1275388</v>
      </c>
      <c r="W44" s="408">
        <v>386189</v>
      </c>
      <c r="X44" s="408">
        <v>82707</v>
      </c>
      <c r="Y44" s="408">
        <v>35965</v>
      </c>
      <c r="Z44" s="408">
        <v>698122</v>
      </c>
      <c r="AA44" s="408">
        <v>0</v>
      </c>
      <c r="AB44" s="408">
        <v>0</v>
      </c>
      <c r="AC44" s="408">
        <v>14017</v>
      </c>
      <c r="AD44" s="408">
        <v>1538160</v>
      </c>
      <c r="AE44" s="408">
        <v>1545392</v>
      </c>
      <c r="AF44" s="408">
        <v>104973</v>
      </c>
      <c r="AG44" s="408">
        <v>0</v>
      </c>
      <c r="AH44" s="408">
        <v>0</v>
      </c>
      <c r="AI44" s="408">
        <v>1773669</v>
      </c>
      <c r="AJ44" s="408">
        <v>1818476</v>
      </c>
      <c r="AK44" s="408">
        <v>75</v>
      </c>
      <c r="AL44" s="408">
        <v>0</v>
      </c>
      <c r="AM44" s="408">
        <v>0</v>
      </c>
      <c r="AN44" s="408">
        <v>0</v>
      </c>
      <c r="AO44" s="408">
        <v>304882</v>
      </c>
      <c r="AP44" s="408">
        <v>1949827</v>
      </c>
      <c r="AQ44" s="408">
        <v>446634</v>
      </c>
      <c r="AR44" s="408">
        <v>0</v>
      </c>
      <c r="AS44" s="408">
        <v>235994</v>
      </c>
      <c r="AT44" s="408">
        <v>774403</v>
      </c>
      <c r="AU44" s="408">
        <v>361314</v>
      </c>
      <c r="AV44" s="408">
        <v>1266783</v>
      </c>
      <c r="AW44" s="408">
        <v>0</v>
      </c>
      <c r="AX44" s="408">
        <v>829077</v>
      </c>
      <c r="AY44" s="408">
        <v>496268</v>
      </c>
      <c r="AZ44" s="408">
        <v>284010</v>
      </c>
      <c r="BA44" s="408">
        <v>74051</v>
      </c>
      <c r="BB44" s="408">
        <v>0</v>
      </c>
      <c r="BC44" s="408">
        <v>0</v>
      </c>
      <c r="BD44" s="408">
        <v>523734</v>
      </c>
      <c r="BE44" s="408">
        <v>0</v>
      </c>
      <c r="BF44" s="408">
        <v>0</v>
      </c>
      <c r="BG44" s="408">
        <v>19212421</v>
      </c>
      <c r="BH44" s="408">
        <v>863419</v>
      </c>
      <c r="BI44" s="408">
        <v>709312</v>
      </c>
      <c r="BJ44" s="408">
        <v>516464</v>
      </c>
      <c r="BK44" s="408">
        <v>105708</v>
      </c>
      <c r="BL44" s="408">
        <v>644343</v>
      </c>
      <c r="BM44" s="408">
        <v>0</v>
      </c>
      <c r="BN44" s="408">
        <v>186672</v>
      </c>
      <c r="BO44" s="408">
        <v>213467</v>
      </c>
      <c r="BP44" s="408">
        <v>1025407</v>
      </c>
      <c r="BQ44" s="408">
        <v>2808980</v>
      </c>
      <c r="BR44" s="408">
        <v>76714491</v>
      </c>
      <c r="BS44" s="408">
        <v>1310894</v>
      </c>
      <c r="BT44" s="408">
        <v>0</v>
      </c>
    </row>
    <row r="45" spans="1:72" s="408" customFormat="1" x14ac:dyDescent="0.3">
      <c r="A45" s="408">
        <v>81</v>
      </c>
      <c r="B45" s="409">
        <v>81</v>
      </c>
      <c r="C45" s="408">
        <v>81</v>
      </c>
      <c r="D45" s="408" t="s">
        <v>219</v>
      </c>
      <c r="E45" s="408" t="s">
        <v>349</v>
      </c>
      <c r="F45" s="408">
        <v>460710</v>
      </c>
      <c r="G45" s="408">
        <v>335189</v>
      </c>
      <c r="H45" s="408">
        <v>59779</v>
      </c>
      <c r="I45" s="408">
        <v>1394761</v>
      </c>
      <c r="J45" s="408">
        <v>0</v>
      </c>
      <c r="K45" s="408">
        <v>146049</v>
      </c>
      <c r="L45" s="408">
        <v>361499</v>
      </c>
      <c r="M45" s="408">
        <v>34166</v>
      </c>
      <c r="N45" s="408">
        <v>3017349</v>
      </c>
      <c r="O45" s="408">
        <v>0</v>
      </c>
      <c r="P45" s="408">
        <v>576155</v>
      </c>
      <c r="Q45" s="408">
        <v>0</v>
      </c>
      <c r="R45" s="408">
        <v>2019397</v>
      </c>
      <c r="S45" s="408">
        <v>4867802</v>
      </c>
      <c r="T45" s="408">
        <v>0</v>
      </c>
      <c r="U45" s="408">
        <v>8822</v>
      </c>
      <c r="V45" s="408">
        <v>258887</v>
      </c>
      <c r="W45" s="408">
        <v>36620</v>
      </c>
      <c r="X45" s="408">
        <v>39589</v>
      </c>
      <c r="Y45" s="408">
        <v>7124</v>
      </c>
      <c r="Z45" s="408">
        <v>445611</v>
      </c>
      <c r="AA45" s="408">
        <v>0</v>
      </c>
      <c r="AB45" s="408">
        <v>0</v>
      </c>
      <c r="AC45" s="408">
        <v>41769</v>
      </c>
      <c r="AD45" s="408">
        <v>215036</v>
      </c>
      <c r="AE45" s="408">
        <v>100772</v>
      </c>
      <c r="AF45" s="408">
        <v>21169</v>
      </c>
      <c r="AG45" s="408">
        <v>0</v>
      </c>
      <c r="AH45" s="408">
        <v>0</v>
      </c>
      <c r="AI45" s="408">
        <v>1023146</v>
      </c>
      <c r="AJ45" s="408">
        <v>243566</v>
      </c>
      <c r="AK45" s="408">
        <v>182285</v>
      </c>
      <c r="AL45" s="408">
        <v>0</v>
      </c>
      <c r="AM45" s="408">
        <v>0</v>
      </c>
      <c r="AN45" s="408">
        <v>0</v>
      </c>
      <c r="AO45" s="408">
        <v>323665</v>
      </c>
      <c r="AP45" s="408">
        <v>0</v>
      </c>
      <c r="AQ45" s="408">
        <v>875937</v>
      </c>
      <c r="AR45" s="408">
        <v>0</v>
      </c>
      <c r="AS45" s="408">
        <v>156329</v>
      </c>
      <c r="AT45" s="408">
        <v>99964</v>
      </c>
      <c r="AU45" s="408">
        <v>91250</v>
      </c>
      <c r="AV45" s="408">
        <v>121327</v>
      </c>
      <c r="AW45" s="408">
        <v>0</v>
      </c>
      <c r="AX45" s="408">
        <v>214246</v>
      </c>
      <c r="AY45" s="408">
        <v>179821</v>
      </c>
      <c r="AZ45" s="408">
        <v>392141</v>
      </c>
      <c r="BA45" s="408">
        <v>4086</v>
      </c>
      <c r="BB45" s="408">
        <v>0</v>
      </c>
      <c r="BC45" s="408">
        <v>0</v>
      </c>
      <c r="BD45" s="408">
        <v>195874</v>
      </c>
      <c r="BE45" s="408">
        <v>0</v>
      </c>
      <c r="BF45" s="408">
        <v>13521</v>
      </c>
      <c r="BG45" s="408">
        <v>1648300</v>
      </c>
      <c r="BH45" s="408">
        <v>58928</v>
      </c>
      <c r="BI45" s="408">
        <v>28812</v>
      </c>
      <c r="BJ45" s="408">
        <v>458836</v>
      </c>
      <c r="BK45" s="408">
        <v>12223</v>
      </c>
      <c r="BL45" s="408">
        <v>44000</v>
      </c>
      <c r="BM45" s="408">
        <v>0</v>
      </c>
      <c r="BN45" s="408">
        <v>14690</v>
      </c>
      <c r="BO45" s="408">
        <v>176656</v>
      </c>
      <c r="BP45" s="408">
        <v>147952</v>
      </c>
      <c r="BQ45" s="408">
        <v>240284</v>
      </c>
      <c r="BR45" s="408">
        <v>7966046</v>
      </c>
      <c r="BS45" s="408">
        <v>302164</v>
      </c>
      <c r="BT45" s="408">
        <v>0</v>
      </c>
    </row>
    <row r="46" spans="1:72" s="408" customFormat="1" x14ac:dyDescent="0.3">
      <c r="A46" s="408">
        <v>82</v>
      </c>
      <c r="B46" s="409">
        <v>82</v>
      </c>
      <c r="C46" s="408">
        <v>82</v>
      </c>
      <c r="D46" s="408" t="s">
        <v>554</v>
      </c>
      <c r="E46" s="408" t="s">
        <v>350</v>
      </c>
      <c r="F46" s="408">
        <v>0</v>
      </c>
      <c r="G46" s="408">
        <v>11729490</v>
      </c>
      <c r="H46" s="408">
        <v>127985</v>
      </c>
      <c r="I46" s="408">
        <v>26930942</v>
      </c>
      <c r="J46" s="408">
        <v>0</v>
      </c>
      <c r="K46" s="408">
        <v>1377308</v>
      </c>
      <c r="L46" s="408">
        <v>4773286</v>
      </c>
      <c r="M46" s="408">
        <v>489500</v>
      </c>
      <c r="N46" s="408">
        <v>48705079</v>
      </c>
      <c r="O46" s="408">
        <v>0</v>
      </c>
      <c r="P46" s="408">
        <v>3883608</v>
      </c>
      <c r="Q46" s="408">
        <v>0</v>
      </c>
      <c r="R46" s="408">
        <v>4013095</v>
      </c>
      <c r="S46" s="408">
        <v>74377269</v>
      </c>
      <c r="T46" s="408">
        <v>0</v>
      </c>
      <c r="U46" s="408">
        <v>658500</v>
      </c>
      <c r="V46" s="408">
        <v>148103</v>
      </c>
      <c r="W46" s="408">
        <v>356252</v>
      </c>
      <c r="X46" s="408">
        <v>0</v>
      </c>
      <c r="Y46" s="408">
        <v>0</v>
      </c>
      <c r="Z46" s="408">
        <v>6041551</v>
      </c>
      <c r="AA46" s="408">
        <v>0</v>
      </c>
      <c r="AB46" s="408">
        <v>0</v>
      </c>
      <c r="AC46" s="408">
        <v>212500</v>
      </c>
      <c r="AD46" s="408">
        <v>624819</v>
      </c>
      <c r="AE46" s="408">
        <v>170624</v>
      </c>
      <c r="AF46" s="408">
        <v>851784</v>
      </c>
      <c r="AG46" s="408">
        <v>0</v>
      </c>
      <c r="AH46" s="408">
        <v>0</v>
      </c>
      <c r="AI46" s="408">
        <v>10152557</v>
      </c>
      <c r="AJ46" s="408">
        <v>6400596</v>
      </c>
      <c r="AK46" s="408">
        <v>2407028</v>
      </c>
      <c r="AL46" s="408">
        <v>0</v>
      </c>
      <c r="AM46" s="408">
        <v>0</v>
      </c>
      <c r="AN46" s="408">
        <v>0</v>
      </c>
      <c r="AO46" s="408">
        <v>5327645</v>
      </c>
      <c r="AP46" s="408">
        <v>0</v>
      </c>
      <c r="AQ46" s="408">
        <v>1522292</v>
      </c>
      <c r="AR46" s="408">
        <v>0</v>
      </c>
      <c r="AS46" s="408">
        <v>3793870</v>
      </c>
      <c r="AT46" s="408">
        <v>2854381</v>
      </c>
      <c r="AU46" s="408">
        <v>0</v>
      </c>
      <c r="AV46" s="408">
        <v>1076988</v>
      </c>
      <c r="AW46" s="408">
        <v>0</v>
      </c>
      <c r="AX46" s="408">
        <v>1773621</v>
      </c>
      <c r="AY46" s="408">
        <v>0</v>
      </c>
      <c r="AZ46" s="408">
        <v>3452667</v>
      </c>
      <c r="BA46" s="408">
        <v>0</v>
      </c>
      <c r="BB46" s="408">
        <v>0</v>
      </c>
      <c r="BC46" s="408">
        <v>0</v>
      </c>
      <c r="BD46" s="408">
        <v>889613</v>
      </c>
      <c r="BE46" s="408">
        <v>0</v>
      </c>
      <c r="BF46" s="408">
        <v>0</v>
      </c>
      <c r="BG46" s="408">
        <v>31707442</v>
      </c>
      <c r="BH46" s="408">
        <v>2265633</v>
      </c>
      <c r="BI46" s="408">
        <v>60000</v>
      </c>
      <c r="BJ46" s="408">
        <v>20637871</v>
      </c>
      <c r="BK46" s="408">
        <v>191984</v>
      </c>
      <c r="BL46" s="408">
        <v>66000</v>
      </c>
      <c r="BM46" s="408">
        <v>0</v>
      </c>
      <c r="BN46" s="408">
        <v>0</v>
      </c>
      <c r="BO46" s="408">
        <v>2318880</v>
      </c>
      <c r="BP46" s="408">
        <v>1148783</v>
      </c>
      <c r="BQ46" s="408">
        <v>2887437</v>
      </c>
      <c r="BR46" s="408">
        <v>27833715</v>
      </c>
      <c r="BS46" s="408">
        <v>471118</v>
      </c>
      <c r="BT46" s="408">
        <v>0</v>
      </c>
    </row>
    <row r="47" spans="1:72" s="408" customFormat="1" x14ac:dyDescent="0.3">
      <c r="A47" s="408">
        <v>83</v>
      </c>
      <c r="B47" s="409">
        <v>83</v>
      </c>
      <c r="C47" s="408">
        <v>83</v>
      </c>
      <c r="D47" s="408" t="s">
        <v>102</v>
      </c>
      <c r="E47" s="408" t="s">
        <v>351</v>
      </c>
      <c r="F47" s="408">
        <v>10454339</v>
      </c>
      <c r="G47" s="408">
        <v>14239225</v>
      </c>
      <c r="H47" s="408">
        <v>4265006</v>
      </c>
      <c r="I47" s="408">
        <v>29925288</v>
      </c>
      <c r="J47" s="408">
        <v>0</v>
      </c>
      <c r="K47" s="408">
        <v>8294728</v>
      </c>
      <c r="L47" s="408">
        <v>10773019</v>
      </c>
      <c r="M47" s="408">
        <v>1284014</v>
      </c>
      <c r="N47" s="408">
        <v>257096012</v>
      </c>
      <c r="O47" s="408">
        <v>0</v>
      </c>
      <c r="P47" s="408">
        <v>27908008</v>
      </c>
      <c r="Q47" s="408">
        <v>0</v>
      </c>
      <c r="R47" s="408">
        <v>46763150</v>
      </c>
      <c r="S47" s="408">
        <v>230817774</v>
      </c>
      <c r="T47" s="408">
        <v>0</v>
      </c>
      <c r="U47" s="408">
        <v>1292395</v>
      </c>
      <c r="V47" s="408">
        <v>3690222</v>
      </c>
      <c r="W47" s="408">
        <v>4450584</v>
      </c>
      <c r="X47" s="408">
        <v>632131</v>
      </c>
      <c r="Y47" s="408">
        <v>252779</v>
      </c>
      <c r="Z47" s="408">
        <v>7616894</v>
      </c>
      <c r="AA47" s="408">
        <v>0</v>
      </c>
      <c r="AB47" s="408">
        <v>0</v>
      </c>
      <c r="AC47" s="408">
        <v>5415203</v>
      </c>
      <c r="AD47" s="408">
        <v>12797341</v>
      </c>
      <c r="AE47" s="408">
        <v>4169077</v>
      </c>
      <c r="AF47" s="408">
        <v>3127131</v>
      </c>
      <c r="AG47" s="408">
        <v>0</v>
      </c>
      <c r="AH47" s="408">
        <v>0</v>
      </c>
      <c r="AI47" s="408">
        <v>21066413</v>
      </c>
      <c r="AJ47" s="408">
        <v>10760021</v>
      </c>
      <c r="AK47" s="408">
        <v>4932229</v>
      </c>
      <c r="AL47" s="408">
        <v>0</v>
      </c>
      <c r="AM47" s="408">
        <v>0</v>
      </c>
      <c r="AN47" s="408">
        <v>0</v>
      </c>
      <c r="AO47" s="408">
        <v>10250076</v>
      </c>
      <c r="AP47" s="408">
        <v>3897924</v>
      </c>
      <c r="AQ47" s="408">
        <v>15276449</v>
      </c>
      <c r="AR47" s="408">
        <v>0</v>
      </c>
      <c r="AS47" s="408">
        <v>11679947</v>
      </c>
      <c r="AT47" s="408">
        <v>5079826</v>
      </c>
      <c r="AU47" s="408">
        <v>2647039</v>
      </c>
      <c r="AV47" s="408">
        <v>5693724</v>
      </c>
      <c r="AW47" s="408">
        <v>0</v>
      </c>
      <c r="AX47" s="408">
        <v>5218835</v>
      </c>
      <c r="AY47" s="408">
        <v>7400202</v>
      </c>
      <c r="AZ47" s="408">
        <v>12878061</v>
      </c>
      <c r="BA47" s="408">
        <v>1190905</v>
      </c>
      <c r="BB47" s="408">
        <v>0</v>
      </c>
      <c r="BC47" s="408">
        <v>0</v>
      </c>
      <c r="BD47" s="408">
        <v>4830980</v>
      </c>
      <c r="BE47" s="408">
        <v>0</v>
      </c>
      <c r="BF47" s="408">
        <v>5119523</v>
      </c>
      <c r="BG47" s="408">
        <v>47640471</v>
      </c>
      <c r="BH47" s="408">
        <v>2355340</v>
      </c>
      <c r="BI47" s="408">
        <v>1547255</v>
      </c>
      <c r="BJ47" s="408">
        <v>16522628</v>
      </c>
      <c r="BK47" s="408">
        <v>771103</v>
      </c>
      <c r="BL47" s="408">
        <v>1831909</v>
      </c>
      <c r="BM47" s="408">
        <v>0</v>
      </c>
      <c r="BN47" s="408">
        <v>3417120</v>
      </c>
      <c r="BO47" s="408">
        <v>7458206</v>
      </c>
      <c r="BP47" s="408">
        <v>3339172</v>
      </c>
      <c r="BQ47" s="408">
        <v>19466172</v>
      </c>
      <c r="BR47" s="408">
        <v>189373475</v>
      </c>
      <c r="BS47" s="408">
        <v>9577019</v>
      </c>
      <c r="BT47" s="408">
        <v>0</v>
      </c>
    </row>
    <row r="48" spans="1:72" s="408" customFormat="1" x14ac:dyDescent="0.3">
      <c r="A48" s="408">
        <v>84</v>
      </c>
      <c r="B48" s="409">
        <v>84</v>
      </c>
      <c r="C48" s="408">
        <v>84</v>
      </c>
      <c r="D48" s="408" t="s">
        <v>227</v>
      </c>
      <c r="E48" s="408" t="s">
        <v>352</v>
      </c>
      <c r="F48" s="408">
        <v>3907049</v>
      </c>
      <c r="G48" s="408">
        <v>3397587</v>
      </c>
      <c r="H48" s="408">
        <v>348161</v>
      </c>
      <c r="I48" s="408">
        <v>10742929</v>
      </c>
      <c r="J48" s="408">
        <v>0</v>
      </c>
      <c r="K48" s="408">
        <v>1321254</v>
      </c>
      <c r="L48" s="408">
        <v>3341538</v>
      </c>
      <c r="M48" s="408">
        <v>394436</v>
      </c>
      <c r="N48" s="408">
        <v>19965590</v>
      </c>
      <c r="O48" s="408">
        <v>0</v>
      </c>
      <c r="P48" s="408">
        <v>4161752</v>
      </c>
      <c r="Q48" s="408">
        <v>0</v>
      </c>
      <c r="R48" s="408">
        <v>12274138</v>
      </c>
      <c r="S48" s="408">
        <v>40167472</v>
      </c>
      <c r="T48" s="408">
        <v>0</v>
      </c>
      <c r="U48" s="408">
        <v>82102</v>
      </c>
      <c r="V48" s="408">
        <v>1814316</v>
      </c>
      <c r="W48" s="408">
        <v>440039</v>
      </c>
      <c r="X48" s="408">
        <v>246125</v>
      </c>
      <c r="Y48" s="408">
        <v>91711</v>
      </c>
      <c r="Z48" s="408">
        <v>2830061</v>
      </c>
      <c r="AA48" s="408">
        <v>0</v>
      </c>
      <c r="AB48" s="408">
        <v>0</v>
      </c>
      <c r="AC48" s="408">
        <v>157111</v>
      </c>
      <c r="AD48" s="408">
        <v>2504069</v>
      </c>
      <c r="AE48" s="408">
        <v>991405</v>
      </c>
      <c r="AF48" s="408">
        <v>238410</v>
      </c>
      <c r="AG48" s="408">
        <v>0</v>
      </c>
      <c r="AH48" s="408">
        <v>0</v>
      </c>
      <c r="AI48" s="408">
        <v>4437735</v>
      </c>
      <c r="AJ48" s="408">
        <v>2474880</v>
      </c>
      <c r="AK48" s="408">
        <v>1194760</v>
      </c>
      <c r="AL48" s="408">
        <v>0</v>
      </c>
      <c r="AM48" s="408">
        <v>0</v>
      </c>
      <c r="AN48" s="408">
        <v>0</v>
      </c>
      <c r="AO48" s="408">
        <v>2921147</v>
      </c>
      <c r="AP48" s="408">
        <v>527122</v>
      </c>
      <c r="AQ48" s="408">
        <v>4967096</v>
      </c>
      <c r="AR48" s="408">
        <v>0</v>
      </c>
      <c r="AS48" s="408">
        <v>719281</v>
      </c>
      <c r="AT48" s="408">
        <v>673450</v>
      </c>
      <c r="AU48" s="408">
        <v>783275</v>
      </c>
      <c r="AV48" s="408">
        <v>1233349</v>
      </c>
      <c r="AW48" s="408">
        <v>0</v>
      </c>
      <c r="AX48" s="408">
        <v>1503970</v>
      </c>
      <c r="AY48" s="408">
        <v>676021</v>
      </c>
      <c r="AZ48" s="408">
        <v>1845644</v>
      </c>
      <c r="BA48" s="408">
        <v>45358</v>
      </c>
      <c r="BB48" s="408">
        <v>0</v>
      </c>
      <c r="BC48" s="408">
        <v>0</v>
      </c>
      <c r="BD48" s="408">
        <v>1586628</v>
      </c>
      <c r="BE48" s="408">
        <v>0</v>
      </c>
      <c r="BF48" s="408">
        <v>112150</v>
      </c>
      <c r="BG48" s="408">
        <v>8992027</v>
      </c>
      <c r="BH48" s="408">
        <v>522116</v>
      </c>
      <c r="BI48" s="408">
        <v>199776</v>
      </c>
      <c r="BJ48" s="408">
        <v>5853692</v>
      </c>
      <c r="BK48" s="408">
        <v>177087</v>
      </c>
      <c r="BL48" s="408">
        <v>404661</v>
      </c>
      <c r="BM48" s="408">
        <v>0</v>
      </c>
      <c r="BN48" s="408">
        <v>145119</v>
      </c>
      <c r="BO48" s="408">
        <v>1447532</v>
      </c>
      <c r="BP48" s="408">
        <v>1020459</v>
      </c>
      <c r="BQ48" s="408">
        <v>2079455</v>
      </c>
      <c r="BR48" s="408">
        <v>30034324</v>
      </c>
      <c r="BS48" s="408">
        <v>2334927</v>
      </c>
      <c r="BT48" s="408">
        <v>0</v>
      </c>
    </row>
    <row r="49" spans="1:72" s="408" customFormat="1" x14ac:dyDescent="0.3">
      <c r="A49" s="408">
        <v>85</v>
      </c>
      <c r="B49" s="409">
        <v>85</v>
      </c>
      <c r="C49" s="408">
        <v>85</v>
      </c>
      <c r="D49" s="408" t="s">
        <v>229</v>
      </c>
      <c r="E49" s="408" t="s">
        <v>353</v>
      </c>
      <c r="F49" s="408">
        <v>3563361</v>
      </c>
      <c r="G49" s="408">
        <v>2881102</v>
      </c>
      <c r="H49" s="408">
        <v>511817</v>
      </c>
      <c r="I49" s="408">
        <v>10106580</v>
      </c>
      <c r="J49" s="408">
        <v>0</v>
      </c>
      <c r="K49" s="408">
        <v>1482959</v>
      </c>
      <c r="L49" s="408">
        <v>2777399</v>
      </c>
      <c r="M49" s="408">
        <v>361094</v>
      </c>
      <c r="N49" s="408">
        <v>23600343</v>
      </c>
      <c r="O49" s="408">
        <v>0</v>
      </c>
      <c r="P49" s="408">
        <v>3443425</v>
      </c>
      <c r="Q49" s="408">
        <v>0</v>
      </c>
      <c r="R49" s="408">
        <v>14431207</v>
      </c>
      <c r="S49" s="408">
        <v>28634397</v>
      </c>
      <c r="T49" s="408">
        <v>0</v>
      </c>
      <c r="U49" s="408">
        <v>101819</v>
      </c>
      <c r="V49" s="408">
        <v>1480440</v>
      </c>
      <c r="W49" s="408">
        <v>757677</v>
      </c>
      <c r="X49" s="408">
        <v>274239</v>
      </c>
      <c r="Y49" s="408">
        <v>105502</v>
      </c>
      <c r="Z49" s="408">
        <v>3077798</v>
      </c>
      <c r="AA49" s="408">
        <v>0</v>
      </c>
      <c r="AB49" s="408">
        <v>0</v>
      </c>
      <c r="AC49" s="408">
        <v>215238</v>
      </c>
      <c r="AD49" s="408">
        <v>2191771</v>
      </c>
      <c r="AE49" s="408">
        <v>798976</v>
      </c>
      <c r="AF49" s="408">
        <v>250011</v>
      </c>
      <c r="AG49" s="408">
        <v>0</v>
      </c>
      <c r="AH49" s="408">
        <v>0</v>
      </c>
      <c r="AI49" s="408">
        <v>3473718</v>
      </c>
      <c r="AJ49" s="408">
        <v>2240359</v>
      </c>
      <c r="AK49" s="408">
        <v>1100489</v>
      </c>
      <c r="AL49" s="408">
        <v>0</v>
      </c>
      <c r="AM49" s="408">
        <v>0</v>
      </c>
      <c r="AN49" s="408">
        <v>0</v>
      </c>
      <c r="AO49" s="408">
        <v>3665912</v>
      </c>
      <c r="AP49" s="408">
        <v>302500</v>
      </c>
      <c r="AQ49" s="408">
        <v>4767954</v>
      </c>
      <c r="AR49" s="408">
        <v>0</v>
      </c>
      <c r="AS49" s="408">
        <v>1092525</v>
      </c>
      <c r="AT49" s="408">
        <v>767683</v>
      </c>
      <c r="AU49" s="408">
        <v>806893</v>
      </c>
      <c r="AV49" s="408">
        <v>1494474</v>
      </c>
      <c r="AW49" s="408">
        <v>0</v>
      </c>
      <c r="AX49" s="408">
        <v>1346945</v>
      </c>
      <c r="AY49" s="408">
        <v>731465</v>
      </c>
      <c r="AZ49" s="408">
        <v>1925544</v>
      </c>
      <c r="BA49" s="408">
        <v>341742</v>
      </c>
      <c r="BB49" s="408">
        <v>0</v>
      </c>
      <c r="BC49" s="408">
        <v>0</v>
      </c>
      <c r="BD49" s="408">
        <v>1541677</v>
      </c>
      <c r="BE49" s="408">
        <v>0</v>
      </c>
      <c r="BF49" s="408">
        <v>282378</v>
      </c>
      <c r="BG49" s="408">
        <v>8747682</v>
      </c>
      <c r="BH49" s="408">
        <v>593193</v>
      </c>
      <c r="BI49" s="408">
        <v>156783</v>
      </c>
      <c r="BJ49" s="408">
        <v>6030437</v>
      </c>
      <c r="BK49" s="408">
        <v>230933</v>
      </c>
      <c r="BL49" s="408">
        <v>418976</v>
      </c>
      <c r="BM49" s="408">
        <v>0</v>
      </c>
      <c r="BN49" s="408">
        <v>171474</v>
      </c>
      <c r="BO49" s="408">
        <v>1809018</v>
      </c>
      <c r="BP49" s="408">
        <v>1041661</v>
      </c>
      <c r="BQ49" s="408">
        <v>2193516</v>
      </c>
      <c r="BR49" s="408">
        <v>26167718</v>
      </c>
      <c r="BS49" s="408">
        <v>2521833</v>
      </c>
      <c r="BT49" s="408">
        <v>0</v>
      </c>
    </row>
    <row r="50" spans="1:72" s="408" customFormat="1" x14ac:dyDescent="0.3">
      <c r="A50" s="408">
        <v>88</v>
      </c>
      <c r="B50" s="409">
        <v>88</v>
      </c>
      <c r="C50" s="408">
        <v>88</v>
      </c>
      <c r="D50" s="408" t="s">
        <v>226</v>
      </c>
      <c r="E50" s="408" t="s">
        <v>354</v>
      </c>
      <c r="F50" s="408">
        <v>3003521</v>
      </c>
      <c r="G50" s="408">
        <v>3323989</v>
      </c>
      <c r="H50" s="408">
        <v>339316</v>
      </c>
      <c r="I50" s="408">
        <v>10635700</v>
      </c>
      <c r="J50" s="408">
        <v>0</v>
      </c>
      <c r="K50" s="408">
        <v>1293287</v>
      </c>
      <c r="L50" s="408">
        <v>2250440</v>
      </c>
      <c r="M50" s="408">
        <v>394436</v>
      </c>
      <c r="N50" s="408">
        <v>19006567</v>
      </c>
      <c r="O50" s="408">
        <v>0</v>
      </c>
      <c r="P50" s="408">
        <v>3966455</v>
      </c>
      <c r="Q50" s="408">
        <v>0</v>
      </c>
      <c r="R50" s="408">
        <v>11580100</v>
      </c>
      <c r="S50" s="408">
        <v>40156737</v>
      </c>
      <c r="T50" s="408">
        <v>0</v>
      </c>
      <c r="U50" s="408">
        <v>82082</v>
      </c>
      <c r="V50" s="408">
        <v>1266453</v>
      </c>
      <c r="W50" s="408">
        <v>436311</v>
      </c>
      <c r="X50" s="408">
        <v>229694</v>
      </c>
      <c r="Y50" s="408">
        <v>88760</v>
      </c>
      <c r="Z50" s="408">
        <v>2830061</v>
      </c>
      <c r="AA50" s="408">
        <v>0</v>
      </c>
      <c r="AB50" s="408">
        <v>0</v>
      </c>
      <c r="AC50" s="408">
        <v>154671</v>
      </c>
      <c r="AD50" s="408">
        <v>2500385</v>
      </c>
      <c r="AE50" s="408">
        <v>952404</v>
      </c>
      <c r="AF50" s="408">
        <v>219614</v>
      </c>
      <c r="AG50" s="408">
        <v>0</v>
      </c>
      <c r="AH50" s="408">
        <v>0</v>
      </c>
      <c r="AI50" s="408">
        <v>4351633</v>
      </c>
      <c r="AJ50" s="408">
        <v>2471643</v>
      </c>
      <c r="AK50" s="408">
        <v>1194760</v>
      </c>
      <c r="AL50" s="408">
        <v>0</v>
      </c>
      <c r="AM50" s="408">
        <v>0</v>
      </c>
      <c r="AN50" s="408">
        <v>0</v>
      </c>
      <c r="AO50" s="408">
        <v>2858513</v>
      </c>
      <c r="AP50" s="408">
        <v>527122</v>
      </c>
      <c r="AQ50" s="408">
        <v>4845175</v>
      </c>
      <c r="AR50" s="408">
        <v>0</v>
      </c>
      <c r="AS50" s="408">
        <v>713255</v>
      </c>
      <c r="AT50" s="408">
        <v>667985</v>
      </c>
      <c r="AU50" s="408">
        <v>756276</v>
      </c>
      <c r="AV50" s="408">
        <v>1143545</v>
      </c>
      <c r="AW50" s="408">
        <v>0</v>
      </c>
      <c r="AX50" s="408">
        <v>1362562</v>
      </c>
      <c r="AY50" s="408">
        <v>659431</v>
      </c>
      <c r="AZ50" s="408">
        <v>1826936</v>
      </c>
      <c r="BA50" s="408">
        <v>45358</v>
      </c>
      <c r="BB50" s="408">
        <v>0</v>
      </c>
      <c r="BC50" s="408">
        <v>0</v>
      </c>
      <c r="BD50" s="408">
        <v>1552788</v>
      </c>
      <c r="BE50" s="408">
        <v>0</v>
      </c>
      <c r="BF50" s="408">
        <v>106356</v>
      </c>
      <c r="BG50" s="408">
        <v>6883169</v>
      </c>
      <c r="BH50" s="408">
        <v>490425</v>
      </c>
      <c r="BI50" s="408">
        <v>195600</v>
      </c>
      <c r="BJ50" s="408">
        <v>5509729</v>
      </c>
      <c r="BK50" s="408">
        <v>177087</v>
      </c>
      <c r="BL50" s="408">
        <v>377122</v>
      </c>
      <c r="BM50" s="408">
        <v>0</v>
      </c>
      <c r="BN50" s="408">
        <v>131295</v>
      </c>
      <c r="BO50" s="408">
        <v>1447532</v>
      </c>
      <c r="BP50" s="408">
        <v>1005740</v>
      </c>
      <c r="BQ50" s="408">
        <v>1755844</v>
      </c>
      <c r="BR50" s="408">
        <v>29727029</v>
      </c>
      <c r="BS50" s="408">
        <v>2083309</v>
      </c>
      <c r="BT50" s="408">
        <v>0</v>
      </c>
    </row>
    <row r="51" spans="1:72" s="408" customFormat="1" x14ac:dyDescent="0.3">
      <c r="A51" s="408">
        <v>89</v>
      </c>
      <c r="B51" s="409">
        <v>89</v>
      </c>
      <c r="C51" s="408">
        <v>89</v>
      </c>
      <c r="D51" s="408" t="s">
        <v>230</v>
      </c>
      <c r="E51" s="408" t="s">
        <v>355</v>
      </c>
      <c r="F51" s="408">
        <v>0</v>
      </c>
      <c r="G51" s="408">
        <v>417231</v>
      </c>
      <c r="H51" s="408">
        <v>0</v>
      </c>
      <c r="I51" s="408">
        <v>325136</v>
      </c>
      <c r="J51" s="408">
        <v>0</v>
      </c>
      <c r="K51" s="408">
        <v>2340</v>
      </c>
      <c r="L51" s="408">
        <v>175972</v>
      </c>
      <c r="M51" s="408">
        <v>27195</v>
      </c>
      <c r="N51" s="408">
        <v>1478756</v>
      </c>
      <c r="O51" s="408">
        <v>0</v>
      </c>
      <c r="P51" s="408">
        <v>113289</v>
      </c>
      <c r="Q51" s="408">
        <v>0</v>
      </c>
      <c r="R51" s="408">
        <v>81603</v>
      </c>
      <c r="S51" s="408">
        <v>2486521</v>
      </c>
      <c r="T51" s="408">
        <v>0</v>
      </c>
      <c r="U51" s="408">
        <v>18494</v>
      </c>
      <c r="V51" s="408">
        <v>4369</v>
      </c>
      <c r="W51" s="408">
        <v>0</v>
      </c>
      <c r="X51" s="408">
        <v>0</v>
      </c>
      <c r="Y51" s="408">
        <v>0</v>
      </c>
      <c r="Z51" s="408">
        <v>190680</v>
      </c>
      <c r="AA51" s="408">
        <v>0</v>
      </c>
      <c r="AB51" s="408">
        <v>0</v>
      </c>
      <c r="AC51" s="408">
        <v>10473</v>
      </c>
      <c r="AD51" s="408">
        <v>19610</v>
      </c>
      <c r="AE51" s="408">
        <v>5336</v>
      </c>
      <c r="AF51" s="408">
        <v>6001</v>
      </c>
      <c r="AG51" s="408">
        <v>0</v>
      </c>
      <c r="AH51" s="408">
        <v>0</v>
      </c>
      <c r="AI51" s="408">
        <v>225847</v>
      </c>
      <c r="AJ51" s="408">
        <v>152094</v>
      </c>
      <c r="AK51" s="408">
        <v>96947</v>
      </c>
      <c r="AL51" s="408">
        <v>0</v>
      </c>
      <c r="AM51" s="408">
        <v>0</v>
      </c>
      <c r="AN51" s="408">
        <v>0</v>
      </c>
      <c r="AO51" s="408">
        <v>106964</v>
      </c>
      <c r="AP51" s="408">
        <v>0</v>
      </c>
      <c r="AQ51" s="408">
        <v>42575</v>
      </c>
      <c r="AR51" s="408">
        <v>0</v>
      </c>
      <c r="AS51" s="408">
        <v>132668</v>
      </c>
      <c r="AT51" s="408">
        <v>104600</v>
      </c>
      <c r="AU51" s="408">
        <v>0</v>
      </c>
      <c r="AV51" s="408">
        <v>1154</v>
      </c>
      <c r="AW51" s="408">
        <v>0</v>
      </c>
      <c r="AX51" s="408">
        <v>67135</v>
      </c>
      <c r="AY51" s="408">
        <v>0</v>
      </c>
      <c r="AZ51" s="408">
        <v>113040</v>
      </c>
      <c r="BA51" s="408">
        <v>0</v>
      </c>
      <c r="BB51" s="408">
        <v>0</v>
      </c>
      <c r="BC51" s="408">
        <v>0</v>
      </c>
      <c r="BD51" s="408">
        <v>31158</v>
      </c>
      <c r="BE51" s="408">
        <v>0</v>
      </c>
      <c r="BF51" s="408">
        <v>807</v>
      </c>
      <c r="BG51" s="408">
        <v>900805</v>
      </c>
      <c r="BH51" s="408">
        <v>0</v>
      </c>
      <c r="BI51" s="408">
        <v>1972</v>
      </c>
      <c r="BJ51" s="408">
        <v>281821</v>
      </c>
      <c r="BK51" s="408">
        <v>6068</v>
      </c>
      <c r="BL51" s="408">
        <v>4418</v>
      </c>
      <c r="BM51" s="408">
        <v>0</v>
      </c>
      <c r="BN51" s="408">
        <v>0</v>
      </c>
      <c r="BO51" s="408">
        <v>57018</v>
      </c>
      <c r="BP51" s="408">
        <v>3984</v>
      </c>
      <c r="BQ51" s="408">
        <v>49803</v>
      </c>
      <c r="BR51" s="408">
        <v>1348568</v>
      </c>
      <c r="BS51" s="408">
        <v>5104</v>
      </c>
      <c r="BT51" s="408">
        <v>0</v>
      </c>
    </row>
    <row r="52" spans="1:72" s="408" customFormat="1" x14ac:dyDescent="0.3">
      <c r="A52" s="408">
        <v>90</v>
      </c>
      <c r="B52" s="409">
        <v>90</v>
      </c>
      <c r="C52" s="408">
        <v>90</v>
      </c>
      <c r="D52" s="408" t="s">
        <v>223</v>
      </c>
      <c r="E52" s="408" t="s">
        <v>356</v>
      </c>
      <c r="F52" s="408">
        <v>0</v>
      </c>
      <c r="G52" s="408">
        <v>0</v>
      </c>
      <c r="H52" s="408">
        <v>0</v>
      </c>
      <c r="I52" s="408">
        <v>11567492</v>
      </c>
      <c r="J52" s="408">
        <v>0</v>
      </c>
      <c r="K52" s="408">
        <v>0</v>
      </c>
      <c r="L52" s="408">
        <v>0</v>
      </c>
      <c r="M52" s="408">
        <v>0</v>
      </c>
      <c r="N52" s="408">
        <v>13030728</v>
      </c>
      <c r="O52" s="408">
        <v>0</v>
      </c>
      <c r="P52" s="408">
        <v>0</v>
      </c>
      <c r="Q52" s="408">
        <v>0</v>
      </c>
      <c r="R52" s="408">
        <v>0</v>
      </c>
      <c r="S52" s="408">
        <v>0</v>
      </c>
      <c r="T52" s="408">
        <v>0</v>
      </c>
      <c r="U52" s="408">
        <v>0</v>
      </c>
      <c r="V52" s="408">
        <v>0</v>
      </c>
      <c r="W52" s="408">
        <v>0</v>
      </c>
      <c r="X52" s="408">
        <v>0</v>
      </c>
      <c r="Y52" s="408">
        <v>0</v>
      </c>
      <c r="Z52" s="408">
        <v>4912480</v>
      </c>
      <c r="AA52" s="408">
        <v>0</v>
      </c>
      <c r="AB52" s="408">
        <v>0</v>
      </c>
      <c r="AC52" s="408">
        <v>0</v>
      </c>
      <c r="AD52" s="408">
        <v>0</v>
      </c>
      <c r="AE52" s="408">
        <v>0</v>
      </c>
      <c r="AF52" s="408">
        <v>0</v>
      </c>
      <c r="AG52" s="408">
        <v>0</v>
      </c>
      <c r="AH52" s="408">
        <v>0</v>
      </c>
      <c r="AI52" s="408">
        <v>0</v>
      </c>
      <c r="AJ52" s="408">
        <v>0</v>
      </c>
      <c r="AK52" s="408">
        <v>685336</v>
      </c>
      <c r="AL52" s="408">
        <v>0</v>
      </c>
      <c r="AM52" s="408">
        <v>0</v>
      </c>
      <c r="AN52" s="408">
        <v>0</v>
      </c>
      <c r="AO52" s="408">
        <v>711158</v>
      </c>
      <c r="AP52" s="408">
        <v>0</v>
      </c>
      <c r="AQ52" s="408">
        <v>0</v>
      </c>
      <c r="AR52" s="408">
        <v>0</v>
      </c>
      <c r="AS52" s="408">
        <v>0</v>
      </c>
      <c r="AT52" s="408">
        <v>0</v>
      </c>
      <c r="AU52" s="408">
        <v>0</v>
      </c>
      <c r="AV52" s="408">
        <v>0</v>
      </c>
      <c r="AW52" s="408">
        <v>0</v>
      </c>
      <c r="AX52" s="408">
        <v>0</v>
      </c>
      <c r="AY52" s="408">
        <v>0</v>
      </c>
      <c r="AZ52" s="408">
        <v>0</v>
      </c>
      <c r="BA52" s="408">
        <v>0</v>
      </c>
      <c r="BB52" s="408">
        <v>0</v>
      </c>
      <c r="BC52" s="408">
        <v>0</v>
      </c>
      <c r="BD52" s="408">
        <v>0</v>
      </c>
      <c r="BE52" s="408">
        <v>0</v>
      </c>
      <c r="BF52" s="408">
        <v>0</v>
      </c>
      <c r="BG52" s="408">
        <v>0</v>
      </c>
      <c r="BH52" s="408">
        <v>0</v>
      </c>
      <c r="BI52" s="408">
        <v>1466425</v>
      </c>
      <c r="BJ52" s="408">
        <v>0</v>
      </c>
      <c r="BK52" s="408">
        <v>0</v>
      </c>
      <c r="BL52" s="408">
        <v>0</v>
      </c>
      <c r="BM52" s="408">
        <v>0</v>
      </c>
      <c r="BN52" s="408">
        <v>0</v>
      </c>
      <c r="BO52" s="408">
        <v>0</v>
      </c>
      <c r="BP52" s="408">
        <v>0</v>
      </c>
      <c r="BQ52" s="408">
        <v>0</v>
      </c>
      <c r="BR52" s="408">
        <v>0</v>
      </c>
      <c r="BS52" s="408">
        <v>0</v>
      </c>
      <c r="BT52" s="408">
        <v>0</v>
      </c>
    </row>
    <row r="53" spans="1:72" s="408" customFormat="1" x14ac:dyDescent="0.3">
      <c r="A53" s="408">
        <v>91</v>
      </c>
      <c r="B53" s="409">
        <v>91</v>
      </c>
      <c r="C53" s="408">
        <v>91</v>
      </c>
      <c r="D53" s="408" t="s">
        <v>224</v>
      </c>
      <c r="E53" s="408" t="s">
        <v>357</v>
      </c>
      <c r="F53" s="408">
        <v>0</v>
      </c>
      <c r="G53" s="408">
        <v>0</v>
      </c>
      <c r="H53" s="408">
        <v>0</v>
      </c>
      <c r="I53" s="408">
        <v>3345870</v>
      </c>
      <c r="J53" s="408">
        <v>0</v>
      </c>
      <c r="K53" s="408">
        <v>0</v>
      </c>
      <c r="L53" s="408">
        <v>0</v>
      </c>
      <c r="M53" s="408">
        <v>0</v>
      </c>
      <c r="N53" s="408">
        <v>6602426</v>
      </c>
      <c r="O53" s="408">
        <v>0</v>
      </c>
      <c r="P53" s="408">
        <v>0</v>
      </c>
      <c r="Q53" s="408">
        <v>0</v>
      </c>
      <c r="R53" s="408">
        <v>0</v>
      </c>
      <c r="S53" s="408">
        <v>0</v>
      </c>
      <c r="T53" s="408">
        <v>0</v>
      </c>
      <c r="U53" s="408">
        <v>0</v>
      </c>
      <c r="V53" s="408">
        <v>0</v>
      </c>
      <c r="W53" s="408">
        <v>0</v>
      </c>
      <c r="X53" s="408">
        <v>0</v>
      </c>
      <c r="Y53" s="408">
        <v>0</v>
      </c>
      <c r="Z53" s="408">
        <v>1485503</v>
      </c>
      <c r="AA53" s="408">
        <v>0</v>
      </c>
      <c r="AB53" s="408">
        <v>0</v>
      </c>
      <c r="AC53" s="408">
        <v>0</v>
      </c>
      <c r="AD53" s="408">
        <v>0</v>
      </c>
      <c r="AE53" s="408">
        <v>0</v>
      </c>
      <c r="AF53" s="408">
        <v>0</v>
      </c>
      <c r="AG53" s="408">
        <v>0</v>
      </c>
      <c r="AH53" s="408">
        <v>0</v>
      </c>
      <c r="AI53" s="408">
        <v>0</v>
      </c>
      <c r="AJ53" s="408">
        <v>0</v>
      </c>
      <c r="AK53" s="408">
        <v>116421</v>
      </c>
      <c r="AL53" s="408">
        <v>0</v>
      </c>
      <c r="AM53" s="408">
        <v>0</v>
      </c>
      <c r="AN53" s="408">
        <v>0</v>
      </c>
      <c r="AO53" s="408">
        <v>412594</v>
      </c>
      <c r="AP53" s="408">
        <v>0</v>
      </c>
      <c r="AQ53" s="408">
        <v>0</v>
      </c>
      <c r="AR53" s="408">
        <v>0</v>
      </c>
      <c r="AS53" s="408">
        <v>0</v>
      </c>
      <c r="AT53" s="408">
        <v>0</v>
      </c>
      <c r="AU53" s="408">
        <v>0</v>
      </c>
      <c r="AV53" s="408">
        <v>0</v>
      </c>
      <c r="AW53" s="408">
        <v>0</v>
      </c>
      <c r="AX53" s="408">
        <v>0</v>
      </c>
      <c r="AY53" s="408">
        <v>0</v>
      </c>
      <c r="AZ53" s="408">
        <v>0</v>
      </c>
      <c r="BA53" s="408">
        <v>0</v>
      </c>
      <c r="BB53" s="408">
        <v>0</v>
      </c>
      <c r="BC53" s="408">
        <v>0</v>
      </c>
      <c r="BD53" s="408">
        <v>0</v>
      </c>
      <c r="BE53" s="408">
        <v>0</v>
      </c>
      <c r="BF53" s="408">
        <v>0</v>
      </c>
      <c r="BG53" s="408">
        <v>0</v>
      </c>
      <c r="BH53" s="408">
        <v>0</v>
      </c>
      <c r="BI53" s="408">
        <v>45471</v>
      </c>
      <c r="BJ53" s="408">
        <v>0</v>
      </c>
      <c r="BK53" s="408">
        <v>0</v>
      </c>
      <c r="BL53" s="408">
        <v>0</v>
      </c>
      <c r="BM53" s="408">
        <v>0</v>
      </c>
      <c r="BN53" s="408">
        <v>0</v>
      </c>
      <c r="BO53" s="408">
        <v>0</v>
      </c>
      <c r="BP53" s="408">
        <v>0</v>
      </c>
      <c r="BQ53" s="408">
        <v>0</v>
      </c>
      <c r="BR53" s="408">
        <v>0</v>
      </c>
      <c r="BS53" s="408">
        <v>0</v>
      </c>
      <c r="BT53" s="408">
        <v>0</v>
      </c>
    </row>
    <row r="54" spans="1:72" s="408" customFormat="1" x14ac:dyDescent="0.3">
      <c r="A54" s="408">
        <v>92</v>
      </c>
      <c r="B54" s="409"/>
      <c r="C54" s="408">
        <v>92</v>
      </c>
      <c r="D54" s="408" t="s">
        <v>632</v>
      </c>
      <c r="E54" s="408" t="s">
        <v>358</v>
      </c>
    </row>
    <row r="55" spans="1:72" s="408" customFormat="1" x14ac:dyDescent="0.3">
      <c r="A55" s="408">
        <v>93</v>
      </c>
      <c r="B55" s="409">
        <v>93</v>
      </c>
      <c r="C55" s="408">
        <v>93</v>
      </c>
      <c r="D55" s="408" t="s">
        <v>237</v>
      </c>
      <c r="E55" s="408" t="s">
        <v>359</v>
      </c>
      <c r="F55" s="408">
        <v>0</v>
      </c>
      <c r="G55" s="408">
        <v>0</v>
      </c>
      <c r="H55" s="408">
        <v>0</v>
      </c>
      <c r="I55" s="408">
        <v>30936281</v>
      </c>
      <c r="J55" s="408">
        <v>0</v>
      </c>
      <c r="K55" s="408">
        <v>0</v>
      </c>
      <c r="L55" s="408">
        <v>0</v>
      </c>
      <c r="M55" s="408">
        <v>0</v>
      </c>
      <c r="N55" s="408">
        <v>42674575</v>
      </c>
      <c r="O55" s="408">
        <v>0</v>
      </c>
      <c r="P55" s="408">
        <v>0</v>
      </c>
      <c r="Q55" s="408">
        <v>0</v>
      </c>
      <c r="R55" s="408">
        <v>0</v>
      </c>
      <c r="S55" s="408">
        <v>0</v>
      </c>
      <c r="T55" s="408">
        <v>0</v>
      </c>
      <c r="U55" s="408">
        <v>0</v>
      </c>
      <c r="V55" s="408">
        <v>0</v>
      </c>
      <c r="W55" s="408">
        <v>0</v>
      </c>
      <c r="X55" s="408">
        <v>0</v>
      </c>
      <c r="Y55" s="408">
        <v>0</v>
      </c>
      <c r="Z55" s="408">
        <v>11426188</v>
      </c>
      <c r="AA55" s="408">
        <v>0</v>
      </c>
      <c r="AB55" s="408">
        <v>0</v>
      </c>
      <c r="AC55" s="408">
        <v>0</v>
      </c>
      <c r="AD55" s="408">
        <v>0</v>
      </c>
      <c r="AE55" s="408">
        <v>0</v>
      </c>
      <c r="AF55" s="408">
        <v>0</v>
      </c>
      <c r="AG55" s="408">
        <v>0</v>
      </c>
      <c r="AH55" s="408">
        <v>0</v>
      </c>
      <c r="AI55" s="408">
        <v>0</v>
      </c>
      <c r="AJ55" s="408">
        <v>0</v>
      </c>
      <c r="AK55" s="408">
        <v>2175947</v>
      </c>
      <c r="AL55" s="408">
        <v>0</v>
      </c>
      <c r="AM55" s="408">
        <v>0</v>
      </c>
      <c r="AN55" s="408">
        <v>0</v>
      </c>
      <c r="AO55" s="408">
        <v>4668250</v>
      </c>
      <c r="AP55" s="408">
        <v>0</v>
      </c>
      <c r="AQ55" s="408">
        <v>0</v>
      </c>
      <c r="AR55" s="408">
        <v>0</v>
      </c>
      <c r="AS55" s="408">
        <v>0</v>
      </c>
      <c r="AT55" s="408">
        <v>0</v>
      </c>
      <c r="AU55" s="408">
        <v>0</v>
      </c>
      <c r="AV55" s="408">
        <v>0</v>
      </c>
      <c r="AW55" s="408">
        <v>0</v>
      </c>
      <c r="AX55" s="408">
        <v>0</v>
      </c>
      <c r="AY55" s="408">
        <v>0</v>
      </c>
      <c r="AZ55" s="408">
        <v>0</v>
      </c>
      <c r="BA55" s="408">
        <v>0</v>
      </c>
      <c r="BB55" s="408">
        <v>0</v>
      </c>
      <c r="BC55" s="408">
        <v>0</v>
      </c>
      <c r="BD55" s="408">
        <v>0</v>
      </c>
      <c r="BE55" s="408">
        <v>0</v>
      </c>
      <c r="BF55" s="408">
        <v>0</v>
      </c>
      <c r="BG55" s="408">
        <v>0</v>
      </c>
      <c r="BH55" s="408">
        <v>0</v>
      </c>
      <c r="BI55" s="408">
        <v>413616</v>
      </c>
      <c r="BJ55" s="408">
        <v>0</v>
      </c>
      <c r="BK55" s="408">
        <v>0</v>
      </c>
      <c r="BL55" s="408">
        <v>0</v>
      </c>
      <c r="BM55" s="408">
        <v>0</v>
      </c>
      <c r="BN55" s="408">
        <v>0</v>
      </c>
      <c r="BO55" s="408">
        <v>0</v>
      </c>
      <c r="BP55" s="408">
        <v>0</v>
      </c>
      <c r="BQ55" s="408">
        <v>0</v>
      </c>
      <c r="BR55" s="408">
        <v>0</v>
      </c>
      <c r="BS55" s="408">
        <v>0</v>
      </c>
      <c r="BT55" s="408">
        <v>0</v>
      </c>
    </row>
    <row r="56" spans="1:72" s="408" customFormat="1" x14ac:dyDescent="0.3">
      <c r="A56" s="408">
        <v>94</v>
      </c>
      <c r="B56" s="409">
        <v>94</v>
      </c>
      <c r="C56" s="408">
        <v>94</v>
      </c>
      <c r="D56" s="408" t="s">
        <v>240</v>
      </c>
      <c r="E56" s="408" t="s">
        <v>360</v>
      </c>
      <c r="F56" s="408">
        <v>0</v>
      </c>
      <c r="G56" s="408">
        <v>0</v>
      </c>
      <c r="H56" s="408">
        <v>0</v>
      </c>
      <c r="I56" s="408">
        <v>29127551</v>
      </c>
      <c r="J56" s="408">
        <v>0</v>
      </c>
      <c r="K56" s="408">
        <v>0</v>
      </c>
      <c r="L56" s="408">
        <v>0</v>
      </c>
      <c r="M56" s="408">
        <v>0</v>
      </c>
      <c r="N56" s="408">
        <v>39500397</v>
      </c>
      <c r="O56" s="408">
        <v>0</v>
      </c>
      <c r="P56" s="408">
        <v>0</v>
      </c>
      <c r="Q56" s="408">
        <v>0</v>
      </c>
      <c r="R56" s="408">
        <v>0</v>
      </c>
      <c r="S56" s="408">
        <v>0</v>
      </c>
      <c r="T56" s="408">
        <v>0</v>
      </c>
      <c r="U56" s="408">
        <v>0</v>
      </c>
      <c r="V56" s="408">
        <v>0</v>
      </c>
      <c r="W56" s="408">
        <v>0</v>
      </c>
      <c r="X56" s="408">
        <v>0</v>
      </c>
      <c r="Y56" s="408">
        <v>0</v>
      </c>
      <c r="Z56" s="408">
        <v>11034191</v>
      </c>
      <c r="AA56" s="408">
        <v>0</v>
      </c>
      <c r="AB56" s="408">
        <v>0</v>
      </c>
      <c r="AC56" s="408">
        <v>0</v>
      </c>
      <c r="AD56" s="408">
        <v>0</v>
      </c>
      <c r="AE56" s="408">
        <v>0</v>
      </c>
      <c r="AF56" s="408">
        <v>0</v>
      </c>
      <c r="AG56" s="408">
        <v>0</v>
      </c>
      <c r="AH56" s="408">
        <v>0</v>
      </c>
      <c r="AI56" s="408">
        <v>0</v>
      </c>
      <c r="AJ56" s="408">
        <v>0</v>
      </c>
      <c r="AK56" s="408">
        <v>2091786</v>
      </c>
      <c r="AL56" s="408">
        <v>0</v>
      </c>
      <c r="AM56" s="408">
        <v>0</v>
      </c>
      <c r="AN56" s="408">
        <v>0</v>
      </c>
      <c r="AO56" s="408">
        <v>4692408</v>
      </c>
      <c r="AP56" s="408">
        <v>0</v>
      </c>
      <c r="AQ56" s="408">
        <v>0</v>
      </c>
      <c r="AR56" s="408">
        <v>0</v>
      </c>
      <c r="AS56" s="408">
        <v>0</v>
      </c>
      <c r="AT56" s="408">
        <v>0</v>
      </c>
      <c r="AU56" s="408">
        <v>0</v>
      </c>
      <c r="AV56" s="408">
        <v>0</v>
      </c>
      <c r="AW56" s="408">
        <v>0</v>
      </c>
      <c r="AX56" s="408">
        <v>0</v>
      </c>
      <c r="AY56" s="408">
        <v>0</v>
      </c>
      <c r="AZ56" s="408">
        <v>0</v>
      </c>
      <c r="BA56" s="408">
        <v>0</v>
      </c>
      <c r="BB56" s="408">
        <v>0</v>
      </c>
      <c r="BC56" s="408">
        <v>0</v>
      </c>
      <c r="BD56" s="408">
        <v>0</v>
      </c>
      <c r="BE56" s="408">
        <v>0</v>
      </c>
      <c r="BF56" s="408">
        <v>0</v>
      </c>
      <c r="BG56" s="408">
        <v>0</v>
      </c>
      <c r="BH56" s="408">
        <v>0</v>
      </c>
      <c r="BI56" s="408">
        <v>287747</v>
      </c>
      <c r="BJ56" s="408">
        <v>0</v>
      </c>
      <c r="BK56" s="408">
        <v>0</v>
      </c>
      <c r="BL56" s="408">
        <v>0</v>
      </c>
      <c r="BM56" s="408">
        <v>0</v>
      </c>
      <c r="BN56" s="408">
        <v>0</v>
      </c>
      <c r="BO56" s="408">
        <v>0</v>
      </c>
      <c r="BP56" s="408">
        <v>0</v>
      </c>
      <c r="BQ56" s="408">
        <v>0</v>
      </c>
      <c r="BR56" s="408">
        <v>0</v>
      </c>
      <c r="BS56" s="408">
        <v>0</v>
      </c>
      <c r="BT56" s="408">
        <v>0</v>
      </c>
    </row>
    <row r="57" spans="1:72" s="408" customFormat="1" x14ac:dyDescent="0.3">
      <c r="A57" s="408">
        <v>97</v>
      </c>
      <c r="B57" s="409">
        <v>97</v>
      </c>
      <c r="C57" s="408">
        <v>97</v>
      </c>
      <c r="D57" s="408" t="s">
        <v>236</v>
      </c>
      <c r="E57" s="408" t="s">
        <v>361</v>
      </c>
      <c r="F57" s="408">
        <v>0</v>
      </c>
      <c r="G57" s="408">
        <v>0</v>
      </c>
      <c r="H57" s="408">
        <v>0</v>
      </c>
      <c r="I57" s="408">
        <v>29908236</v>
      </c>
      <c r="J57" s="408">
        <v>0</v>
      </c>
      <c r="K57" s="408">
        <v>0</v>
      </c>
      <c r="L57" s="408">
        <v>0</v>
      </c>
      <c r="M57" s="408">
        <v>0</v>
      </c>
      <c r="N57" s="408">
        <v>38663296</v>
      </c>
      <c r="O57" s="408">
        <v>0</v>
      </c>
      <c r="P57" s="408">
        <v>0</v>
      </c>
      <c r="Q57" s="408">
        <v>0</v>
      </c>
      <c r="R57" s="408">
        <v>0</v>
      </c>
      <c r="S57" s="408">
        <v>0</v>
      </c>
      <c r="T57" s="408">
        <v>0</v>
      </c>
      <c r="U57" s="408">
        <v>0</v>
      </c>
      <c r="V57" s="408">
        <v>0</v>
      </c>
      <c r="W57" s="408">
        <v>0</v>
      </c>
      <c r="X57" s="408">
        <v>0</v>
      </c>
      <c r="Y57" s="408">
        <v>0</v>
      </c>
      <c r="Z57" s="408">
        <v>11385273</v>
      </c>
      <c r="AA57" s="408">
        <v>0</v>
      </c>
      <c r="AB57" s="408">
        <v>0</v>
      </c>
      <c r="AC57" s="408">
        <v>0</v>
      </c>
      <c r="AD57" s="408">
        <v>0</v>
      </c>
      <c r="AE57" s="408">
        <v>0</v>
      </c>
      <c r="AF57" s="408">
        <v>0</v>
      </c>
      <c r="AG57" s="408">
        <v>0</v>
      </c>
      <c r="AH57" s="408">
        <v>0</v>
      </c>
      <c r="AI57" s="408">
        <v>0</v>
      </c>
      <c r="AJ57" s="408">
        <v>0</v>
      </c>
      <c r="AK57" s="408">
        <v>2175804</v>
      </c>
      <c r="AL57" s="408">
        <v>0</v>
      </c>
      <c r="AM57" s="408">
        <v>0</v>
      </c>
      <c r="AN57" s="408">
        <v>0</v>
      </c>
      <c r="AO57" s="408">
        <v>4664386</v>
      </c>
      <c r="AP57" s="408">
        <v>0</v>
      </c>
      <c r="AQ57" s="408">
        <v>0</v>
      </c>
      <c r="AR57" s="408">
        <v>0</v>
      </c>
      <c r="AS57" s="408">
        <v>0</v>
      </c>
      <c r="AT57" s="408">
        <v>0</v>
      </c>
      <c r="AU57" s="408">
        <v>0</v>
      </c>
      <c r="AV57" s="408">
        <v>0</v>
      </c>
      <c r="AW57" s="408">
        <v>0</v>
      </c>
      <c r="AX57" s="408">
        <v>0</v>
      </c>
      <c r="AY57" s="408">
        <v>0</v>
      </c>
      <c r="AZ57" s="408">
        <v>0</v>
      </c>
      <c r="BA57" s="408">
        <v>0</v>
      </c>
      <c r="BB57" s="408">
        <v>0</v>
      </c>
      <c r="BC57" s="408">
        <v>0</v>
      </c>
      <c r="BD57" s="408">
        <v>0</v>
      </c>
      <c r="BE57" s="408">
        <v>0</v>
      </c>
      <c r="BF57" s="408">
        <v>0</v>
      </c>
      <c r="BG57" s="408">
        <v>0</v>
      </c>
      <c r="BH57" s="408">
        <v>0</v>
      </c>
      <c r="BI57" s="408">
        <v>401444</v>
      </c>
      <c r="BJ57" s="408">
        <v>0</v>
      </c>
      <c r="BK57" s="408">
        <v>0</v>
      </c>
      <c r="BL57" s="408">
        <v>0</v>
      </c>
      <c r="BM57" s="408">
        <v>0</v>
      </c>
      <c r="BN57" s="408">
        <v>0</v>
      </c>
      <c r="BO57" s="408">
        <v>0</v>
      </c>
      <c r="BP57" s="408">
        <v>0</v>
      </c>
      <c r="BQ57" s="408">
        <v>0</v>
      </c>
      <c r="BR57" s="408">
        <v>0</v>
      </c>
      <c r="BS57" s="408">
        <v>0</v>
      </c>
      <c r="BT57" s="408">
        <v>0</v>
      </c>
    </row>
    <row r="58" spans="1:72" s="408" customFormat="1" x14ac:dyDescent="0.3">
      <c r="A58" s="408">
        <v>98</v>
      </c>
      <c r="B58" s="409">
        <v>98</v>
      </c>
      <c r="C58" s="408">
        <v>98</v>
      </c>
      <c r="D58" s="408" t="s">
        <v>241</v>
      </c>
      <c r="E58" s="408" t="s">
        <v>362</v>
      </c>
      <c r="F58" s="408">
        <v>0</v>
      </c>
      <c r="G58" s="408">
        <v>0</v>
      </c>
      <c r="H58" s="408">
        <v>0</v>
      </c>
      <c r="I58" s="408">
        <v>12295</v>
      </c>
      <c r="J58" s="408">
        <v>0</v>
      </c>
      <c r="K58" s="408">
        <v>0</v>
      </c>
      <c r="L58" s="408">
        <v>0</v>
      </c>
      <c r="M58" s="408">
        <v>0</v>
      </c>
      <c r="N58" s="408">
        <v>204129</v>
      </c>
      <c r="O58" s="408">
        <v>0</v>
      </c>
      <c r="P58" s="408">
        <v>0</v>
      </c>
      <c r="Q58" s="408">
        <v>0</v>
      </c>
      <c r="R58" s="408">
        <v>0</v>
      </c>
      <c r="S58" s="408">
        <v>0</v>
      </c>
      <c r="T58" s="408">
        <v>0</v>
      </c>
      <c r="U58" s="408">
        <v>0</v>
      </c>
      <c r="V58" s="408">
        <v>0</v>
      </c>
      <c r="W58" s="408">
        <v>0</v>
      </c>
      <c r="X58" s="408">
        <v>0</v>
      </c>
      <c r="Y58" s="408">
        <v>0</v>
      </c>
      <c r="Z58" s="408">
        <v>47078</v>
      </c>
      <c r="AA58" s="408">
        <v>0</v>
      </c>
      <c r="AB58" s="408">
        <v>0</v>
      </c>
      <c r="AC58" s="408">
        <v>0</v>
      </c>
      <c r="AD58" s="408">
        <v>0</v>
      </c>
      <c r="AE58" s="408">
        <v>0</v>
      </c>
      <c r="AF58" s="408">
        <v>0</v>
      </c>
      <c r="AG58" s="408">
        <v>0</v>
      </c>
      <c r="AH58" s="408">
        <v>0</v>
      </c>
      <c r="AI58" s="408">
        <v>0</v>
      </c>
      <c r="AJ58" s="408">
        <v>0</v>
      </c>
      <c r="AK58" s="408">
        <v>0</v>
      </c>
      <c r="AL58" s="408">
        <v>0</v>
      </c>
      <c r="AM58" s="408">
        <v>0</v>
      </c>
      <c r="AN58" s="408">
        <v>0</v>
      </c>
      <c r="AO58" s="408">
        <v>0</v>
      </c>
      <c r="AP58" s="408">
        <v>0</v>
      </c>
      <c r="AQ58" s="408">
        <v>0</v>
      </c>
      <c r="AR58" s="408">
        <v>0</v>
      </c>
      <c r="AS58" s="408">
        <v>0</v>
      </c>
      <c r="AT58" s="408">
        <v>0</v>
      </c>
      <c r="AU58" s="408">
        <v>0</v>
      </c>
      <c r="AV58" s="408">
        <v>0</v>
      </c>
      <c r="AW58" s="408">
        <v>0</v>
      </c>
      <c r="AX58" s="408">
        <v>0</v>
      </c>
      <c r="AY58" s="408">
        <v>0</v>
      </c>
      <c r="AZ58" s="408">
        <v>0</v>
      </c>
      <c r="BA58" s="408">
        <v>0</v>
      </c>
      <c r="BB58" s="408">
        <v>0</v>
      </c>
      <c r="BC58" s="408">
        <v>0</v>
      </c>
      <c r="BD58" s="408">
        <v>0</v>
      </c>
      <c r="BE58" s="408">
        <v>0</v>
      </c>
      <c r="BF58" s="408">
        <v>0</v>
      </c>
      <c r="BG58" s="408">
        <v>0</v>
      </c>
      <c r="BH58" s="408">
        <v>0</v>
      </c>
      <c r="BI58" s="408">
        <v>0</v>
      </c>
      <c r="BJ58" s="408">
        <v>0</v>
      </c>
      <c r="BK58" s="408">
        <v>0</v>
      </c>
      <c r="BL58" s="408">
        <v>0</v>
      </c>
      <c r="BM58" s="408">
        <v>0</v>
      </c>
      <c r="BN58" s="408">
        <v>0</v>
      </c>
      <c r="BO58" s="408">
        <v>0</v>
      </c>
      <c r="BP58" s="408">
        <v>0</v>
      </c>
      <c r="BQ58" s="408">
        <v>0</v>
      </c>
      <c r="BR58" s="408">
        <v>0</v>
      </c>
      <c r="BS58" s="408">
        <v>0</v>
      </c>
      <c r="BT58" s="408">
        <v>0</v>
      </c>
    </row>
    <row r="59" spans="1:72" s="408" customFormat="1" x14ac:dyDescent="0.3">
      <c r="A59" s="408">
        <v>99</v>
      </c>
      <c r="B59" s="409">
        <v>99</v>
      </c>
      <c r="C59" s="408">
        <v>99</v>
      </c>
      <c r="D59" s="408" t="s">
        <v>238</v>
      </c>
      <c r="E59" s="408" t="s">
        <v>363</v>
      </c>
      <c r="F59" s="408">
        <v>0</v>
      </c>
      <c r="G59" s="408">
        <v>0</v>
      </c>
      <c r="H59" s="408">
        <v>0</v>
      </c>
      <c r="I59" s="408">
        <v>26479667</v>
      </c>
      <c r="J59" s="408">
        <v>0</v>
      </c>
      <c r="K59" s="408">
        <v>0</v>
      </c>
      <c r="L59" s="408">
        <v>0</v>
      </c>
      <c r="M59" s="408">
        <v>0</v>
      </c>
      <c r="N59" s="408">
        <v>27658546</v>
      </c>
      <c r="O59" s="408">
        <v>0</v>
      </c>
      <c r="P59" s="408">
        <v>0</v>
      </c>
      <c r="Q59" s="408">
        <v>0</v>
      </c>
      <c r="R59" s="408">
        <v>0</v>
      </c>
      <c r="S59" s="408">
        <v>0</v>
      </c>
      <c r="T59" s="408">
        <v>0</v>
      </c>
      <c r="U59" s="408">
        <v>0</v>
      </c>
      <c r="V59" s="408">
        <v>0</v>
      </c>
      <c r="W59" s="408">
        <v>0</v>
      </c>
      <c r="X59" s="408">
        <v>0</v>
      </c>
      <c r="Y59" s="408">
        <v>0</v>
      </c>
      <c r="Z59" s="408">
        <v>7958740</v>
      </c>
      <c r="AA59" s="408">
        <v>0</v>
      </c>
      <c r="AB59" s="408">
        <v>0</v>
      </c>
      <c r="AC59" s="408">
        <v>0</v>
      </c>
      <c r="AD59" s="408">
        <v>0</v>
      </c>
      <c r="AE59" s="408">
        <v>0</v>
      </c>
      <c r="AF59" s="408">
        <v>0</v>
      </c>
      <c r="AG59" s="408">
        <v>0</v>
      </c>
      <c r="AH59" s="408">
        <v>0</v>
      </c>
      <c r="AI59" s="408">
        <v>0</v>
      </c>
      <c r="AJ59" s="408">
        <v>0</v>
      </c>
      <c r="AK59" s="408">
        <v>1480086</v>
      </c>
      <c r="AL59" s="408">
        <v>0</v>
      </c>
      <c r="AM59" s="408">
        <v>0</v>
      </c>
      <c r="AN59" s="408">
        <v>0</v>
      </c>
      <c r="AO59" s="408">
        <v>3081094</v>
      </c>
      <c r="AP59" s="408">
        <v>0</v>
      </c>
      <c r="AQ59" s="408">
        <v>0</v>
      </c>
      <c r="AR59" s="408">
        <v>0</v>
      </c>
      <c r="AS59" s="408">
        <v>0</v>
      </c>
      <c r="AT59" s="408">
        <v>0</v>
      </c>
      <c r="AU59" s="408">
        <v>0</v>
      </c>
      <c r="AV59" s="408">
        <v>0</v>
      </c>
      <c r="AW59" s="408">
        <v>0</v>
      </c>
      <c r="AX59" s="408">
        <v>0</v>
      </c>
      <c r="AY59" s="408">
        <v>0</v>
      </c>
      <c r="AZ59" s="408">
        <v>0</v>
      </c>
      <c r="BA59" s="408">
        <v>0</v>
      </c>
      <c r="BB59" s="408">
        <v>0</v>
      </c>
      <c r="BC59" s="408">
        <v>0</v>
      </c>
      <c r="BD59" s="408">
        <v>0</v>
      </c>
      <c r="BE59" s="408">
        <v>0</v>
      </c>
      <c r="BF59" s="408">
        <v>0</v>
      </c>
      <c r="BG59" s="408">
        <v>0</v>
      </c>
      <c r="BH59" s="408">
        <v>0</v>
      </c>
      <c r="BI59" s="408">
        <v>174384</v>
      </c>
      <c r="BJ59" s="408">
        <v>0</v>
      </c>
      <c r="BK59" s="408">
        <v>0</v>
      </c>
      <c r="BL59" s="408">
        <v>0</v>
      </c>
      <c r="BM59" s="408">
        <v>0</v>
      </c>
      <c r="BN59" s="408">
        <v>0</v>
      </c>
      <c r="BO59" s="408">
        <v>0</v>
      </c>
      <c r="BP59" s="408">
        <v>0</v>
      </c>
      <c r="BQ59" s="408">
        <v>0</v>
      </c>
      <c r="BR59" s="408">
        <v>0</v>
      </c>
      <c r="BS59" s="408">
        <v>0</v>
      </c>
      <c r="BT59" s="408">
        <v>0</v>
      </c>
    </row>
    <row r="60" spans="1:72" s="408" customFormat="1" x14ac:dyDescent="0.3">
      <c r="A60" s="408">
        <v>100</v>
      </c>
      <c r="B60" s="409">
        <v>100</v>
      </c>
      <c r="C60" s="408">
        <v>100</v>
      </c>
      <c r="D60" s="408" t="s">
        <v>251</v>
      </c>
      <c r="E60" s="408" t="s">
        <v>364</v>
      </c>
      <c r="F60" s="408">
        <v>0</v>
      </c>
      <c r="G60" s="408">
        <v>0</v>
      </c>
      <c r="H60" s="408">
        <v>0</v>
      </c>
      <c r="I60" s="408">
        <v>152333</v>
      </c>
      <c r="J60" s="408">
        <v>0</v>
      </c>
      <c r="K60" s="408">
        <v>0</v>
      </c>
      <c r="L60" s="408">
        <v>0</v>
      </c>
      <c r="M60" s="408">
        <v>0</v>
      </c>
      <c r="N60" s="408">
        <v>535000</v>
      </c>
      <c r="O60" s="408">
        <v>0</v>
      </c>
      <c r="P60" s="408">
        <v>0</v>
      </c>
      <c r="Q60" s="408">
        <v>0</v>
      </c>
      <c r="R60" s="408">
        <v>0</v>
      </c>
      <c r="S60" s="408">
        <v>0</v>
      </c>
      <c r="T60" s="408">
        <v>0</v>
      </c>
      <c r="U60" s="408">
        <v>0</v>
      </c>
      <c r="V60" s="408">
        <v>0</v>
      </c>
      <c r="W60" s="408">
        <v>0</v>
      </c>
      <c r="X60" s="408">
        <v>0</v>
      </c>
      <c r="Y60" s="408">
        <v>0</v>
      </c>
      <c r="Z60" s="408">
        <v>491295</v>
      </c>
      <c r="AA60" s="408">
        <v>0</v>
      </c>
      <c r="AB60" s="408">
        <v>0</v>
      </c>
      <c r="AC60" s="408">
        <v>0</v>
      </c>
      <c r="AD60" s="408">
        <v>0</v>
      </c>
      <c r="AE60" s="408">
        <v>0</v>
      </c>
      <c r="AF60" s="408">
        <v>0</v>
      </c>
      <c r="AG60" s="408">
        <v>0</v>
      </c>
      <c r="AH60" s="408">
        <v>0</v>
      </c>
      <c r="AI60" s="408">
        <v>0</v>
      </c>
      <c r="AJ60" s="408">
        <v>0</v>
      </c>
      <c r="AK60" s="408">
        <v>0</v>
      </c>
      <c r="AL60" s="408">
        <v>0</v>
      </c>
      <c r="AM60" s="408">
        <v>0</v>
      </c>
      <c r="AN60" s="408">
        <v>0</v>
      </c>
      <c r="AO60" s="408">
        <v>37252</v>
      </c>
      <c r="AP60" s="408">
        <v>0</v>
      </c>
      <c r="AQ60" s="408">
        <v>0</v>
      </c>
      <c r="AR60" s="408">
        <v>0</v>
      </c>
      <c r="AS60" s="408">
        <v>0</v>
      </c>
      <c r="AT60" s="408">
        <v>0</v>
      </c>
      <c r="AU60" s="408">
        <v>0</v>
      </c>
      <c r="AV60" s="408">
        <v>0</v>
      </c>
      <c r="AW60" s="408">
        <v>0</v>
      </c>
      <c r="AX60" s="408">
        <v>0</v>
      </c>
      <c r="AY60" s="408">
        <v>0</v>
      </c>
      <c r="AZ60" s="408">
        <v>0</v>
      </c>
      <c r="BA60" s="408">
        <v>0</v>
      </c>
      <c r="BB60" s="408">
        <v>0</v>
      </c>
      <c r="BC60" s="408">
        <v>0</v>
      </c>
      <c r="BD60" s="408">
        <v>0</v>
      </c>
      <c r="BE60" s="408">
        <v>0</v>
      </c>
      <c r="BF60" s="408">
        <v>0</v>
      </c>
      <c r="BG60" s="408">
        <v>0</v>
      </c>
      <c r="BH60" s="408">
        <v>0</v>
      </c>
      <c r="BI60" s="408">
        <v>0</v>
      </c>
      <c r="BJ60" s="408">
        <v>0</v>
      </c>
      <c r="BK60" s="408">
        <v>0</v>
      </c>
      <c r="BL60" s="408">
        <v>0</v>
      </c>
      <c r="BM60" s="408">
        <v>0</v>
      </c>
      <c r="BN60" s="408">
        <v>0</v>
      </c>
      <c r="BO60" s="408">
        <v>0</v>
      </c>
      <c r="BP60" s="408">
        <v>0</v>
      </c>
      <c r="BQ60" s="408">
        <v>0</v>
      </c>
      <c r="BR60" s="408">
        <v>0</v>
      </c>
      <c r="BS60" s="408">
        <v>0</v>
      </c>
      <c r="BT60" s="408">
        <v>0</v>
      </c>
    </row>
    <row r="61" spans="1:72" s="408" customFormat="1" x14ac:dyDescent="0.3">
      <c r="A61" s="408">
        <v>101</v>
      </c>
      <c r="B61" s="409">
        <v>101</v>
      </c>
      <c r="C61" s="408">
        <v>101</v>
      </c>
      <c r="D61" s="408" t="s">
        <v>250</v>
      </c>
      <c r="E61" s="408" t="s">
        <v>365</v>
      </c>
      <c r="F61" s="408">
        <v>0</v>
      </c>
      <c r="G61" s="408">
        <v>0</v>
      </c>
      <c r="H61" s="408">
        <v>0</v>
      </c>
      <c r="I61" s="408">
        <v>769277</v>
      </c>
      <c r="J61" s="408">
        <v>0</v>
      </c>
      <c r="K61" s="408">
        <v>0</v>
      </c>
      <c r="L61" s="408">
        <v>0</v>
      </c>
      <c r="M61" s="408">
        <v>0</v>
      </c>
      <c r="N61" s="408">
        <v>7836058</v>
      </c>
      <c r="O61" s="408">
        <v>0</v>
      </c>
      <c r="P61" s="408">
        <v>0</v>
      </c>
      <c r="Q61" s="408">
        <v>0</v>
      </c>
      <c r="R61" s="408">
        <v>0</v>
      </c>
      <c r="S61" s="408">
        <v>0</v>
      </c>
      <c r="T61" s="408">
        <v>0</v>
      </c>
      <c r="U61" s="408">
        <v>0</v>
      </c>
      <c r="V61" s="408">
        <v>0</v>
      </c>
      <c r="W61" s="408">
        <v>0</v>
      </c>
      <c r="X61" s="408">
        <v>0</v>
      </c>
      <c r="Y61" s="408">
        <v>0</v>
      </c>
      <c r="Z61" s="408">
        <v>1223508</v>
      </c>
      <c r="AA61" s="408">
        <v>0</v>
      </c>
      <c r="AB61" s="408">
        <v>0</v>
      </c>
      <c r="AC61" s="408">
        <v>0</v>
      </c>
      <c r="AD61" s="408">
        <v>0</v>
      </c>
      <c r="AE61" s="408">
        <v>0</v>
      </c>
      <c r="AF61" s="408">
        <v>0</v>
      </c>
      <c r="AG61" s="408">
        <v>0</v>
      </c>
      <c r="AH61" s="408">
        <v>0</v>
      </c>
      <c r="AI61" s="408">
        <v>0</v>
      </c>
      <c r="AJ61" s="408">
        <v>0</v>
      </c>
      <c r="AK61" s="408">
        <v>0</v>
      </c>
      <c r="AL61" s="408">
        <v>0</v>
      </c>
      <c r="AM61" s="408">
        <v>0</v>
      </c>
      <c r="AN61" s="408">
        <v>0</v>
      </c>
      <c r="AO61" s="408">
        <v>228664</v>
      </c>
      <c r="AP61" s="408">
        <v>0</v>
      </c>
      <c r="AQ61" s="408">
        <v>0</v>
      </c>
      <c r="AR61" s="408">
        <v>0</v>
      </c>
      <c r="AS61" s="408">
        <v>0</v>
      </c>
      <c r="AT61" s="408">
        <v>0</v>
      </c>
      <c r="AU61" s="408">
        <v>0</v>
      </c>
      <c r="AV61" s="408">
        <v>0</v>
      </c>
      <c r="AW61" s="408">
        <v>0</v>
      </c>
      <c r="AX61" s="408">
        <v>0</v>
      </c>
      <c r="AY61" s="408">
        <v>0</v>
      </c>
      <c r="AZ61" s="408">
        <v>0</v>
      </c>
      <c r="BA61" s="408">
        <v>0</v>
      </c>
      <c r="BB61" s="408">
        <v>0</v>
      </c>
      <c r="BC61" s="408">
        <v>0</v>
      </c>
      <c r="BD61" s="408">
        <v>0</v>
      </c>
      <c r="BE61" s="408">
        <v>0</v>
      </c>
      <c r="BF61" s="408">
        <v>0</v>
      </c>
      <c r="BG61" s="408">
        <v>0</v>
      </c>
      <c r="BH61" s="408">
        <v>0</v>
      </c>
      <c r="BI61" s="408">
        <v>0</v>
      </c>
      <c r="BJ61" s="408">
        <v>0</v>
      </c>
      <c r="BK61" s="408">
        <v>0</v>
      </c>
      <c r="BL61" s="408">
        <v>0</v>
      </c>
      <c r="BM61" s="408">
        <v>0</v>
      </c>
      <c r="BN61" s="408">
        <v>0</v>
      </c>
      <c r="BO61" s="408">
        <v>0</v>
      </c>
      <c r="BP61" s="408">
        <v>0</v>
      </c>
      <c r="BQ61" s="408">
        <v>0</v>
      </c>
      <c r="BR61" s="408">
        <v>0</v>
      </c>
      <c r="BS61" s="408">
        <v>0</v>
      </c>
      <c r="BT61" s="408">
        <v>0</v>
      </c>
    </row>
    <row r="62" spans="1:72" s="411" customFormat="1" x14ac:dyDescent="0.3">
      <c r="A62" s="408">
        <v>102</v>
      </c>
      <c r="B62" s="409">
        <v>102</v>
      </c>
      <c r="C62" s="411">
        <v>102</v>
      </c>
      <c r="D62" s="411" t="s">
        <v>269</v>
      </c>
      <c r="E62" s="411" t="s">
        <v>366</v>
      </c>
      <c r="F62" s="412">
        <v>99.62</v>
      </c>
      <c r="G62" s="412">
        <v>96.67</v>
      </c>
      <c r="H62" s="412">
        <v>99.27</v>
      </c>
      <c r="I62" s="412">
        <v>97.33</v>
      </c>
      <c r="J62" s="412">
        <v>94.26</v>
      </c>
      <c r="K62" s="412">
        <v>93.11</v>
      </c>
      <c r="L62" s="412">
        <v>99.76</v>
      </c>
      <c r="M62" s="412">
        <v>79.84</v>
      </c>
      <c r="N62" s="412">
        <v>99.86</v>
      </c>
      <c r="O62" s="412" t="s">
        <v>1751</v>
      </c>
      <c r="P62" s="412">
        <v>99.32</v>
      </c>
      <c r="Q62" s="412">
        <v>99.75</v>
      </c>
      <c r="R62" s="412">
        <v>99.39</v>
      </c>
      <c r="S62" s="412">
        <v>99.65</v>
      </c>
      <c r="T62" s="412" t="s">
        <v>1751</v>
      </c>
      <c r="U62" s="412">
        <v>89.82</v>
      </c>
      <c r="V62" s="412">
        <v>99.82</v>
      </c>
      <c r="W62" s="412">
        <v>95.81</v>
      </c>
      <c r="X62" s="412">
        <v>83.31</v>
      </c>
      <c r="Y62" s="412">
        <v>100</v>
      </c>
      <c r="Z62" s="412">
        <v>97.98</v>
      </c>
      <c r="AA62" s="412" t="s">
        <v>1751</v>
      </c>
      <c r="AB62" s="412" t="s">
        <v>1751</v>
      </c>
      <c r="AC62" s="412">
        <v>96.88</v>
      </c>
      <c r="AD62" s="412">
        <v>99.54</v>
      </c>
      <c r="AE62" s="412">
        <v>98.48</v>
      </c>
      <c r="AF62" s="412">
        <v>97.91</v>
      </c>
      <c r="AG62" s="412">
        <v>93.24</v>
      </c>
      <c r="AH62" s="412">
        <v>97.87</v>
      </c>
      <c r="AI62" s="412">
        <v>97.49</v>
      </c>
      <c r="AJ62" s="412">
        <v>98.77</v>
      </c>
      <c r="AK62" s="412">
        <v>96</v>
      </c>
      <c r="AL62" s="412" t="s">
        <v>1751</v>
      </c>
      <c r="AM62" s="412" t="s">
        <v>1751</v>
      </c>
      <c r="AN62" s="412">
        <v>94.61</v>
      </c>
      <c r="AO62" s="412">
        <v>99.36</v>
      </c>
      <c r="AP62" s="412">
        <v>99.25</v>
      </c>
      <c r="AQ62" s="412">
        <v>97.74</v>
      </c>
      <c r="AR62" s="412">
        <v>99.5</v>
      </c>
      <c r="AS62" s="412">
        <v>97.28</v>
      </c>
      <c r="AT62" s="412">
        <v>96.89</v>
      </c>
      <c r="AU62" s="412">
        <v>99.66</v>
      </c>
      <c r="AV62" s="412">
        <v>96.63</v>
      </c>
      <c r="AW62" s="412" t="s">
        <v>1751</v>
      </c>
      <c r="AX62" s="412">
        <v>99.38</v>
      </c>
      <c r="AY62" s="412">
        <v>87.78</v>
      </c>
      <c r="AZ62" s="412">
        <v>98.61</v>
      </c>
      <c r="BA62" s="412">
        <v>94.28</v>
      </c>
      <c r="BB62" s="412">
        <v>94.82</v>
      </c>
      <c r="BC62" s="412">
        <v>97.58</v>
      </c>
      <c r="BD62" s="412">
        <v>99.19</v>
      </c>
      <c r="BE62" s="412">
        <v>97.72</v>
      </c>
      <c r="BF62" s="412">
        <v>98.41</v>
      </c>
      <c r="BG62" s="412">
        <v>99.41</v>
      </c>
      <c r="BH62" s="412">
        <v>96.9</v>
      </c>
      <c r="BI62" s="412">
        <v>95.27</v>
      </c>
      <c r="BJ62" s="412">
        <v>99.45</v>
      </c>
      <c r="BK62" s="412">
        <v>95.02</v>
      </c>
      <c r="BL62" s="412">
        <v>98.4</v>
      </c>
      <c r="BM62" s="412">
        <v>91.42</v>
      </c>
      <c r="BN62" s="412">
        <v>95.61</v>
      </c>
      <c r="BO62" s="412">
        <v>93.52</v>
      </c>
      <c r="BP62" s="412">
        <v>95.29</v>
      </c>
      <c r="BQ62" s="412">
        <v>99.13</v>
      </c>
      <c r="BR62" s="412">
        <v>98.11</v>
      </c>
      <c r="BS62" s="412">
        <v>98.35</v>
      </c>
      <c r="BT62" s="412">
        <v>99.1</v>
      </c>
    </row>
    <row r="63" spans="1:72" s="411" customFormat="1" x14ac:dyDescent="0.3">
      <c r="A63" s="408">
        <v>103</v>
      </c>
      <c r="B63" s="409">
        <v>103</v>
      </c>
      <c r="C63" s="411">
        <v>103</v>
      </c>
      <c r="D63" s="411" t="s">
        <v>270</v>
      </c>
      <c r="E63" s="411" t="s">
        <v>367</v>
      </c>
      <c r="F63" s="412">
        <v>100</v>
      </c>
      <c r="G63" s="412">
        <v>100</v>
      </c>
      <c r="H63" s="412">
        <v>100</v>
      </c>
      <c r="I63" s="412">
        <v>98.68</v>
      </c>
      <c r="J63" s="412">
        <v>100</v>
      </c>
      <c r="K63" s="412">
        <v>99.68</v>
      </c>
      <c r="L63" s="412">
        <v>100</v>
      </c>
      <c r="M63" s="412">
        <v>100</v>
      </c>
      <c r="N63" s="412">
        <v>99.22</v>
      </c>
      <c r="O63" s="412" t="s">
        <v>1751</v>
      </c>
      <c r="P63" s="412">
        <v>100</v>
      </c>
      <c r="Q63" s="412">
        <v>100</v>
      </c>
      <c r="R63" s="412">
        <v>99.55</v>
      </c>
      <c r="S63" s="412">
        <v>100</v>
      </c>
      <c r="T63" s="412" t="s">
        <v>1751</v>
      </c>
      <c r="U63" s="412">
        <v>100</v>
      </c>
      <c r="V63" s="412">
        <v>100</v>
      </c>
      <c r="W63" s="412">
        <v>100</v>
      </c>
      <c r="X63" s="412">
        <v>100</v>
      </c>
      <c r="Y63" s="412">
        <v>100</v>
      </c>
      <c r="Z63" s="412">
        <v>98.58</v>
      </c>
      <c r="AA63" s="412" t="s">
        <v>1751</v>
      </c>
      <c r="AB63" s="412" t="s">
        <v>1751</v>
      </c>
      <c r="AC63" s="412">
        <v>100</v>
      </c>
      <c r="AD63" s="412" t="s">
        <v>1751</v>
      </c>
      <c r="AE63" s="412">
        <v>100</v>
      </c>
      <c r="AF63" s="412">
        <v>100</v>
      </c>
      <c r="AG63" s="412">
        <v>100</v>
      </c>
      <c r="AH63" s="412">
        <v>100</v>
      </c>
      <c r="AI63" s="412">
        <v>100</v>
      </c>
      <c r="AJ63" s="412">
        <v>100</v>
      </c>
      <c r="AK63" s="412">
        <v>100</v>
      </c>
      <c r="AL63" s="412" t="s">
        <v>1751</v>
      </c>
      <c r="AM63" s="412" t="s">
        <v>1751</v>
      </c>
      <c r="AN63" s="412">
        <v>100</v>
      </c>
      <c r="AO63" s="412">
        <v>100</v>
      </c>
      <c r="AP63" s="412">
        <v>100</v>
      </c>
      <c r="AQ63" s="412">
        <v>99.41</v>
      </c>
      <c r="AR63" s="412">
        <v>100</v>
      </c>
      <c r="AS63" s="412">
        <v>100</v>
      </c>
      <c r="AT63" s="412">
        <v>100</v>
      </c>
      <c r="AU63" s="412">
        <v>99.99</v>
      </c>
      <c r="AV63" s="412">
        <v>100</v>
      </c>
      <c r="AW63" s="412" t="s">
        <v>1751</v>
      </c>
      <c r="AX63" s="412">
        <v>100</v>
      </c>
      <c r="AY63" s="412">
        <v>100</v>
      </c>
      <c r="AZ63" s="412">
        <v>100</v>
      </c>
      <c r="BA63" s="412">
        <v>100</v>
      </c>
      <c r="BB63" s="412">
        <v>100</v>
      </c>
      <c r="BC63" s="412">
        <v>100</v>
      </c>
      <c r="BD63" s="412">
        <v>100</v>
      </c>
      <c r="BE63" s="412">
        <v>100</v>
      </c>
      <c r="BF63" s="412">
        <v>100</v>
      </c>
      <c r="BG63" s="412">
        <v>99.09</v>
      </c>
      <c r="BH63" s="412">
        <v>100</v>
      </c>
      <c r="BI63" s="412">
        <v>100</v>
      </c>
      <c r="BJ63" s="412">
        <v>100</v>
      </c>
      <c r="BK63" s="412">
        <v>100</v>
      </c>
      <c r="BL63" s="412">
        <v>98.77</v>
      </c>
      <c r="BM63" s="412">
        <v>100</v>
      </c>
      <c r="BN63" s="412">
        <v>100</v>
      </c>
      <c r="BO63" s="412">
        <v>100</v>
      </c>
      <c r="BP63" s="412">
        <v>99.19</v>
      </c>
      <c r="BQ63" s="412">
        <v>100</v>
      </c>
      <c r="BR63" s="412">
        <v>98.97</v>
      </c>
      <c r="BS63" s="412">
        <v>100</v>
      </c>
      <c r="BT63" s="412">
        <v>100</v>
      </c>
    </row>
    <row r="64" spans="1:72" s="408" customFormat="1" x14ac:dyDescent="0.3">
      <c r="A64" s="408">
        <v>104</v>
      </c>
      <c r="B64" s="409"/>
      <c r="C64" s="408">
        <v>104</v>
      </c>
      <c r="D64" s="408" t="s">
        <v>368</v>
      </c>
      <c r="E64" s="408" t="s">
        <v>369</v>
      </c>
    </row>
    <row r="65" spans="1:72" s="408" customFormat="1" x14ac:dyDescent="0.3">
      <c r="A65" s="408">
        <v>107</v>
      </c>
      <c r="B65" s="409"/>
      <c r="C65" s="408">
        <v>107</v>
      </c>
      <c r="D65" s="408" t="s">
        <v>633</v>
      </c>
      <c r="E65" s="408" t="s">
        <v>370</v>
      </c>
    </row>
    <row r="66" spans="1:72" s="408" customFormat="1" x14ac:dyDescent="0.3">
      <c r="A66" s="408">
        <v>108</v>
      </c>
      <c r="B66" s="409"/>
      <c r="C66" s="408">
        <v>108</v>
      </c>
      <c r="D66" s="408" t="s">
        <v>634</v>
      </c>
      <c r="E66" s="408" t="s">
        <v>371</v>
      </c>
    </row>
    <row r="67" spans="1:72" s="408" customFormat="1" x14ac:dyDescent="0.3">
      <c r="A67" s="408">
        <v>147</v>
      </c>
      <c r="B67" s="409"/>
      <c r="C67" s="408">
        <v>147</v>
      </c>
      <c r="D67" s="408" t="s">
        <v>372</v>
      </c>
      <c r="E67" s="408" t="s">
        <v>373</v>
      </c>
    </row>
    <row r="68" spans="1:72" s="408" customFormat="1" x14ac:dyDescent="0.3">
      <c r="A68" s="408">
        <v>148</v>
      </c>
      <c r="B68" s="409"/>
      <c r="C68" s="408">
        <v>148</v>
      </c>
      <c r="D68" s="408" t="s">
        <v>374</v>
      </c>
      <c r="E68" s="408" t="s">
        <v>375</v>
      </c>
    </row>
    <row r="69" spans="1:72" s="408" customFormat="1" x14ac:dyDescent="0.3">
      <c r="A69" s="408">
        <v>149</v>
      </c>
      <c r="B69" s="409"/>
      <c r="C69" s="408">
        <v>149</v>
      </c>
      <c r="D69" s="408" t="s">
        <v>376</v>
      </c>
      <c r="E69" s="408" t="s">
        <v>377</v>
      </c>
    </row>
    <row r="70" spans="1:72" s="408" customFormat="1" x14ac:dyDescent="0.3">
      <c r="A70" s="408">
        <v>150</v>
      </c>
      <c r="B70" s="409"/>
      <c r="C70" s="408">
        <v>150</v>
      </c>
      <c r="D70" s="408" t="s">
        <v>378</v>
      </c>
      <c r="E70" s="408" t="s">
        <v>379</v>
      </c>
    </row>
    <row r="71" spans="1:72" s="408" customFormat="1" x14ac:dyDescent="0.3">
      <c r="A71" s="408">
        <v>171</v>
      </c>
      <c r="B71" s="409">
        <v>171</v>
      </c>
      <c r="C71" s="408">
        <v>171</v>
      </c>
      <c r="D71" s="408" t="s">
        <v>217</v>
      </c>
      <c r="E71" s="408" t="s">
        <v>380</v>
      </c>
      <c r="F71" s="408">
        <v>644896</v>
      </c>
      <c r="G71" s="408">
        <v>493143</v>
      </c>
      <c r="H71" s="408">
        <v>0</v>
      </c>
      <c r="I71" s="408">
        <v>730081</v>
      </c>
      <c r="J71" s="408">
        <v>0</v>
      </c>
      <c r="K71" s="408">
        <v>0</v>
      </c>
      <c r="L71" s="408">
        <v>105432</v>
      </c>
      <c r="M71" s="408">
        <v>0</v>
      </c>
      <c r="N71" s="408">
        <v>7742151</v>
      </c>
      <c r="O71" s="408">
        <v>0</v>
      </c>
      <c r="P71" s="408">
        <v>0</v>
      </c>
      <c r="Q71" s="408">
        <v>145244</v>
      </c>
      <c r="R71" s="408">
        <v>661513</v>
      </c>
      <c r="S71" s="408">
        <v>8934454</v>
      </c>
      <c r="T71" s="408">
        <v>0</v>
      </c>
      <c r="U71" s="408">
        <v>64437</v>
      </c>
      <c r="V71" s="408">
        <v>353256</v>
      </c>
      <c r="W71" s="408">
        <v>46418</v>
      </c>
      <c r="X71" s="408">
        <v>0</v>
      </c>
      <c r="Y71" s="408">
        <v>0</v>
      </c>
      <c r="Z71" s="408">
        <v>302217</v>
      </c>
      <c r="AA71" s="408">
        <v>0</v>
      </c>
      <c r="AB71" s="408">
        <v>0</v>
      </c>
      <c r="AC71" s="408">
        <v>22999</v>
      </c>
      <c r="AD71" s="408">
        <v>3837812</v>
      </c>
      <c r="AE71" s="408">
        <v>160357</v>
      </c>
      <c r="AF71" s="408">
        <v>0</v>
      </c>
      <c r="AG71" s="408">
        <v>0</v>
      </c>
      <c r="AH71" s="408">
        <v>0</v>
      </c>
      <c r="AI71" s="408">
        <v>1486241</v>
      </c>
      <c r="AJ71" s="408">
        <v>125932</v>
      </c>
      <c r="AK71" s="408">
        <v>37466</v>
      </c>
      <c r="AL71" s="408">
        <v>0</v>
      </c>
      <c r="AM71" s="408">
        <v>0</v>
      </c>
      <c r="AN71" s="408">
        <v>0</v>
      </c>
      <c r="AO71" s="408">
        <v>131121</v>
      </c>
      <c r="AP71" s="408">
        <v>0</v>
      </c>
      <c r="AQ71" s="408">
        <v>322320</v>
      </c>
      <c r="AR71" s="408">
        <v>0</v>
      </c>
      <c r="AS71" s="408">
        <v>29668</v>
      </c>
      <c r="AT71" s="408">
        <v>12263</v>
      </c>
      <c r="AU71" s="408">
        <v>195436</v>
      </c>
      <c r="AV71" s="408">
        <v>21367</v>
      </c>
      <c r="AW71" s="408">
        <v>0</v>
      </c>
      <c r="AX71" s="408">
        <v>382791</v>
      </c>
      <c r="AY71" s="408">
        <v>92982</v>
      </c>
      <c r="AZ71" s="408">
        <v>1288298</v>
      </c>
      <c r="BA71" s="408">
        <v>0</v>
      </c>
      <c r="BB71" s="408">
        <v>0</v>
      </c>
      <c r="BC71" s="408">
        <v>132399</v>
      </c>
      <c r="BD71" s="408">
        <v>58232</v>
      </c>
      <c r="BE71" s="408">
        <v>0</v>
      </c>
      <c r="BF71" s="408">
        <v>0</v>
      </c>
      <c r="BG71" s="408">
        <v>336632</v>
      </c>
      <c r="BH71" s="408">
        <v>0</v>
      </c>
      <c r="BI71" s="408">
        <v>52818</v>
      </c>
      <c r="BJ71" s="408">
        <v>246145</v>
      </c>
      <c r="BK71" s="408">
        <v>11219</v>
      </c>
      <c r="BL71" s="408">
        <v>43637</v>
      </c>
      <c r="BM71" s="408">
        <v>0</v>
      </c>
      <c r="BN71" s="408">
        <v>0</v>
      </c>
      <c r="BO71" s="408">
        <v>0</v>
      </c>
      <c r="BP71" s="408">
        <v>0</v>
      </c>
      <c r="BQ71" s="408">
        <v>146113</v>
      </c>
      <c r="BR71" s="408">
        <v>2645821</v>
      </c>
      <c r="BS71" s="408">
        <v>17778</v>
      </c>
      <c r="BT71" s="408">
        <v>425407</v>
      </c>
    </row>
    <row r="72" spans="1:72" s="408" customFormat="1" x14ac:dyDescent="0.3">
      <c r="A72" s="408">
        <v>191</v>
      </c>
      <c r="B72" s="409">
        <v>191</v>
      </c>
      <c r="C72" s="408">
        <v>191</v>
      </c>
      <c r="D72" s="408" t="s">
        <v>233</v>
      </c>
      <c r="E72" s="408" t="s">
        <v>381</v>
      </c>
      <c r="F72" s="408">
        <v>161535</v>
      </c>
      <c r="G72" s="408">
        <v>0</v>
      </c>
      <c r="H72" s="408">
        <v>0</v>
      </c>
      <c r="I72" s="408">
        <v>599364</v>
      </c>
      <c r="J72" s="408">
        <v>0</v>
      </c>
      <c r="K72" s="408">
        <v>905707</v>
      </c>
      <c r="L72" s="408">
        <v>0</v>
      </c>
      <c r="M72" s="408">
        <v>0</v>
      </c>
      <c r="N72" s="408">
        <v>24463636</v>
      </c>
      <c r="O72" s="408">
        <v>0</v>
      </c>
      <c r="P72" s="408">
        <v>119742</v>
      </c>
      <c r="Q72" s="408">
        <v>0</v>
      </c>
      <c r="R72" s="408">
        <v>0</v>
      </c>
      <c r="S72" s="408">
        <v>4302321</v>
      </c>
      <c r="T72" s="408">
        <v>0</v>
      </c>
      <c r="U72" s="408">
        <v>0</v>
      </c>
      <c r="V72" s="408">
        <v>0</v>
      </c>
      <c r="W72" s="408">
        <v>482046</v>
      </c>
      <c r="X72" s="408">
        <v>147494</v>
      </c>
      <c r="Y72" s="408">
        <v>0</v>
      </c>
      <c r="Z72" s="408">
        <v>0</v>
      </c>
      <c r="AA72" s="408">
        <v>0</v>
      </c>
      <c r="AB72" s="408">
        <v>0</v>
      </c>
      <c r="AC72" s="408">
        <v>1453283</v>
      </c>
      <c r="AD72" s="408">
        <v>189264</v>
      </c>
      <c r="AE72" s="408">
        <v>0</v>
      </c>
      <c r="AF72" s="408">
        <v>0</v>
      </c>
      <c r="AG72" s="408">
        <v>0</v>
      </c>
      <c r="AH72" s="408">
        <v>0</v>
      </c>
      <c r="AI72" s="408">
        <v>233514</v>
      </c>
      <c r="AJ72" s="408">
        <v>426858</v>
      </c>
      <c r="AK72" s="408">
        <v>0</v>
      </c>
      <c r="AL72" s="408">
        <v>0</v>
      </c>
      <c r="AM72" s="408">
        <v>0</v>
      </c>
      <c r="AN72" s="408">
        <v>0</v>
      </c>
      <c r="AO72" s="408">
        <v>1274752</v>
      </c>
      <c r="AP72" s="408">
        <v>0</v>
      </c>
      <c r="AQ72" s="408">
        <v>1930930</v>
      </c>
      <c r="AR72" s="408">
        <v>0</v>
      </c>
      <c r="AS72" s="408">
        <v>247374</v>
      </c>
      <c r="AT72" s="408">
        <v>0</v>
      </c>
      <c r="AU72" s="408">
        <v>0</v>
      </c>
      <c r="AV72" s="408">
        <v>176330</v>
      </c>
      <c r="AW72" s="408">
        <v>0</v>
      </c>
      <c r="AX72" s="408">
        <v>0</v>
      </c>
      <c r="AY72" s="408">
        <v>148340</v>
      </c>
      <c r="AZ72" s="408">
        <v>0</v>
      </c>
      <c r="BA72" s="408">
        <v>0</v>
      </c>
      <c r="BB72" s="408">
        <v>0</v>
      </c>
      <c r="BC72" s="408">
        <v>604685</v>
      </c>
      <c r="BD72" s="408">
        <v>0</v>
      </c>
      <c r="BE72" s="408">
        <v>0</v>
      </c>
      <c r="BF72" s="408">
        <v>0</v>
      </c>
      <c r="BG72" s="408">
        <v>0</v>
      </c>
      <c r="BH72" s="408">
        <v>0</v>
      </c>
      <c r="BI72" s="408">
        <v>0</v>
      </c>
      <c r="BJ72" s="408">
        <v>613333</v>
      </c>
      <c r="BK72" s="408">
        <v>0</v>
      </c>
      <c r="BL72" s="408">
        <v>4402</v>
      </c>
      <c r="BM72" s="408">
        <v>0</v>
      </c>
      <c r="BN72" s="408">
        <v>1089541</v>
      </c>
      <c r="BO72" s="408">
        <v>598036</v>
      </c>
      <c r="BP72" s="408">
        <v>0</v>
      </c>
      <c r="BQ72" s="408">
        <v>597808</v>
      </c>
      <c r="BR72" s="408">
        <v>0</v>
      </c>
      <c r="BS72" s="408">
        <v>473998</v>
      </c>
      <c r="BT72" s="408">
        <v>0</v>
      </c>
    </row>
    <row r="73" spans="1:72" s="408" customFormat="1" x14ac:dyDescent="0.3">
      <c r="A73" s="408">
        <v>192</v>
      </c>
      <c r="B73" s="409">
        <v>192</v>
      </c>
      <c r="C73" s="408">
        <v>192</v>
      </c>
      <c r="D73" s="408" t="s">
        <v>244</v>
      </c>
      <c r="E73" s="408" t="s">
        <v>382</v>
      </c>
      <c r="F73" s="408">
        <v>0</v>
      </c>
      <c r="G73" s="408">
        <v>0</v>
      </c>
      <c r="H73" s="408">
        <v>0</v>
      </c>
      <c r="I73" s="408">
        <v>398959</v>
      </c>
      <c r="J73" s="408">
        <v>0</v>
      </c>
      <c r="K73" s="408">
        <v>0</v>
      </c>
      <c r="L73" s="408">
        <v>0</v>
      </c>
      <c r="M73" s="408">
        <v>0</v>
      </c>
      <c r="N73" s="408">
        <v>0</v>
      </c>
      <c r="O73" s="408">
        <v>0</v>
      </c>
      <c r="P73" s="408">
        <v>0</v>
      </c>
      <c r="Q73" s="408">
        <v>0</v>
      </c>
      <c r="R73" s="408">
        <v>0</v>
      </c>
      <c r="S73" s="408">
        <v>0</v>
      </c>
      <c r="T73" s="408">
        <v>0</v>
      </c>
      <c r="U73" s="408">
        <v>0</v>
      </c>
      <c r="V73" s="408">
        <v>0</v>
      </c>
      <c r="W73" s="408">
        <v>0</v>
      </c>
      <c r="X73" s="408">
        <v>0</v>
      </c>
      <c r="Y73" s="408">
        <v>0</v>
      </c>
      <c r="Z73" s="408">
        <v>0</v>
      </c>
      <c r="AA73" s="408">
        <v>0</v>
      </c>
      <c r="AB73" s="408">
        <v>0</v>
      </c>
      <c r="AC73" s="408">
        <v>0</v>
      </c>
      <c r="AD73" s="408">
        <v>0</v>
      </c>
      <c r="AE73" s="408">
        <v>0</v>
      </c>
      <c r="AF73" s="408">
        <v>0</v>
      </c>
      <c r="AG73" s="408">
        <v>0</v>
      </c>
      <c r="AH73" s="408">
        <v>0</v>
      </c>
      <c r="AI73" s="408">
        <v>0</v>
      </c>
      <c r="AJ73" s="408">
        <v>0</v>
      </c>
      <c r="AK73" s="408">
        <v>0</v>
      </c>
      <c r="AL73" s="408">
        <v>0</v>
      </c>
      <c r="AM73" s="408">
        <v>0</v>
      </c>
      <c r="AN73" s="408">
        <v>0</v>
      </c>
      <c r="AO73" s="408">
        <v>0</v>
      </c>
      <c r="AP73" s="408">
        <v>0</v>
      </c>
      <c r="AQ73" s="408">
        <v>0</v>
      </c>
      <c r="AR73" s="408">
        <v>0</v>
      </c>
      <c r="AS73" s="408">
        <v>0</v>
      </c>
      <c r="AT73" s="408">
        <v>0</v>
      </c>
      <c r="AU73" s="408">
        <v>0</v>
      </c>
      <c r="AV73" s="408">
        <v>0</v>
      </c>
      <c r="AW73" s="408">
        <v>0</v>
      </c>
      <c r="AX73" s="408">
        <v>0</v>
      </c>
      <c r="AY73" s="408">
        <v>0</v>
      </c>
      <c r="AZ73" s="408">
        <v>0</v>
      </c>
      <c r="BA73" s="408">
        <v>0</v>
      </c>
      <c r="BB73" s="408">
        <v>0</v>
      </c>
      <c r="BC73" s="408">
        <v>0</v>
      </c>
      <c r="BD73" s="408">
        <v>0</v>
      </c>
      <c r="BE73" s="408">
        <v>0</v>
      </c>
      <c r="BF73" s="408">
        <v>0</v>
      </c>
      <c r="BG73" s="408">
        <v>0</v>
      </c>
      <c r="BH73" s="408">
        <v>0</v>
      </c>
      <c r="BI73" s="408">
        <v>0</v>
      </c>
      <c r="BJ73" s="408">
        <v>0</v>
      </c>
      <c r="BK73" s="408">
        <v>0</v>
      </c>
      <c r="BL73" s="408">
        <v>0</v>
      </c>
      <c r="BM73" s="408">
        <v>0</v>
      </c>
      <c r="BN73" s="408">
        <v>0</v>
      </c>
      <c r="BO73" s="408">
        <v>0</v>
      </c>
      <c r="BP73" s="408">
        <v>0</v>
      </c>
      <c r="BQ73" s="408">
        <v>0</v>
      </c>
      <c r="BR73" s="408">
        <v>0</v>
      </c>
      <c r="BS73" s="408">
        <v>0</v>
      </c>
      <c r="BT73" s="408">
        <v>0</v>
      </c>
    </row>
    <row r="74" spans="1:72" s="408" customFormat="1" x14ac:dyDescent="0.3">
      <c r="A74" s="408">
        <v>193</v>
      </c>
      <c r="B74" s="409"/>
      <c r="C74" s="408">
        <v>193</v>
      </c>
      <c r="D74" s="408" t="s">
        <v>383</v>
      </c>
      <c r="E74" s="408" t="s">
        <v>384</v>
      </c>
    </row>
    <row r="75" spans="1:72" s="408" customFormat="1" x14ac:dyDescent="0.3">
      <c r="A75" s="408">
        <v>194</v>
      </c>
      <c r="B75" s="409"/>
      <c r="C75" s="408">
        <v>194</v>
      </c>
      <c r="D75" s="408" t="s">
        <v>385</v>
      </c>
      <c r="E75" s="408" t="s">
        <v>386</v>
      </c>
    </row>
    <row r="76" spans="1:72" s="408" customFormat="1" x14ac:dyDescent="0.3">
      <c r="A76" s="408">
        <v>231</v>
      </c>
      <c r="B76" s="409"/>
      <c r="C76" s="408">
        <v>231</v>
      </c>
      <c r="D76" s="408" t="s">
        <v>387</v>
      </c>
      <c r="E76" s="408" t="s">
        <v>388</v>
      </c>
    </row>
    <row r="77" spans="1:72" s="408" customFormat="1" x14ac:dyDescent="0.3">
      <c r="A77" s="408">
        <v>251</v>
      </c>
      <c r="B77" s="409"/>
      <c r="C77" s="408">
        <v>251</v>
      </c>
      <c r="D77" s="408" t="s">
        <v>389</v>
      </c>
      <c r="E77" s="408" t="s">
        <v>390</v>
      </c>
    </row>
    <row r="78" spans="1:72" s="408" customFormat="1" x14ac:dyDescent="0.3">
      <c r="A78" s="408">
        <v>252</v>
      </c>
      <c r="B78" s="409">
        <v>252</v>
      </c>
      <c r="C78" s="408">
        <v>252</v>
      </c>
      <c r="D78" s="408" t="s">
        <v>103</v>
      </c>
      <c r="E78" s="408" t="s">
        <v>391</v>
      </c>
      <c r="F78" s="408">
        <v>7014065</v>
      </c>
      <c r="G78" s="408">
        <v>5144244</v>
      </c>
      <c r="H78" s="408">
        <v>1106458</v>
      </c>
      <c r="I78" s="408">
        <v>17195672</v>
      </c>
      <c r="J78" s="408">
        <v>89726</v>
      </c>
      <c r="K78" s="408">
        <v>944510</v>
      </c>
      <c r="L78" s="408">
        <v>4705666</v>
      </c>
      <c r="M78" s="408">
        <v>409568</v>
      </c>
      <c r="N78" s="408">
        <v>492438867</v>
      </c>
      <c r="O78" s="408">
        <v>8123</v>
      </c>
      <c r="P78" s="408">
        <v>17579389</v>
      </c>
      <c r="Q78" s="408">
        <v>592012</v>
      </c>
      <c r="R78" s="408">
        <v>24956824</v>
      </c>
      <c r="S78" s="408">
        <v>130825504</v>
      </c>
      <c r="T78" s="408">
        <v>0</v>
      </c>
      <c r="U78" s="408">
        <v>165531</v>
      </c>
      <c r="V78" s="408">
        <v>10473528</v>
      </c>
      <c r="W78" s="408">
        <v>739100</v>
      </c>
      <c r="X78" s="408">
        <v>819207</v>
      </c>
      <c r="Y78" s="408">
        <v>290501</v>
      </c>
      <c r="Z78" s="408">
        <v>4561415</v>
      </c>
      <c r="AA78" s="408">
        <v>0</v>
      </c>
      <c r="AB78" s="408">
        <v>0</v>
      </c>
      <c r="AC78" s="408">
        <v>1575446</v>
      </c>
      <c r="AD78" s="408">
        <v>10011910</v>
      </c>
      <c r="AE78" s="408">
        <v>4071546</v>
      </c>
      <c r="AF78" s="408">
        <v>345343</v>
      </c>
      <c r="AG78" s="408">
        <v>215997</v>
      </c>
      <c r="AH78" s="408">
        <v>21661</v>
      </c>
      <c r="AI78" s="408">
        <v>7035639</v>
      </c>
      <c r="AJ78" s="408">
        <v>4343621</v>
      </c>
      <c r="AK78" s="408">
        <v>5139414</v>
      </c>
      <c r="AL78" s="408">
        <v>0</v>
      </c>
      <c r="AM78" s="408">
        <v>0</v>
      </c>
      <c r="AN78" s="408">
        <v>206958</v>
      </c>
      <c r="AO78" s="408">
        <v>6617033</v>
      </c>
      <c r="AP78" s="408">
        <v>4881341</v>
      </c>
      <c r="AQ78" s="408">
        <v>8898048</v>
      </c>
      <c r="AR78" s="408">
        <v>335776</v>
      </c>
      <c r="AS78" s="408">
        <v>833053</v>
      </c>
      <c r="AT78" s="408">
        <v>2440793</v>
      </c>
      <c r="AU78" s="408">
        <v>3152242</v>
      </c>
      <c r="AV78" s="408">
        <v>1127367</v>
      </c>
      <c r="AW78" s="408">
        <v>0</v>
      </c>
      <c r="AX78" s="408">
        <v>13163915</v>
      </c>
      <c r="AY78" s="408">
        <v>2005907</v>
      </c>
      <c r="AZ78" s="408">
        <v>16136146</v>
      </c>
      <c r="BA78" s="408">
        <v>86594</v>
      </c>
      <c r="BB78" s="408">
        <v>271740</v>
      </c>
      <c r="BC78" s="408">
        <v>3447600</v>
      </c>
      <c r="BD78" s="408">
        <v>2941131</v>
      </c>
      <c r="BE78" s="408">
        <v>241609</v>
      </c>
      <c r="BF78" s="408">
        <v>293775</v>
      </c>
      <c r="BG78" s="408">
        <v>13046869</v>
      </c>
      <c r="BH78" s="408">
        <v>423618</v>
      </c>
      <c r="BI78" s="408">
        <v>952320</v>
      </c>
      <c r="BJ78" s="408">
        <v>8619674</v>
      </c>
      <c r="BK78" s="408">
        <v>251010</v>
      </c>
      <c r="BL78" s="408">
        <v>612645</v>
      </c>
      <c r="BM78" s="408">
        <v>362517</v>
      </c>
      <c r="BN78" s="408">
        <v>268669</v>
      </c>
      <c r="BO78" s="408">
        <v>3520643</v>
      </c>
      <c r="BP78" s="408">
        <v>238267</v>
      </c>
      <c r="BQ78" s="408">
        <v>2869900</v>
      </c>
      <c r="BR78" s="408">
        <v>70063091</v>
      </c>
      <c r="BS78" s="408">
        <v>2835981</v>
      </c>
      <c r="BT78" s="408">
        <v>27292688</v>
      </c>
    </row>
    <row r="79" spans="1:72" s="408" customFormat="1" x14ac:dyDescent="0.3">
      <c r="A79" s="408">
        <v>253</v>
      </c>
      <c r="B79" s="409">
        <v>253</v>
      </c>
      <c r="C79" s="408">
        <v>253</v>
      </c>
      <c r="D79" s="408" t="s">
        <v>104</v>
      </c>
      <c r="E79" s="408" t="s">
        <v>392</v>
      </c>
      <c r="F79" s="408">
        <v>1475173</v>
      </c>
      <c r="G79" s="408">
        <v>925123</v>
      </c>
      <c r="H79" s="408">
        <v>70234</v>
      </c>
      <c r="I79" s="408">
        <v>4210437</v>
      </c>
      <c r="J79" s="408">
        <v>25527</v>
      </c>
      <c r="K79" s="408">
        <v>740836</v>
      </c>
      <c r="L79" s="408">
        <v>515699</v>
      </c>
      <c r="M79" s="408">
        <v>206780</v>
      </c>
      <c r="N79" s="408">
        <v>10525818</v>
      </c>
      <c r="O79" s="408">
        <v>0</v>
      </c>
      <c r="P79" s="408">
        <v>2273808</v>
      </c>
      <c r="Q79" s="408">
        <v>88633</v>
      </c>
      <c r="R79" s="408">
        <v>9841317</v>
      </c>
      <c r="S79" s="408">
        <v>24839395</v>
      </c>
      <c r="T79" s="408">
        <v>0</v>
      </c>
      <c r="U79" s="408">
        <v>27781</v>
      </c>
      <c r="V79" s="408">
        <v>952865</v>
      </c>
      <c r="W79" s="408">
        <v>150794</v>
      </c>
      <c r="X79" s="408">
        <v>94728</v>
      </c>
      <c r="Y79" s="408">
        <v>17703</v>
      </c>
      <c r="Z79" s="408">
        <v>1291284</v>
      </c>
      <c r="AA79" s="408">
        <v>0</v>
      </c>
      <c r="AB79" s="408">
        <v>0</v>
      </c>
      <c r="AC79" s="408">
        <v>208811</v>
      </c>
      <c r="AD79" s="408">
        <v>3512691</v>
      </c>
      <c r="AE79" s="408">
        <v>269810</v>
      </c>
      <c r="AF79" s="408">
        <v>272253</v>
      </c>
      <c r="AG79" s="408">
        <v>66156</v>
      </c>
      <c r="AH79" s="408">
        <v>13034</v>
      </c>
      <c r="AI79" s="408">
        <v>1979173</v>
      </c>
      <c r="AJ79" s="408">
        <v>766757</v>
      </c>
      <c r="AK79" s="408">
        <v>524744</v>
      </c>
      <c r="AL79" s="408">
        <v>0</v>
      </c>
      <c r="AM79" s="408">
        <v>0</v>
      </c>
      <c r="AN79" s="408">
        <v>8336</v>
      </c>
      <c r="AO79" s="408">
        <v>391765</v>
      </c>
      <c r="AP79" s="408">
        <v>520964</v>
      </c>
      <c r="AQ79" s="408">
        <v>768427</v>
      </c>
      <c r="AR79" s="408">
        <v>132226</v>
      </c>
      <c r="AS79" s="408">
        <v>431918</v>
      </c>
      <c r="AT79" s="408">
        <v>830172</v>
      </c>
      <c r="AU79" s="408">
        <v>357410</v>
      </c>
      <c r="AV79" s="408">
        <v>261347</v>
      </c>
      <c r="AW79" s="408">
        <v>0</v>
      </c>
      <c r="AX79" s="408">
        <v>1821570</v>
      </c>
      <c r="AY79" s="408">
        <v>234179</v>
      </c>
      <c r="AZ79" s="408">
        <v>1334555</v>
      </c>
      <c r="BA79" s="408">
        <v>153909</v>
      </c>
      <c r="BB79" s="408">
        <v>45930</v>
      </c>
      <c r="BC79" s="408">
        <v>2634995</v>
      </c>
      <c r="BD79" s="408">
        <v>856491</v>
      </c>
      <c r="BE79" s="408">
        <v>30364</v>
      </c>
      <c r="BF79" s="408">
        <v>78953</v>
      </c>
      <c r="BG79" s="408">
        <v>4984556</v>
      </c>
      <c r="BH79" s="408">
        <v>150636</v>
      </c>
      <c r="BI79" s="408">
        <v>130685</v>
      </c>
      <c r="BJ79" s="408">
        <v>2225421</v>
      </c>
      <c r="BK79" s="408">
        <v>56798</v>
      </c>
      <c r="BL79" s="408">
        <v>404807</v>
      </c>
      <c r="BM79" s="408">
        <v>47971</v>
      </c>
      <c r="BN79" s="408">
        <v>66387</v>
      </c>
      <c r="BO79" s="408">
        <v>107247</v>
      </c>
      <c r="BP79" s="408">
        <v>151819</v>
      </c>
      <c r="BQ79" s="408">
        <v>515798</v>
      </c>
      <c r="BR79" s="408">
        <v>18634319</v>
      </c>
      <c r="BS79" s="408">
        <v>213320</v>
      </c>
      <c r="BT79" s="408">
        <v>1385757</v>
      </c>
    </row>
    <row r="80" spans="1:72" s="408" customFormat="1" x14ac:dyDescent="0.3">
      <c r="A80" s="408">
        <v>254</v>
      </c>
      <c r="B80" s="409">
        <v>254</v>
      </c>
      <c r="C80" s="408">
        <v>254</v>
      </c>
      <c r="D80" s="408" t="s">
        <v>105</v>
      </c>
      <c r="E80" s="408" t="s">
        <v>393</v>
      </c>
      <c r="F80" s="408">
        <v>-2041323</v>
      </c>
      <c r="G80" s="408">
        <v>-3769577</v>
      </c>
      <c r="H80" s="408">
        <v>2533451</v>
      </c>
      <c r="I80" s="408">
        <v>-3930946</v>
      </c>
      <c r="J80" s="408">
        <v>491449</v>
      </c>
      <c r="K80" s="408">
        <v>838184</v>
      </c>
      <c r="L80" s="408">
        <v>3462985</v>
      </c>
      <c r="M80" s="408">
        <v>259250</v>
      </c>
      <c r="N80" s="408">
        <v>19203649</v>
      </c>
      <c r="O80" s="408">
        <v>84501</v>
      </c>
      <c r="P80" s="408">
        <v>7229447</v>
      </c>
      <c r="Q80" s="408">
        <v>2252838</v>
      </c>
      <c r="R80" s="408">
        <v>-173280</v>
      </c>
      <c r="S80" s="408">
        <v>41682608</v>
      </c>
      <c r="T80" s="408" t="s">
        <v>1751</v>
      </c>
      <c r="U80" s="408">
        <v>1007069</v>
      </c>
      <c r="V80" s="408">
        <v>1640364</v>
      </c>
      <c r="W80" s="408">
        <v>998477</v>
      </c>
      <c r="X80" s="408">
        <v>407252</v>
      </c>
      <c r="Y80" s="408">
        <v>338809</v>
      </c>
      <c r="Z80" s="408">
        <v>-863074</v>
      </c>
      <c r="AA80" s="408" t="s">
        <v>1751</v>
      </c>
      <c r="AB80" s="408" t="s">
        <v>1751</v>
      </c>
      <c r="AC80" s="408">
        <v>517436</v>
      </c>
      <c r="AD80" s="408">
        <v>4993432</v>
      </c>
      <c r="AE80" s="408">
        <v>2524042</v>
      </c>
      <c r="AF80" s="408">
        <v>60154</v>
      </c>
      <c r="AG80" s="408">
        <v>374639</v>
      </c>
      <c r="AH80" s="408">
        <v>157681</v>
      </c>
      <c r="AI80" s="408">
        <v>6743056</v>
      </c>
      <c r="AJ80" s="408">
        <v>9583105</v>
      </c>
      <c r="AK80" s="408">
        <v>270770</v>
      </c>
      <c r="AL80" s="408" t="s">
        <v>1751</v>
      </c>
      <c r="AM80" s="408" t="s">
        <v>1751</v>
      </c>
      <c r="AN80" s="408">
        <v>92280</v>
      </c>
      <c r="AO80" s="408">
        <v>1501440</v>
      </c>
      <c r="AP80" s="408">
        <v>2490553</v>
      </c>
      <c r="AQ80" s="408">
        <v>1168234</v>
      </c>
      <c r="AR80" s="408">
        <v>332410</v>
      </c>
      <c r="AS80" s="408">
        <v>1304786</v>
      </c>
      <c r="AT80" s="408">
        <v>707458</v>
      </c>
      <c r="AU80" s="408">
        <v>-414231</v>
      </c>
      <c r="AV80" s="408">
        <v>2083038</v>
      </c>
      <c r="AW80" s="408" t="s">
        <v>1751</v>
      </c>
      <c r="AX80" s="408">
        <v>-4428809</v>
      </c>
      <c r="AY80" s="408">
        <v>945812</v>
      </c>
      <c r="AZ80" s="408">
        <v>-1619757</v>
      </c>
      <c r="BA80" s="408">
        <v>112127</v>
      </c>
      <c r="BB80" s="408">
        <v>458756</v>
      </c>
      <c r="BC80" s="408">
        <v>-2725382</v>
      </c>
      <c r="BD80" s="408">
        <v>560729</v>
      </c>
      <c r="BE80" s="408">
        <v>662659</v>
      </c>
      <c r="BF80" s="408">
        <v>399652</v>
      </c>
      <c r="BG80" s="408">
        <v>3743058</v>
      </c>
      <c r="BH80" s="408">
        <v>503462</v>
      </c>
      <c r="BI80" s="408">
        <v>511127</v>
      </c>
      <c r="BJ80" s="408">
        <v>2640684</v>
      </c>
      <c r="BK80" s="408">
        <v>350394</v>
      </c>
      <c r="BL80" s="408">
        <v>669922</v>
      </c>
      <c r="BM80" s="408">
        <v>613138</v>
      </c>
      <c r="BN80" s="408">
        <v>1240280</v>
      </c>
      <c r="BO80" s="408">
        <v>2191587</v>
      </c>
      <c r="BP80" s="408">
        <v>664154</v>
      </c>
      <c r="BQ80" s="408">
        <v>2418791</v>
      </c>
      <c r="BR80" s="408">
        <v>3724929</v>
      </c>
      <c r="BS80" s="408">
        <v>-1032400</v>
      </c>
      <c r="BT80" s="408">
        <v>6544974</v>
      </c>
    </row>
    <row r="81" spans="1:72" s="408" customFormat="1" x14ac:dyDescent="0.3">
      <c r="A81" s="408">
        <v>255</v>
      </c>
      <c r="B81" s="409">
        <v>255</v>
      </c>
      <c r="C81" s="408">
        <v>255</v>
      </c>
      <c r="D81" s="408" t="s">
        <v>197</v>
      </c>
      <c r="E81" s="408" t="s">
        <v>394</v>
      </c>
      <c r="F81" s="408">
        <v>621843</v>
      </c>
      <c r="G81" s="408">
        <v>-793248</v>
      </c>
      <c r="H81" s="408">
        <v>346152</v>
      </c>
      <c r="I81" s="408">
        <v>839616</v>
      </c>
      <c r="J81" s="408">
        <v>30724</v>
      </c>
      <c r="K81" s="408">
        <v>320243</v>
      </c>
      <c r="L81" s="408">
        <v>134265</v>
      </c>
      <c r="M81" s="408">
        <v>16837</v>
      </c>
      <c r="N81" s="408">
        <v>50235673</v>
      </c>
      <c r="O81" s="408">
        <v>-1417</v>
      </c>
      <c r="P81" s="408">
        <v>878419</v>
      </c>
      <c r="Q81" s="408">
        <v>336528</v>
      </c>
      <c r="R81" s="408">
        <v>1719429</v>
      </c>
      <c r="S81" s="408">
        <v>9504402</v>
      </c>
      <c r="T81" s="408" t="s">
        <v>1751</v>
      </c>
      <c r="U81" s="408">
        <v>352610</v>
      </c>
      <c r="V81" s="408">
        <v>510517</v>
      </c>
      <c r="W81" s="408">
        <v>188599</v>
      </c>
      <c r="X81" s="408">
        <v>34063</v>
      </c>
      <c r="Y81" s="408">
        <v>6820</v>
      </c>
      <c r="Z81" s="408">
        <v>-595025</v>
      </c>
      <c r="AA81" s="408" t="s">
        <v>1751</v>
      </c>
      <c r="AB81" s="408" t="s">
        <v>1751</v>
      </c>
      <c r="AC81" s="408">
        <v>-155926</v>
      </c>
      <c r="AD81" s="408">
        <v>4115476</v>
      </c>
      <c r="AE81" s="408">
        <v>352568</v>
      </c>
      <c r="AF81" s="408">
        <v>4770</v>
      </c>
      <c r="AG81" s="408">
        <v>140033</v>
      </c>
      <c r="AH81" s="408">
        <v>-4565</v>
      </c>
      <c r="AI81" s="408">
        <v>954148</v>
      </c>
      <c r="AJ81" s="408">
        <v>664274</v>
      </c>
      <c r="AK81" s="408">
        <v>-43332</v>
      </c>
      <c r="AL81" s="408" t="s">
        <v>1751</v>
      </c>
      <c r="AM81" s="408" t="s">
        <v>1751</v>
      </c>
      <c r="AN81" s="408">
        <v>18893</v>
      </c>
      <c r="AO81" s="408">
        <v>-774288</v>
      </c>
      <c r="AP81" s="408">
        <v>911627</v>
      </c>
      <c r="AQ81" s="408">
        <v>-424610</v>
      </c>
      <c r="AR81" s="408">
        <v>-13053</v>
      </c>
      <c r="AS81" s="408">
        <v>218209</v>
      </c>
      <c r="AT81" s="408">
        <v>-65686</v>
      </c>
      <c r="AU81" s="408">
        <v>90502</v>
      </c>
      <c r="AV81" s="408">
        <v>-79918</v>
      </c>
      <c r="AW81" s="408" t="s">
        <v>1751</v>
      </c>
      <c r="AX81" s="408">
        <v>2889230</v>
      </c>
      <c r="AY81" s="408">
        <v>448026</v>
      </c>
      <c r="AZ81" s="408">
        <v>821015</v>
      </c>
      <c r="BA81" s="408">
        <v>212773</v>
      </c>
      <c r="BB81" s="408">
        <v>31638</v>
      </c>
      <c r="BC81" s="408">
        <v>-468853</v>
      </c>
      <c r="BD81" s="408">
        <v>-85213</v>
      </c>
      <c r="BE81" s="408">
        <v>88478</v>
      </c>
      <c r="BF81" s="408">
        <v>63072</v>
      </c>
      <c r="BG81" s="408">
        <v>-1292698</v>
      </c>
      <c r="BH81" s="408">
        <v>167557</v>
      </c>
      <c r="BI81" s="408">
        <v>43368</v>
      </c>
      <c r="BJ81" s="408">
        <v>1015947</v>
      </c>
      <c r="BK81" s="408">
        <v>-81228</v>
      </c>
      <c r="BL81" s="408">
        <v>43448</v>
      </c>
      <c r="BM81" s="408">
        <v>-2739</v>
      </c>
      <c r="BN81" s="408">
        <v>134199</v>
      </c>
      <c r="BO81" s="408">
        <v>64357</v>
      </c>
      <c r="BP81" s="408">
        <v>29551</v>
      </c>
      <c r="BQ81" s="408">
        <v>-190792</v>
      </c>
      <c r="BR81" s="408">
        <v>-672329</v>
      </c>
      <c r="BS81" s="408">
        <v>113142</v>
      </c>
      <c r="BT81" s="408">
        <v>1726095</v>
      </c>
    </row>
    <row r="82" spans="1:72" s="408" customFormat="1" x14ac:dyDescent="0.3">
      <c r="A82" s="408">
        <v>274</v>
      </c>
      <c r="B82" s="409"/>
      <c r="C82" s="408">
        <v>274</v>
      </c>
      <c r="D82" s="408" t="s">
        <v>395</v>
      </c>
      <c r="E82" s="408" t="s">
        <v>396</v>
      </c>
    </row>
    <row r="83" spans="1:72" s="408" customFormat="1" x14ac:dyDescent="0.3">
      <c r="A83" s="408">
        <v>294</v>
      </c>
      <c r="B83" s="409"/>
      <c r="C83" s="408">
        <v>294</v>
      </c>
      <c r="D83" s="408" t="s">
        <v>1752</v>
      </c>
      <c r="E83" s="408" t="s">
        <v>397</v>
      </c>
    </row>
    <row r="84" spans="1:72" s="408" customFormat="1" x14ac:dyDescent="0.3">
      <c r="A84" s="408">
        <v>314</v>
      </c>
      <c r="B84" s="409"/>
      <c r="C84" s="408">
        <v>314</v>
      </c>
      <c r="D84" s="408" t="s">
        <v>398</v>
      </c>
      <c r="E84" s="408" t="s">
        <v>399</v>
      </c>
    </row>
    <row r="85" spans="1:72" s="408" customFormat="1" x14ac:dyDescent="0.3">
      <c r="A85" s="408">
        <v>315</v>
      </c>
      <c r="B85" s="409"/>
      <c r="C85" s="408">
        <v>315</v>
      </c>
      <c r="D85" s="408" t="s">
        <v>400</v>
      </c>
      <c r="E85" s="408" t="s">
        <v>401</v>
      </c>
    </row>
    <row r="86" spans="1:72" s="408" customFormat="1" x14ac:dyDescent="0.3">
      <c r="A86" s="408">
        <v>316</v>
      </c>
      <c r="B86" s="409"/>
      <c r="C86" s="408">
        <v>316</v>
      </c>
      <c r="D86" s="408" t="s">
        <v>402</v>
      </c>
      <c r="E86" s="408" t="s">
        <v>403</v>
      </c>
    </row>
    <row r="87" spans="1:72" s="408" customFormat="1" x14ac:dyDescent="0.3">
      <c r="A87" s="408">
        <v>320</v>
      </c>
      <c r="B87" s="409"/>
      <c r="C87" s="408">
        <v>320</v>
      </c>
      <c r="D87" s="408" t="s">
        <v>258</v>
      </c>
      <c r="E87" s="408" t="s">
        <v>404</v>
      </c>
    </row>
    <row r="88" spans="1:72" s="408" customFormat="1" x14ac:dyDescent="0.3">
      <c r="A88" s="408">
        <v>321</v>
      </c>
      <c r="B88" s="409"/>
      <c r="C88" s="408">
        <v>321</v>
      </c>
      <c r="D88" s="408" t="s">
        <v>1753</v>
      </c>
      <c r="E88" s="408" t="s">
        <v>405</v>
      </c>
    </row>
    <row r="89" spans="1:72" s="408" customFormat="1" x14ac:dyDescent="0.3">
      <c r="A89" s="408">
        <v>322</v>
      </c>
      <c r="B89" s="409"/>
      <c r="C89" s="408">
        <v>322</v>
      </c>
      <c r="D89" s="408" t="s">
        <v>260</v>
      </c>
      <c r="E89" s="408" t="s">
        <v>406</v>
      </c>
    </row>
    <row r="90" spans="1:72" s="408" customFormat="1" x14ac:dyDescent="0.3">
      <c r="A90" s="408">
        <v>323</v>
      </c>
      <c r="B90" s="409"/>
      <c r="C90" s="408">
        <v>323</v>
      </c>
      <c r="D90" s="408" t="s">
        <v>259</v>
      </c>
      <c r="E90" s="408" t="s">
        <v>407</v>
      </c>
    </row>
    <row r="91" spans="1:72" s="408" customFormat="1" x14ac:dyDescent="0.3">
      <c r="A91" s="408">
        <v>324</v>
      </c>
      <c r="B91" s="409"/>
      <c r="C91" s="408">
        <v>324</v>
      </c>
      <c r="D91" s="408" t="s">
        <v>257</v>
      </c>
      <c r="E91" s="408" t="s">
        <v>408</v>
      </c>
    </row>
    <row r="92" spans="1:72" s="408" customFormat="1" x14ac:dyDescent="0.3">
      <c r="A92" s="408">
        <v>325</v>
      </c>
      <c r="B92" s="409"/>
      <c r="C92" s="408">
        <v>325</v>
      </c>
      <c r="D92" s="408" t="s">
        <v>261</v>
      </c>
      <c r="E92" s="408" t="s">
        <v>409</v>
      </c>
    </row>
    <row r="93" spans="1:72" s="408" customFormat="1" x14ac:dyDescent="0.3">
      <c r="A93" s="408">
        <v>326</v>
      </c>
      <c r="B93" s="409"/>
      <c r="C93" s="408">
        <v>326</v>
      </c>
      <c r="D93" s="408" t="s">
        <v>1754</v>
      </c>
      <c r="E93" s="408" t="s">
        <v>410</v>
      </c>
    </row>
    <row r="94" spans="1:72" s="408" customFormat="1" x14ac:dyDescent="0.3">
      <c r="A94" s="408">
        <v>327</v>
      </c>
      <c r="B94" s="409">
        <v>327</v>
      </c>
      <c r="C94" s="408">
        <v>327</v>
      </c>
      <c r="D94" s="408" t="s">
        <v>635</v>
      </c>
      <c r="E94" s="408" t="s">
        <v>411</v>
      </c>
      <c r="F94" s="408">
        <v>224906</v>
      </c>
      <c r="G94" s="408">
        <v>889999</v>
      </c>
      <c r="H94" s="408">
        <v>7000</v>
      </c>
      <c r="I94" s="408">
        <v>145228</v>
      </c>
      <c r="J94" s="408">
        <v>0</v>
      </c>
      <c r="K94" s="408">
        <v>132340</v>
      </c>
      <c r="L94" s="408">
        <v>614903</v>
      </c>
      <c r="M94" s="408">
        <v>13420</v>
      </c>
      <c r="N94" s="408">
        <v>62241389</v>
      </c>
      <c r="O94" s="408">
        <v>0</v>
      </c>
      <c r="P94" s="408">
        <v>390599</v>
      </c>
      <c r="Q94" s="408">
        <v>0</v>
      </c>
      <c r="R94" s="408">
        <v>3242682</v>
      </c>
      <c r="S94" s="408">
        <v>24222059</v>
      </c>
      <c r="T94" s="408">
        <v>0</v>
      </c>
      <c r="U94" s="408">
        <v>0</v>
      </c>
      <c r="V94" s="408">
        <v>934400</v>
      </c>
      <c r="W94" s="408">
        <v>195015</v>
      </c>
      <c r="X94" s="408">
        <v>2000</v>
      </c>
      <c r="Y94" s="408">
        <v>8198</v>
      </c>
      <c r="Z94" s="408">
        <v>16500</v>
      </c>
      <c r="AA94" s="408">
        <v>0</v>
      </c>
      <c r="AB94" s="408">
        <v>0</v>
      </c>
      <c r="AC94" s="408">
        <v>7221</v>
      </c>
      <c r="AD94" s="408">
        <v>35000</v>
      </c>
      <c r="AE94" s="408">
        <v>23466</v>
      </c>
      <c r="AF94" s="408">
        <v>326157</v>
      </c>
      <c r="AG94" s="408">
        <v>0</v>
      </c>
      <c r="AH94" s="408">
        <v>0</v>
      </c>
      <c r="AI94" s="408">
        <v>444059</v>
      </c>
      <c r="AJ94" s="408">
        <v>765</v>
      </c>
      <c r="AK94" s="408">
        <v>14041</v>
      </c>
      <c r="AL94" s="408">
        <v>0</v>
      </c>
      <c r="AM94" s="408">
        <v>0</v>
      </c>
      <c r="AN94" s="408">
        <v>0</v>
      </c>
      <c r="AO94" s="408">
        <v>28870</v>
      </c>
      <c r="AP94" s="408">
        <v>0</v>
      </c>
      <c r="AQ94" s="408">
        <v>467936</v>
      </c>
      <c r="AR94" s="408">
        <v>0</v>
      </c>
      <c r="AS94" s="408">
        <v>18231</v>
      </c>
      <c r="AT94" s="408">
        <v>39975</v>
      </c>
      <c r="AU94" s="408">
        <v>0</v>
      </c>
      <c r="AV94" s="408">
        <v>14900</v>
      </c>
      <c r="AW94" s="408">
        <v>0</v>
      </c>
      <c r="AX94" s="408">
        <v>640645</v>
      </c>
      <c r="AY94" s="408">
        <v>466358</v>
      </c>
      <c r="AZ94" s="408">
        <v>100504</v>
      </c>
      <c r="BA94" s="408">
        <v>0</v>
      </c>
      <c r="BB94" s="408">
        <v>0</v>
      </c>
      <c r="BC94" s="408">
        <v>0</v>
      </c>
      <c r="BD94" s="408">
        <v>33069</v>
      </c>
      <c r="BE94" s="408">
        <v>0</v>
      </c>
      <c r="BF94" s="408">
        <v>5751</v>
      </c>
      <c r="BG94" s="408">
        <v>4717618</v>
      </c>
      <c r="BH94" s="408">
        <v>37164</v>
      </c>
      <c r="BI94" s="408">
        <v>0</v>
      </c>
      <c r="BJ94" s="408">
        <v>212891</v>
      </c>
      <c r="BK94" s="408">
        <v>8653</v>
      </c>
      <c r="BL94" s="408">
        <v>85934</v>
      </c>
      <c r="BM94" s="408">
        <v>0</v>
      </c>
      <c r="BN94" s="408">
        <v>4610</v>
      </c>
      <c r="BO94" s="408">
        <v>294397</v>
      </c>
      <c r="BP94" s="408">
        <v>34471</v>
      </c>
      <c r="BQ94" s="408">
        <v>60861</v>
      </c>
      <c r="BR94" s="408">
        <v>6945444</v>
      </c>
      <c r="BS94" s="408">
        <v>28009</v>
      </c>
      <c r="BT94" s="408">
        <v>0</v>
      </c>
    </row>
    <row r="95" spans="1:72" s="408" customFormat="1" x14ac:dyDescent="0.3">
      <c r="A95" s="408">
        <v>328</v>
      </c>
      <c r="B95" s="409">
        <v>328</v>
      </c>
      <c r="C95" s="408">
        <v>328</v>
      </c>
      <c r="D95" s="408" t="s">
        <v>551</v>
      </c>
      <c r="E95" s="408" t="s">
        <v>412</v>
      </c>
      <c r="F95" s="408">
        <v>945273</v>
      </c>
      <c r="G95" s="408">
        <v>0</v>
      </c>
      <c r="H95" s="408">
        <v>0</v>
      </c>
      <c r="I95" s="408">
        <v>7049205</v>
      </c>
      <c r="J95" s="408">
        <v>0</v>
      </c>
      <c r="K95" s="408">
        <v>371079</v>
      </c>
      <c r="L95" s="408">
        <v>0</v>
      </c>
      <c r="M95" s="408">
        <v>0</v>
      </c>
      <c r="N95" s="408">
        <v>8593866</v>
      </c>
      <c r="O95" s="408">
        <v>0</v>
      </c>
      <c r="P95" s="408">
        <v>1398804</v>
      </c>
      <c r="Q95" s="408">
        <v>0</v>
      </c>
      <c r="R95" s="408">
        <v>806</v>
      </c>
      <c r="S95" s="408">
        <v>76843783</v>
      </c>
      <c r="T95" s="408">
        <v>0</v>
      </c>
      <c r="U95" s="408">
        <v>0</v>
      </c>
      <c r="V95" s="408">
        <v>0</v>
      </c>
      <c r="W95" s="408">
        <v>335018</v>
      </c>
      <c r="X95" s="408">
        <v>258430</v>
      </c>
      <c r="Y95" s="408">
        <v>0</v>
      </c>
      <c r="Z95" s="408">
        <v>736571</v>
      </c>
      <c r="AA95" s="408">
        <v>0</v>
      </c>
      <c r="AB95" s="408">
        <v>0</v>
      </c>
      <c r="AC95" s="408">
        <v>0</v>
      </c>
      <c r="AD95" s="408">
        <v>0</v>
      </c>
      <c r="AE95" s="408">
        <v>0</v>
      </c>
      <c r="AF95" s="408">
        <v>2690180</v>
      </c>
      <c r="AG95" s="408">
        <v>0</v>
      </c>
      <c r="AH95" s="408">
        <v>0</v>
      </c>
      <c r="AI95" s="408">
        <v>98489</v>
      </c>
      <c r="AJ95" s="408">
        <v>764406</v>
      </c>
      <c r="AK95" s="408">
        <v>0</v>
      </c>
      <c r="AL95" s="408">
        <v>0</v>
      </c>
      <c r="AM95" s="408">
        <v>0</v>
      </c>
      <c r="AN95" s="408">
        <v>0</v>
      </c>
      <c r="AO95" s="408">
        <v>5143892</v>
      </c>
      <c r="AP95" s="408">
        <v>0</v>
      </c>
      <c r="AQ95" s="408">
        <v>4697068</v>
      </c>
      <c r="AR95" s="408">
        <v>0</v>
      </c>
      <c r="AS95" s="408">
        <v>0</v>
      </c>
      <c r="AT95" s="408">
        <v>0</v>
      </c>
      <c r="AU95" s="408">
        <v>0</v>
      </c>
      <c r="AV95" s="408">
        <v>177597</v>
      </c>
      <c r="AW95" s="408">
        <v>0</v>
      </c>
      <c r="AX95" s="408">
        <v>0</v>
      </c>
      <c r="AY95" s="408">
        <v>21000</v>
      </c>
      <c r="AZ95" s="408">
        <v>369641</v>
      </c>
      <c r="BA95" s="408">
        <v>0</v>
      </c>
      <c r="BB95" s="408">
        <v>0</v>
      </c>
      <c r="BC95" s="408">
        <v>0</v>
      </c>
      <c r="BD95" s="408">
        <v>0</v>
      </c>
      <c r="BE95" s="408">
        <v>0</v>
      </c>
      <c r="BF95" s="408">
        <v>0</v>
      </c>
      <c r="BG95" s="408">
        <v>0</v>
      </c>
      <c r="BH95" s="408">
        <v>1603019</v>
      </c>
      <c r="BI95" s="408">
        <v>0</v>
      </c>
      <c r="BJ95" s="408">
        <v>794058</v>
      </c>
      <c r="BK95" s="408">
        <v>0</v>
      </c>
      <c r="BL95" s="408">
        <v>156477</v>
      </c>
      <c r="BM95" s="408">
        <v>0</v>
      </c>
      <c r="BN95" s="408">
        <v>0</v>
      </c>
      <c r="BO95" s="408">
        <v>0</v>
      </c>
      <c r="BP95" s="408">
        <v>622262</v>
      </c>
      <c r="BQ95" s="408">
        <v>2782732</v>
      </c>
      <c r="BR95" s="408">
        <v>291224</v>
      </c>
      <c r="BS95" s="408">
        <v>1935544</v>
      </c>
      <c r="BT95" s="408">
        <v>0</v>
      </c>
    </row>
    <row r="96" spans="1:72" s="408" customFormat="1" x14ac:dyDescent="0.3">
      <c r="A96" s="408">
        <v>330</v>
      </c>
      <c r="B96" s="409"/>
      <c r="C96" s="408">
        <v>330</v>
      </c>
      <c r="D96" s="408" t="s">
        <v>636</v>
      </c>
      <c r="E96" s="408" t="s">
        <v>413</v>
      </c>
    </row>
    <row r="97" spans="1:72" s="408" customFormat="1" x14ac:dyDescent="0.3">
      <c r="A97" s="408">
        <v>331</v>
      </c>
      <c r="B97" s="409">
        <v>331</v>
      </c>
      <c r="C97" s="408">
        <v>331</v>
      </c>
      <c r="D97" s="408" t="s">
        <v>247</v>
      </c>
      <c r="E97" s="408" t="s">
        <v>414</v>
      </c>
      <c r="F97" s="408">
        <v>0</v>
      </c>
      <c r="G97" s="408">
        <v>728653</v>
      </c>
      <c r="H97" s="408">
        <v>12799</v>
      </c>
      <c r="I97" s="408">
        <v>1724178</v>
      </c>
      <c r="J97" s="408">
        <v>0</v>
      </c>
      <c r="K97" s="408">
        <v>99039</v>
      </c>
      <c r="L97" s="408">
        <v>231080</v>
      </c>
      <c r="M97" s="408">
        <v>28500</v>
      </c>
      <c r="N97" s="408">
        <v>2414539</v>
      </c>
      <c r="O97" s="408">
        <v>0</v>
      </c>
      <c r="P97" s="408">
        <v>990972</v>
      </c>
      <c r="Q97" s="408">
        <v>0</v>
      </c>
      <c r="R97" s="408">
        <v>550967</v>
      </c>
      <c r="S97" s="408">
        <v>3499910</v>
      </c>
      <c r="T97" s="408">
        <v>0</v>
      </c>
      <c r="U97" s="408">
        <v>14000</v>
      </c>
      <c r="V97" s="408">
        <v>33804</v>
      </c>
      <c r="W97" s="408">
        <v>23923</v>
      </c>
      <c r="X97" s="408">
        <v>0</v>
      </c>
      <c r="Y97" s="408">
        <v>0</v>
      </c>
      <c r="Z97" s="408">
        <v>322154</v>
      </c>
      <c r="AA97" s="408">
        <v>0</v>
      </c>
      <c r="AB97" s="408">
        <v>0</v>
      </c>
      <c r="AC97" s="408">
        <v>8000</v>
      </c>
      <c r="AD97" s="408">
        <v>819219</v>
      </c>
      <c r="AE97" s="408">
        <v>93433</v>
      </c>
      <c r="AF97" s="408">
        <v>0</v>
      </c>
      <c r="AG97" s="408">
        <v>0</v>
      </c>
      <c r="AH97" s="408">
        <v>0</v>
      </c>
      <c r="AI97" s="408">
        <v>1224736</v>
      </c>
      <c r="AJ97" s="408">
        <v>282014</v>
      </c>
      <c r="AK97" s="408">
        <v>96947</v>
      </c>
      <c r="AL97" s="408">
        <v>0</v>
      </c>
      <c r="AM97" s="408">
        <v>0</v>
      </c>
      <c r="AN97" s="408">
        <v>0</v>
      </c>
      <c r="AO97" s="408">
        <v>250386</v>
      </c>
      <c r="AP97" s="408">
        <v>0</v>
      </c>
      <c r="AQ97" s="408">
        <v>248993</v>
      </c>
      <c r="AR97" s="408">
        <v>0</v>
      </c>
      <c r="AS97" s="408">
        <v>255417</v>
      </c>
      <c r="AT97" s="408">
        <v>88210</v>
      </c>
      <c r="AU97" s="408">
        <v>0</v>
      </c>
      <c r="AV97" s="408">
        <v>139388</v>
      </c>
      <c r="AW97" s="408">
        <v>0</v>
      </c>
      <c r="AX97" s="408">
        <v>183276</v>
      </c>
      <c r="AY97" s="408">
        <v>0</v>
      </c>
      <c r="AZ97" s="408">
        <v>264141</v>
      </c>
      <c r="BA97" s="408">
        <v>0</v>
      </c>
      <c r="BB97" s="408">
        <v>0</v>
      </c>
      <c r="BC97" s="408">
        <v>0</v>
      </c>
      <c r="BD97" s="408">
        <v>159171</v>
      </c>
      <c r="BE97" s="408">
        <v>0</v>
      </c>
      <c r="BF97" s="408">
        <v>7693</v>
      </c>
      <c r="BG97" s="408">
        <v>618937</v>
      </c>
      <c r="BH97" s="408">
        <v>98201</v>
      </c>
      <c r="BI97" s="408">
        <v>30000</v>
      </c>
      <c r="BJ97" s="408">
        <v>1309283</v>
      </c>
      <c r="BK97" s="408">
        <v>45038</v>
      </c>
      <c r="BL97" s="408">
        <v>66000</v>
      </c>
      <c r="BM97" s="408">
        <v>0</v>
      </c>
      <c r="BN97" s="408">
        <v>0</v>
      </c>
      <c r="BO97" s="408">
        <v>196291</v>
      </c>
      <c r="BP97" s="408">
        <v>51741</v>
      </c>
      <c r="BQ97" s="408">
        <v>99320</v>
      </c>
      <c r="BR97" s="408">
        <v>2332994</v>
      </c>
      <c r="BS97" s="408">
        <v>39260</v>
      </c>
      <c r="BT97" s="408">
        <v>0</v>
      </c>
    </row>
    <row r="98" spans="1:72" s="408" customFormat="1" x14ac:dyDescent="0.3">
      <c r="A98" s="408">
        <v>332</v>
      </c>
      <c r="B98" s="409">
        <v>332</v>
      </c>
      <c r="C98" s="408">
        <v>332</v>
      </c>
      <c r="D98" s="408" t="s">
        <v>248</v>
      </c>
      <c r="E98" s="408" t="s">
        <v>415</v>
      </c>
      <c r="F98" s="408">
        <v>902154</v>
      </c>
      <c r="G98" s="408">
        <v>217076</v>
      </c>
      <c r="H98" s="408">
        <v>5547</v>
      </c>
      <c r="I98" s="408">
        <v>6228887</v>
      </c>
      <c r="J98" s="408">
        <v>0</v>
      </c>
      <c r="K98" s="408">
        <v>1061139</v>
      </c>
      <c r="L98" s="408">
        <v>729583</v>
      </c>
      <c r="M98" s="408">
        <v>41535</v>
      </c>
      <c r="N98" s="408">
        <v>3823829</v>
      </c>
      <c r="O98" s="408">
        <v>0</v>
      </c>
      <c r="P98" s="408">
        <v>1289683</v>
      </c>
      <c r="Q98" s="408">
        <v>0</v>
      </c>
      <c r="R98" s="408">
        <v>630126</v>
      </c>
      <c r="S98" s="408">
        <v>23642019</v>
      </c>
      <c r="T98" s="408">
        <v>0</v>
      </c>
      <c r="U98" s="408">
        <v>0</v>
      </c>
      <c r="V98" s="408">
        <v>70778</v>
      </c>
      <c r="W98" s="408">
        <v>533585</v>
      </c>
      <c r="X98" s="408">
        <v>142930</v>
      </c>
      <c r="Y98" s="408">
        <v>4761</v>
      </c>
      <c r="Z98" s="408">
        <v>873726</v>
      </c>
      <c r="AA98" s="408">
        <v>0</v>
      </c>
      <c r="AB98" s="408">
        <v>0</v>
      </c>
      <c r="AC98" s="408">
        <v>1504783</v>
      </c>
      <c r="AD98" s="408">
        <v>373215</v>
      </c>
      <c r="AE98" s="408">
        <v>9248</v>
      </c>
      <c r="AF98" s="408">
        <v>0</v>
      </c>
      <c r="AG98" s="408">
        <v>0</v>
      </c>
      <c r="AH98" s="408">
        <v>0</v>
      </c>
      <c r="AI98" s="408">
        <v>312372</v>
      </c>
      <c r="AJ98" s="408">
        <v>820430</v>
      </c>
      <c r="AK98" s="408">
        <v>0</v>
      </c>
      <c r="AL98" s="408">
        <v>0</v>
      </c>
      <c r="AM98" s="408">
        <v>0</v>
      </c>
      <c r="AN98" s="408">
        <v>0</v>
      </c>
      <c r="AO98" s="408">
        <v>1746942</v>
      </c>
      <c r="AP98" s="408">
        <v>0</v>
      </c>
      <c r="AQ98" s="408">
        <v>3933508</v>
      </c>
      <c r="AR98" s="408">
        <v>0</v>
      </c>
      <c r="AS98" s="408">
        <v>0</v>
      </c>
      <c r="AT98" s="408">
        <v>18565</v>
      </c>
      <c r="AU98" s="408">
        <v>0</v>
      </c>
      <c r="AV98" s="408">
        <v>122468</v>
      </c>
      <c r="AW98" s="408">
        <v>0</v>
      </c>
      <c r="AX98" s="408">
        <v>188842</v>
      </c>
      <c r="AY98" s="408">
        <v>46805</v>
      </c>
      <c r="AZ98" s="408">
        <v>1400904</v>
      </c>
      <c r="BA98" s="408">
        <v>0</v>
      </c>
      <c r="BB98" s="408">
        <v>0</v>
      </c>
      <c r="BC98" s="408">
        <v>494449</v>
      </c>
      <c r="BD98" s="408">
        <v>149022</v>
      </c>
      <c r="BE98" s="408">
        <v>0</v>
      </c>
      <c r="BF98" s="408">
        <v>0</v>
      </c>
      <c r="BG98" s="408">
        <v>196995</v>
      </c>
      <c r="BH98" s="408">
        <v>742058</v>
      </c>
      <c r="BI98" s="408">
        <v>0</v>
      </c>
      <c r="BJ98" s="408">
        <v>989867</v>
      </c>
      <c r="BK98" s="408">
        <v>85882</v>
      </c>
      <c r="BL98" s="408">
        <v>21871</v>
      </c>
      <c r="BM98" s="408">
        <v>0</v>
      </c>
      <c r="BN98" s="408">
        <v>1081575</v>
      </c>
      <c r="BO98" s="408">
        <v>1125087</v>
      </c>
      <c r="BP98" s="408">
        <v>447630</v>
      </c>
      <c r="BQ98" s="408">
        <v>708499</v>
      </c>
      <c r="BR98" s="408">
        <v>2332994</v>
      </c>
      <c r="BS98" s="408">
        <v>438925</v>
      </c>
      <c r="BT98" s="408">
        <v>0</v>
      </c>
    </row>
    <row r="99" spans="1:72" s="408" customFormat="1" x14ac:dyDescent="0.3">
      <c r="A99" s="408">
        <v>333</v>
      </c>
      <c r="B99" s="409">
        <v>333</v>
      </c>
      <c r="C99" s="408">
        <v>333</v>
      </c>
      <c r="D99" s="408" t="s">
        <v>184</v>
      </c>
      <c r="E99" s="408" t="s">
        <v>416</v>
      </c>
      <c r="F99" s="408">
        <v>3969198</v>
      </c>
      <c r="G99" s="408">
        <v>613058</v>
      </c>
      <c r="H99" s="408">
        <v>2565501</v>
      </c>
      <c r="I99" s="408">
        <v>10883111</v>
      </c>
      <c r="J99" s="408">
        <v>487436</v>
      </c>
      <c r="K99" s="408">
        <v>984609</v>
      </c>
      <c r="L99" s="408">
        <v>4461720</v>
      </c>
      <c r="M99" s="408">
        <v>224344</v>
      </c>
      <c r="N99" s="408">
        <v>67837462</v>
      </c>
      <c r="O99" s="408">
        <v>84639</v>
      </c>
      <c r="P99" s="408">
        <v>9141925</v>
      </c>
      <c r="Q99" s="408">
        <v>2315119</v>
      </c>
      <c r="R99" s="408">
        <v>17955130</v>
      </c>
      <c r="S99" s="408">
        <v>92235412</v>
      </c>
      <c r="T99" s="408">
        <v>0</v>
      </c>
      <c r="U99" s="408">
        <v>1003157</v>
      </c>
      <c r="V99" s="408">
        <v>4384925</v>
      </c>
      <c r="W99" s="408">
        <v>1042475</v>
      </c>
      <c r="X99" s="408">
        <v>409475</v>
      </c>
      <c r="Y99" s="408">
        <v>343731</v>
      </c>
      <c r="Z99" s="408">
        <v>1224169</v>
      </c>
      <c r="AA99" s="408">
        <v>0</v>
      </c>
      <c r="AB99" s="408">
        <v>0</v>
      </c>
      <c r="AC99" s="408">
        <v>561740</v>
      </c>
      <c r="AD99" s="408">
        <v>6389950</v>
      </c>
      <c r="AE99" s="408">
        <v>3211500</v>
      </c>
      <c r="AF99" s="408">
        <v>57584</v>
      </c>
      <c r="AG99" s="408">
        <v>314974</v>
      </c>
      <c r="AH99" s="408">
        <v>157353</v>
      </c>
      <c r="AI99" s="408">
        <v>8147303</v>
      </c>
      <c r="AJ99" s="408">
        <v>10475362</v>
      </c>
      <c r="AK99" s="408">
        <v>955045</v>
      </c>
      <c r="AL99" s="408">
        <v>0</v>
      </c>
      <c r="AM99" s="408">
        <v>0</v>
      </c>
      <c r="AN99" s="408">
        <v>91793</v>
      </c>
      <c r="AO99" s="408">
        <v>1710732</v>
      </c>
      <c r="AP99" s="408">
        <v>2800252</v>
      </c>
      <c r="AQ99" s="408">
        <v>1743292</v>
      </c>
      <c r="AR99" s="408">
        <v>334385</v>
      </c>
      <c r="AS99" s="408">
        <v>1481775</v>
      </c>
      <c r="AT99" s="408">
        <v>1092867</v>
      </c>
      <c r="AU99" s="408">
        <v>3252316</v>
      </c>
      <c r="AV99" s="408">
        <v>2407227</v>
      </c>
      <c r="AW99" s="408">
        <v>0</v>
      </c>
      <c r="AX99" s="408">
        <v>5240323</v>
      </c>
      <c r="AY99" s="408">
        <v>1106461</v>
      </c>
      <c r="AZ99" s="408">
        <v>5698133</v>
      </c>
      <c r="BA99" s="408">
        <v>242491</v>
      </c>
      <c r="BB99" s="408">
        <v>464340</v>
      </c>
      <c r="BC99" s="408">
        <v>1273560</v>
      </c>
      <c r="BD99" s="408">
        <v>804516</v>
      </c>
      <c r="BE99" s="408">
        <v>663844</v>
      </c>
      <c r="BF99" s="408">
        <v>344794</v>
      </c>
      <c r="BG99" s="408">
        <v>16052545</v>
      </c>
      <c r="BH99" s="408">
        <v>782430</v>
      </c>
      <c r="BI99" s="408">
        <v>238672</v>
      </c>
      <c r="BJ99" s="408">
        <v>4951460</v>
      </c>
      <c r="BK99" s="408">
        <v>462239</v>
      </c>
      <c r="BL99" s="408">
        <v>858752</v>
      </c>
      <c r="BM99" s="408">
        <v>630310</v>
      </c>
      <c r="BN99" s="408">
        <v>1248138</v>
      </c>
      <c r="BO99" s="408">
        <v>2512552</v>
      </c>
      <c r="BP99" s="408">
        <v>699368</v>
      </c>
      <c r="BQ99" s="408">
        <v>3462271</v>
      </c>
      <c r="BR99" s="408">
        <v>45011704</v>
      </c>
      <c r="BS99" s="408">
        <v>3097536</v>
      </c>
      <c r="BT99" s="408">
        <v>7648089</v>
      </c>
    </row>
    <row r="100" spans="1:72" s="408" customFormat="1" x14ac:dyDescent="0.3">
      <c r="A100" s="408">
        <v>334</v>
      </c>
      <c r="B100" s="409">
        <v>334</v>
      </c>
      <c r="C100" s="408">
        <v>334</v>
      </c>
      <c r="D100" s="408" t="s">
        <v>276</v>
      </c>
      <c r="E100" s="408" t="s">
        <v>417</v>
      </c>
      <c r="F100" s="408">
        <v>18576599</v>
      </c>
      <c r="G100" s="408">
        <v>20499939</v>
      </c>
      <c r="H100" s="408">
        <v>1358826</v>
      </c>
      <c r="I100" s="408">
        <v>29162349</v>
      </c>
      <c r="J100" s="408">
        <v>149357</v>
      </c>
      <c r="K100" s="408">
        <v>3268833</v>
      </c>
      <c r="L100" s="408">
        <v>6660238</v>
      </c>
      <c r="M100" s="408">
        <v>689707</v>
      </c>
      <c r="N100" s="408">
        <v>570702081</v>
      </c>
      <c r="O100" s="408">
        <v>26235</v>
      </c>
      <c r="P100" s="408">
        <v>16075392</v>
      </c>
      <c r="Q100" s="408">
        <v>940927</v>
      </c>
      <c r="R100" s="408">
        <v>65640000</v>
      </c>
      <c r="S100" s="408">
        <v>417954111</v>
      </c>
      <c r="T100" s="408">
        <v>0</v>
      </c>
      <c r="U100" s="408">
        <v>1452415</v>
      </c>
      <c r="V100" s="408">
        <v>9618962</v>
      </c>
      <c r="W100" s="408">
        <v>2665034</v>
      </c>
      <c r="X100" s="408">
        <v>1080828</v>
      </c>
      <c r="Y100" s="408">
        <v>714323</v>
      </c>
      <c r="Z100" s="408">
        <v>11392978</v>
      </c>
      <c r="AA100" s="408">
        <v>0</v>
      </c>
      <c r="AB100" s="408">
        <v>0</v>
      </c>
      <c r="AC100" s="408">
        <v>3318570</v>
      </c>
      <c r="AD100" s="408">
        <v>27227008</v>
      </c>
      <c r="AE100" s="408">
        <v>5587924</v>
      </c>
      <c r="AF100" s="408">
        <v>603040</v>
      </c>
      <c r="AG100" s="408">
        <v>376103</v>
      </c>
      <c r="AH100" s="408">
        <v>62935</v>
      </c>
      <c r="AI100" s="408">
        <v>12492978</v>
      </c>
      <c r="AJ100" s="408">
        <v>15775998</v>
      </c>
      <c r="AK100" s="408">
        <v>5206280</v>
      </c>
      <c r="AL100" s="408">
        <v>0</v>
      </c>
      <c r="AM100" s="408">
        <v>0</v>
      </c>
      <c r="AN100" s="408">
        <v>1346660</v>
      </c>
      <c r="AO100" s="408">
        <v>11511929</v>
      </c>
      <c r="AP100" s="408">
        <v>7596344</v>
      </c>
      <c r="AQ100" s="408">
        <v>16725004</v>
      </c>
      <c r="AR100" s="408">
        <v>1027011</v>
      </c>
      <c r="AS100" s="408">
        <v>2262587</v>
      </c>
      <c r="AT100" s="408">
        <v>3882621</v>
      </c>
      <c r="AU100" s="408">
        <v>6480882</v>
      </c>
      <c r="AV100" s="408">
        <v>4887100</v>
      </c>
      <c r="AW100" s="408">
        <v>0</v>
      </c>
      <c r="AX100" s="408">
        <v>15800581</v>
      </c>
      <c r="AY100" s="408">
        <v>4566069</v>
      </c>
      <c r="AZ100" s="408">
        <v>27928814</v>
      </c>
      <c r="BA100" s="408">
        <v>83401</v>
      </c>
      <c r="BB100" s="408">
        <v>344051</v>
      </c>
      <c r="BC100" s="408">
        <v>7281782</v>
      </c>
      <c r="BD100" s="408">
        <v>4554592</v>
      </c>
      <c r="BE100" s="408">
        <v>206786</v>
      </c>
      <c r="BF100" s="408">
        <v>620157</v>
      </c>
      <c r="BG100" s="408">
        <v>24427161</v>
      </c>
      <c r="BH100" s="408">
        <v>891100</v>
      </c>
      <c r="BI100" s="408">
        <v>2279080</v>
      </c>
      <c r="BJ100" s="408">
        <v>15307262</v>
      </c>
      <c r="BK100" s="408">
        <v>722009</v>
      </c>
      <c r="BL100" s="408">
        <v>1746536</v>
      </c>
      <c r="BM100" s="408">
        <v>726545</v>
      </c>
      <c r="BN100" s="408">
        <v>465615</v>
      </c>
      <c r="BO100" s="408">
        <v>5985323</v>
      </c>
      <c r="BP100" s="408">
        <v>458359</v>
      </c>
      <c r="BQ100" s="408">
        <v>8374765</v>
      </c>
      <c r="BR100" s="408">
        <v>126026791</v>
      </c>
      <c r="BS100" s="408">
        <v>5831293</v>
      </c>
      <c r="BT100" s="408">
        <v>17669296</v>
      </c>
    </row>
    <row r="101" spans="1:72" s="408" customFormat="1" x14ac:dyDescent="0.3">
      <c r="A101" s="408">
        <v>335</v>
      </c>
      <c r="B101" s="409">
        <v>335</v>
      </c>
      <c r="C101" s="408">
        <v>335</v>
      </c>
      <c r="D101" s="408" t="s">
        <v>117</v>
      </c>
      <c r="E101" s="408" t="s">
        <v>418</v>
      </c>
      <c r="F101" s="408">
        <v>0</v>
      </c>
      <c r="G101" s="408">
        <v>0</v>
      </c>
      <c r="H101" s="408">
        <v>0</v>
      </c>
      <c r="I101" s="408">
        <v>0</v>
      </c>
      <c r="J101" s="408">
        <v>0</v>
      </c>
      <c r="K101" s="408">
        <v>0</v>
      </c>
      <c r="L101" s="408">
        <v>0</v>
      </c>
      <c r="M101" s="408">
        <v>0</v>
      </c>
      <c r="N101" s="408">
        <v>0</v>
      </c>
      <c r="O101" s="408">
        <v>0</v>
      </c>
      <c r="P101" s="408">
        <v>1039</v>
      </c>
      <c r="Q101" s="408">
        <v>0</v>
      </c>
      <c r="R101" s="408">
        <v>343935</v>
      </c>
      <c r="S101" s="408">
        <v>828578</v>
      </c>
      <c r="T101" s="408">
        <v>0</v>
      </c>
      <c r="U101" s="408">
        <v>0</v>
      </c>
      <c r="V101" s="408">
        <v>0</v>
      </c>
      <c r="W101" s="408">
        <v>0</v>
      </c>
      <c r="X101" s="408">
        <v>0</v>
      </c>
      <c r="Y101" s="408">
        <v>0</v>
      </c>
      <c r="Z101" s="408">
        <v>0</v>
      </c>
      <c r="AA101" s="408">
        <v>0</v>
      </c>
      <c r="AB101" s="408">
        <v>0</v>
      </c>
      <c r="AC101" s="408">
        <v>0</v>
      </c>
      <c r="AD101" s="408">
        <v>0</v>
      </c>
      <c r="AE101" s="408">
        <v>0</v>
      </c>
      <c r="AF101" s="408">
        <v>0</v>
      </c>
      <c r="AG101" s="408">
        <v>0</v>
      </c>
      <c r="AH101" s="408">
        <v>0</v>
      </c>
      <c r="AI101" s="408">
        <v>37270</v>
      </c>
      <c r="AJ101" s="408">
        <v>0</v>
      </c>
      <c r="AK101" s="408">
        <v>0</v>
      </c>
      <c r="AL101" s="408">
        <v>0</v>
      </c>
      <c r="AM101" s="408">
        <v>0</v>
      </c>
      <c r="AN101" s="408">
        <v>0</v>
      </c>
      <c r="AO101" s="408">
        <v>0</v>
      </c>
      <c r="AP101" s="408">
        <v>0</v>
      </c>
      <c r="AQ101" s="408">
        <v>0</v>
      </c>
      <c r="AR101" s="408">
        <v>0</v>
      </c>
      <c r="AS101" s="408">
        <v>3</v>
      </c>
      <c r="AT101" s="408">
        <v>0</v>
      </c>
      <c r="AU101" s="408">
        <v>0</v>
      </c>
      <c r="AV101" s="408">
        <v>0</v>
      </c>
      <c r="AW101" s="408">
        <v>0</v>
      </c>
      <c r="AX101" s="408">
        <v>0</v>
      </c>
      <c r="AY101" s="408">
        <v>0</v>
      </c>
      <c r="AZ101" s="408">
        <v>0</v>
      </c>
      <c r="BA101" s="408">
        <v>0</v>
      </c>
      <c r="BB101" s="408">
        <v>0</v>
      </c>
      <c r="BC101" s="408">
        <v>0</v>
      </c>
      <c r="BD101" s="408">
        <v>0</v>
      </c>
      <c r="BE101" s="408">
        <v>0</v>
      </c>
      <c r="BF101" s="408">
        <v>0</v>
      </c>
      <c r="BG101" s="408">
        <v>0</v>
      </c>
      <c r="BH101" s="408">
        <v>0</v>
      </c>
      <c r="BI101" s="408">
        <v>0</v>
      </c>
      <c r="BJ101" s="408">
        <v>0</v>
      </c>
      <c r="BK101" s="408">
        <v>0</v>
      </c>
      <c r="BL101" s="408">
        <v>0</v>
      </c>
      <c r="BM101" s="408">
        <v>0</v>
      </c>
      <c r="BN101" s="408">
        <v>0</v>
      </c>
      <c r="BO101" s="408">
        <v>0</v>
      </c>
      <c r="BP101" s="408">
        <v>0</v>
      </c>
      <c r="BQ101" s="408">
        <v>0</v>
      </c>
      <c r="BR101" s="408">
        <v>0</v>
      </c>
      <c r="BS101" s="408">
        <v>5693</v>
      </c>
      <c r="BT101" s="408">
        <v>675</v>
      </c>
    </row>
    <row r="102" spans="1:72" s="408" customFormat="1" x14ac:dyDescent="0.3">
      <c r="A102" s="408">
        <v>336</v>
      </c>
      <c r="B102" s="409"/>
      <c r="C102" s="408">
        <v>336</v>
      </c>
      <c r="D102" s="408" t="s">
        <v>637</v>
      </c>
      <c r="E102" s="408" t="s">
        <v>419</v>
      </c>
      <c r="F102" s="408">
        <v>1233464</v>
      </c>
      <c r="G102" s="408">
        <v>435633</v>
      </c>
      <c r="H102" s="408">
        <v>17918</v>
      </c>
      <c r="I102" s="408">
        <v>3084515</v>
      </c>
      <c r="J102" s="408">
        <v>276</v>
      </c>
      <c r="K102" s="408">
        <v>0</v>
      </c>
      <c r="L102" s="408">
        <v>322134</v>
      </c>
      <c r="M102" s="408">
        <v>8968</v>
      </c>
      <c r="N102" s="408">
        <v>12857682</v>
      </c>
      <c r="O102" s="408">
        <v>138</v>
      </c>
      <c r="P102" s="408">
        <v>293871</v>
      </c>
      <c r="Q102" s="408">
        <v>153759</v>
      </c>
      <c r="R102" s="408">
        <v>3050400</v>
      </c>
      <c r="S102" s="408">
        <v>50292647</v>
      </c>
      <c r="T102" s="408">
        <v>0</v>
      </c>
      <c r="U102" s="408">
        <v>3116</v>
      </c>
      <c r="V102" s="408">
        <v>889863</v>
      </c>
      <c r="W102" s="408">
        <v>0</v>
      </c>
      <c r="X102" s="408">
        <v>12430</v>
      </c>
      <c r="Y102" s="408">
        <v>2730</v>
      </c>
      <c r="Z102" s="408">
        <v>0</v>
      </c>
      <c r="AA102" s="408">
        <v>0</v>
      </c>
      <c r="AB102" s="408">
        <v>0</v>
      </c>
      <c r="AC102" s="408">
        <v>5002</v>
      </c>
      <c r="AD102" s="408">
        <v>3633216</v>
      </c>
      <c r="AE102" s="408">
        <v>274015</v>
      </c>
      <c r="AF102" s="408">
        <v>2153</v>
      </c>
      <c r="AG102" s="408">
        <v>17897</v>
      </c>
      <c r="AH102" s="408">
        <v>0</v>
      </c>
      <c r="AI102" s="408">
        <v>1318269</v>
      </c>
      <c r="AJ102" s="408">
        <v>602900</v>
      </c>
      <c r="AK102" s="408">
        <v>139519</v>
      </c>
      <c r="AL102" s="408">
        <v>0</v>
      </c>
      <c r="AM102" s="408">
        <v>0</v>
      </c>
      <c r="AN102" s="408">
        <v>1318</v>
      </c>
      <c r="AO102" s="408">
        <v>76577</v>
      </c>
      <c r="AP102" s="408">
        <v>217125</v>
      </c>
      <c r="AQ102" s="408">
        <v>488838</v>
      </c>
      <c r="AR102" s="408">
        <v>2744</v>
      </c>
      <c r="AS102" s="408">
        <v>10723</v>
      </c>
      <c r="AT102" s="408">
        <v>10487</v>
      </c>
      <c r="AU102" s="408">
        <v>271226</v>
      </c>
      <c r="AV102" s="408">
        <v>52588</v>
      </c>
      <c r="AW102" s="408">
        <v>0</v>
      </c>
      <c r="AX102" s="408">
        <v>1008430</v>
      </c>
      <c r="AY102" s="408">
        <v>153665</v>
      </c>
      <c r="AZ102" s="408">
        <v>2341965</v>
      </c>
      <c r="BA102" s="408">
        <v>130648</v>
      </c>
      <c r="BB102" s="408">
        <v>9821</v>
      </c>
      <c r="BC102" s="408">
        <v>1360051</v>
      </c>
      <c r="BD102" s="408">
        <v>58044</v>
      </c>
      <c r="BE102" s="408">
        <v>1791</v>
      </c>
      <c r="BF102" s="408">
        <v>18090</v>
      </c>
      <c r="BG102" s="408">
        <v>1420845</v>
      </c>
      <c r="BH102" s="408">
        <v>14385</v>
      </c>
      <c r="BI102" s="408">
        <v>66160</v>
      </c>
      <c r="BJ102" s="408">
        <v>747645</v>
      </c>
      <c r="BK102" s="408">
        <v>104368</v>
      </c>
      <c r="BL102" s="408">
        <v>63967</v>
      </c>
      <c r="BM102" s="408">
        <v>8350</v>
      </c>
      <c r="BN102" s="408">
        <v>2710</v>
      </c>
      <c r="BO102" s="408">
        <v>113132</v>
      </c>
      <c r="BP102" s="408">
        <v>0</v>
      </c>
      <c r="BQ102" s="408">
        <v>281019</v>
      </c>
      <c r="BR102" s="408">
        <v>9458529</v>
      </c>
      <c r="BS102" s="408">
        <v>221704</v>
      </c>
      <c r="BT102" s="408">
        <v>952856</v>
      </c>
    </row>
    <row r="103" spans="1:72" s="408" customFormat="1" x14ac:dyDescent="0.3">
      <c r="A103" s="408">
        <v>337</v>
      </c>
      <c r="B103" s="409">
        <v>337</v>
      </c>
      <c r="C103" s="408">
        <v>337</v>
      </c>
      <c r="D103" s="408" t="s">
        <v>254</v>
      </c>
      <c r="E103" s="408" t="s">
        <v>420</v>
      </c>
      <c r="F103" s="408">
        <v>2999577</v>
      </c>
      <c r="G103" s="408">
        <v>5690809</v>
      </c>
      <c r="H103" s="408">
        <v>0</v>
      </c>
      <c r="I103" s="408">
        <v>6675620</v>
      </c>
      <c r="J103" s="408">
        <v>0</v>
      </c>
      <c r="K103" s="408">
        <v>0</v>
      </c>
      <c r="L103" s="408">
        <v>250000</v>
      </c>
      <c r="M103" s="408">
        <v>0</v>
      </c>
      <c r="N103" s="408">
        <v>79263496</v>
      </c>
      <c r="O103" s="408">
        <v>0</v>
      </c>
      <c r="P103" s="408">
        <v>0</v>
      </c>
      <c r="Q103" s="408">
        <v>961334</v>
      </c>
      <c r="R103" s="408">
        <v>2235009</v>
      </c>
      <c r="S103" s="408">
        <v>100662863</v>
      </c>
      <c r="T103" s="408">
        <v>0</v>
      </c>
      <c r="U103" s="408">
        <v>106486</v>
      </c>
      <c r="V103" s="408">
        <v>375653</v>
      </c>
      <c r="W103" s="408">
        <v>63358</v>
      </c>
      <c r="X103" s="408">
        <v>0</v>
      </c>
      <c r="Y103" s="408">
        <v>0</v>
      </c>
      <c r="Z103" s="408">
        <v>778081</v>
      </c>
      <c r="AA103" s="408">
        <v>0</v>
      </c>
      <c r="AB103" s="408">
        <v>0</v>
      </c>
      <c r="AC103" s="408">
        <v>44486</v>
      </c>
      <c r="AD103" s="408">
        <v>18433553</v>
      </c>
      <c r="AE103" s="408">
        <v>1015784</v>
      </c>
      <c r="AF103" s="408">
        <v>0</v>
      </c>
      <c r="AG103" s="408">
        <v>0</v>
      </c>
      <c r="AH103" s="408">
        <v>0</v>
      </c>
      <c r="AI103" s="408">
        <v>7721305</v>
      </c>
      <c r="AJ103" s="408">
        <v>3501898</v>
      </c>
      <c r="AK103" s="408">
        <v>201543</v>
      </c>
      <c r="AL103" s="408">
        <v>0</v>
      </c>
      <c r="AM103" s="408">
        <v>0</v>
      </c>
      <c r="AN103" s="408">
        <v>0</v>
      </c>
      <c r="AO103" s="408">
        <v>1220565</v>
      </c>
      <c r="AP103" s="408">
        <v>0</v>
      </c>
      <c r="AQ103" s="408">
        <v>2116423</v>
      </c>
      <c r="AR103" s="408">
        <v>0</v>
      </c>
      <c r="AS103" s="408">
        <v>221580</v>
      </c>
      <c r="AT103" s="408">
        <v>7184</v>
      </c>
      <c r="AU103" s="408">
        <v>955925</v>
      </c>
      <c r="AV103" s="408">
        <v>144897</v>
      </c>
      <c r="AW103" s="408">
        <v>0</v>
      </c>
      <c r="AX103" s="408">
        <v>1858443</v>
      </c>
      <c r="AY103" s="408">
        <v>1192406</v>
      </c>
      <c r="AZ103" s="408">
        <v>11728007</v>
      </c>
      <c r="BA103" s="408">
        <v>0</v>
      </c>
      <c r="BB103" s="408">
        <v>0</v>
      </c>
      <c r="BC103" s="408">
        <v>2744061</v>
      </c>
      <c r="BD103" s="408">
        <v>409500</v>
      </c>
      <c r="BE103" s="408">
        <v>0</v>
      </c>
      <c r="BF103" s="408">
        <v>0</v>
      </c>
      <c r="BG103" s="408">
        <v>907626</v>
      </c>
      <c r="BH103" s="408">
        <v>0</v>
      </c>
      <c r="BI103" s="408">
        <v>221922</v>
      </c>
      <c r="BJ103" s="408">
        <v>845222</v>
      </c>
      <c r="BK103" s="408">
        <v>10588</v>
      </c>
      <c r="BL103" s="408">
        <v>667743</v>
      </c>
      <c r="BM103" s="408">
        <v>0</v>
      </c>
      <c r="BN103" s="408">
        <v>0</v>
      </c>
      <c r="BO103" s="408">
        <v>0</v>
      </c>
      <c r="BP103" s="408">
        <v>0</v>
      </c>
      <c r="BQ103" s="408">
        <v>717800</v>
      </c>
      <c r="BR103" s="408">
        <v>4868795</v>
      </c>
      <c r="BS103" s="408">
        <v>1582222</v>
      </c>
      <c r="BT103" s="408">
        <v>400000</v>
      </c>
    </row>
    <row r="104" spans="1:72" s="408" customFormat="1" x14ac:dyDescent="0.3">
      <c r="A104" s="408">
        <v>338</v>
      </c>
      <c r="B104" s="409">
        <v>338</v>
      </c>
      <c r="C104" s="408">
        <v>338</v>
      </c>
      <c r="D104" s="408" t="s">
        <v>116</v>
      </c>
      <c r="E104" s="408" t="s">
        <v>421</v>
      </c>
      <c r="F104" s="408">
        <v>10674574</v>
      </c>
      <c r="G104" s="408">
        <v>10983282</v>
      </c>
      <c r="H104" s="408">
        <v>47150</v>
      </c>
      <c r="I104" s="408">
        <v>22699724</v>
      </c>
      <c r="J104" s="408">
        <v>276</v>
      </c>
      <c r="K104" s="408">
        <v>364817</v>
      </c>
      <c r="L104" s="408">
        <v>1611503</v>
      </c>
      <c r="M104" s="408">
        <v>78888</v>
      </c>
      <c r="N104" s="408">
        <v>139164833</v>
      </c>
      <c r="O104" s="408">
        <v>138</v>
      </c>
      <c r="P104" s="408">
        <v>3054921</v>
      </c>
      <c r="Q104" s="408">
        <v>1052322</v>
      </c>
      <c r="R104" s="408">
        <v>29539112</v>
      </c>
      <c r="S104" s="408">
        <v>181890438</v>
      </c>
      <c r="T104" s="408">
        <v>0</v>
      </c>
      <c r="U104" s="408">
        <v>109602</v>
      </c>
      <c r="V104" s="408">
        <v>4366483</v>
      </c>
      <c r="W104" s="408">
        <v>146837</v>
      </c>
      <c r="X104" s="408">
        <v>54633</v>
      </c>
      <c r="Y104" s="408">
        <v>5091</v>
      </c>
      <c r="Z104" s="408">
        <v>3527365</v>
      </c>
      <c r="AA104" s="408">
        <v>0</v>
      </c>
      <c r="AB104" s="408">
        <v>0</v>
      </c>
      <c r="AC104" s="408">
        <v>139007</v>
      </c>
      <c r="AD104" s="408">
        <v>20830038</v>
      </c>
      <c r="AE104" s="408">
        <v>1903494</v>
      </c>
      <c r="AF104" s="408">
        <v>2153</v>
      </c>
      <c r="AG104" s="408">
        <v>25106</v>
      </c>
      <c r="AH104" s="408">
        <v>0</v>
      </c>
      <c r="AI104" s="408">
        <v>10628142</v>
      </c>
      <c r="AJ104" s="408">
        <v>5117675</v>
      </c>
      <c r="AK104" s="408">
        <v>1137750</v>
      </c>
      <c r="AL104" s="408">
        <v>0</v>
      </c>
      <c r="AM104" s="408">
        <v>0</v>
      </c>
      <c r="AN104" s="408">
        <v>1318</v>
      </c>
      <c r="AO104" s="408">
        <v>2563065</v>
      </c>
      <c r="AP104" s="408">
        <v>310113</v>
      </c>
      <c r="AQ104" s="408">
        <v>3713444</v>
      </c>
      <c r="AR104" s="408">
        <v>2744</v>
      </c>
      <c r="AS104" s="408">
        <v>455508</v>
      </c>
      <c r="AT104" s="408">
        <v>355637</v>
      </c>
      <c r="AU104" s="408">
        <v>5707808</v>
      </c>
      <c r="AV104" s="408">
        <v>618703</v>
      </c>
      <c r="AW104" s="408">
        <v>0</v>
      </c>
      <c r="AX104" s="408">
        <v>13875754</v>
      </c>
      <c r="AY104" s="408">
        <v>1709458</v>
      </c>
      <c r="AZ104" s="408">
        <v>21365358</v>
      </c>
      <c r="BA104" s="408">
        <v>130648</v>
      </c>
      <c r="BB104" s="408">
        <v>9821</v>
      </c>
      <c r="BC104" s="408">
        <v>5516560</v>
      </c>
      <c r="BD104" s="408">
        <v>1017412</v>
      </c>
      <c r="BE104" s="408">
        <v>1791</v>
      </c>
      <c r="BF104" s="408">
        <v>19749</v>
      </c>
      <c r="BG104" s="408">
        <v>12145253</v>
      </c>
      <c r="BH104" s="408">
        <v>435452</v>
      </c>
      <c r="BI104" s="408">
        <v>224904</v>
      </c>
      <c r="BJ104" s="408">
        <v>4003503</v>
      </c>
      <c r="BK104" s="408">
        <v>164370</v>
      </c>
      <c r="BL104" s="408">
        <v>963890</v>
      </c>
      <c r="BM104" s="408">
        <v>52735</v>
      </c>
      <c r="BN104" s="408">
        <v>67937</v>
      </c>
      <c r="BO104" s="408">
        <v>563744</v>
      </c>
      <c r="BP104" s="408">
        <v>113625</v>
      </c>
      <c r="BQ104" s="408">
        <v>2011649</v>
      </c>
      <c r="BR104" s="408">
        <v>59816628</v>
      </c>
      <c r="BS104" s="408">
        <v>4419084</v>
      </c>
      <c r="BT104" s="408">
        <v>3383305</v>
      </c>
    </row>
    <row r="105" spans="1:72" s="408" customFormat="1" x14ac:dyDescent="0.3">
      <c r="A105" s="408">
        <v>339</v>
      </c>
      <c r="B105" s="409">
        <v>339</v>
      </c>
      <c r="C105" s="408">
        <v>339</v>
      </c>
      <c r="D105" s="408" t="s">
        <v>190</v>
      </c>
      <c r="E105" s="408" t="s">
        <v>422</v>
      </c>
      <c r="F105" s="408">
        <v>1222145</v>
      </c>
      <c r="G105" s="408">
        <v>758721</v>
      </c>
      <c r="H105" s="408">
        <v>13465</v>
      </c>
      <c r="I105" s="408">
        <v>1803248</v>
      </c>
      <c r="J105" s="408">
        <v>24109</v>
      </c>
      <c r="K105" s="408">
        <v>159418</v>
      </c>
      <c r="L105" s="408">
        <v>772119</v>
      </c>
      <c r="M105" s="408">
        <v>30889</v>
      </c>
      <c r="N105" s="408">
        <v>12241976</v>
      </c>
      <c r="O105" s="408">
        <v>0</v>
      </c>
      <c r="P105" s="408">
        <v>1039644</v>
      </c>
      <c r="Q105" s="408">
        <v>25310</v>
      </c>
      <c r="R105" s="408">
        <v>2424750</v>
      </c>
      <c r="S105" s="408">
        <v>22425636</v>
      </c>
      <c r="T105" s="408">
        <v>0</v>
      </c>
      <c r="U105" s="408">
        <v>49418</v>
      </c>
      <c r="V105" s="408">
        <v>1938538</v>
      </c>
      <c r="W105" s="408">
        <v>106094</v>
      </c>
      <c r="X105" s="408">
        <v>44961</v>
      </c>
      <c r="Y105" s="408">
        <v>13074</v>
      </c>
      <c r="Z105" s="408">
        <v>597226</v>
      </c>
      <c r="AA105" s="408">
        <v>0</v>
      </c>
      <c r="AB105" s="408">
        <v>0</v>
      </c>
      <c r="AC105" s="408">
        <v>9103</v>
      </c>
      <c r="AD105" s="408">
        <v>1433481</v>
      </c>
      <c r="AE105" s="408">
        <v>122701</v>
      </c>
      <c r="AF105" s="408">
        <v>18754</v>
      </c>
      <c r="AG105" s="408">
        <v>38268</v>
      </c>
      <c r="AH105" s="408">
        <v>21152</v>
      </c>
      <c r="AI105" s="408">
        <v>1410686</v>
      </c>
      <c r="AJ105" s="408">
        <v>133833</v>
      </c>
      <c r="AK105" s="408">
        <v>156692</v>
      </c>
      <c r="AL105" s="408">
        <v>0</v>
      </c>
      <c r="AM105" s="408">
        <v>0</v>
      </c>
      <c r="AN105" s="408">
        <v>0</v>
      </c>
      <c r="AO105" s="408">
        <v>783567</v>
      </c>
      <c r="AP105" s="408">
        <v>512652</v>
      </c>
      <c r="AQ105" s="408">
        <v>566238</v>
      </c>
      <c r="AR105" s="408">
        <v>0</v>
      </c>
      <c r="AS105" s="408">
        <v>122295</v>
      </c>
      <c r="AT105" s="408">
        <v>165236</v>
      </c>
      <c r="AU105" s="408">
        <v>21626</v>
      </c>
      <c r="AV105" s="408">
        <v>36135</v>
      </c>
      <c r="AW105" s="408">
        <v>0</v>
      </c>
      <c r="AX105" s="408">
        <v>1694806</v>
      </c>
      <c r="AY105" s="408">
        <v>287353</v>
      </c>
      <c r="AZ105" s="408">
        <v>839017</v>
      </c>
      <c r="BA105" s="408">
        <v>0</v>
      </c>
      <c r="BB105" s="408">
        <v>700</v>
      </c>
      <c r="BC105" s="408">
        <v>272747</v>
      </c>
      <c r="BD105" s="408">
        <v>318302</v>
      </c>
      <c r="BE105" s="408">
        <v>0</v>
      </c>
      <c r="BF105" s="408">
        <v>46639</v>
      </c>
      <c r="BG105" s="408">
        <v>1540373</v>
      </c>
      <c r="BH105" s="408">
        <v>83159</v>
      </c>
      <c r="BI105" s="408">
        <v>52061</v>
      </c>
      <c r="BJ105" s="408">
        <v>1215502</v>
      </c>
      <c r="BK105" s="408">
        <v>9178</v>
      </c>
      <c r="BL105" s="408">
        <v>112902</v>
      </c>
      <c r="BM105" s="408">
        <v>51382</v>
      </c>
      <c r="BN105" s="408">
        <v>78551</v>
      </c>
      <c r="BO105" s="408">
        <v>184150</v>
      </c>
      <c r="BP105" s="408">
        <v>61438</v>
      </c>
      <c r="BQ105" s="408">
        <v>629131</v>
      </c>
      <c r="BR105" s="408">
        <v>7257917</v>
      </c>
      <c r="BS105" s="408">
        <v>60889</v>
      </c>
      <c r="BT105" s="408">
        <v>1074802</v>
      </c>
    </row>
    <row r="106" spans="1:72" s="408" customFormat="1" x14ac:dyDescent="0.3">
      <c r="A106" s="408">
        <v>340</v>
      </c>
      <c r="B106" s="409"/>
      <c r="C106" s="408">
        <v>340</v>
      </c>
      <c r="D106" s="408" t="s">
        <v>638</v>
      </c>
      <c r="E106" s="408" t="s">
        <v>423</v>
      </c>
    </row>
    <row r="107" spans="1:72" s="408" customFormat="1" x14ac:dyDescent="0.3">
      <c r="A107" s="408">
        <v>341</v>
      </c>
      <c r="B107" s="409">
        <v>341</v>
      </c>
      <c r="C107" s="408">
        <v>341</v>
      </c>
      <c r="D107" s="408" t="s">
        <v>193</v>
      </c>
      <c r="E107" s="408" t="s">
        <v>424</v>
      </c>
      <c r="F107" s="408">
        <v>8314913</v>
      </c>
      <c r="G107" s="408">
        <v>4447757</v>
      </c>
      <c r="H107" s="408">
        <v>596443</v>
      </c>
      <c r="I107" s="408">
        <v>13174116</v>
      </c>
      <c r="J107" s="408">
        <v>106277</v>
      </c>
      <c r="K107" s="408">
        <v>1470404</v>
      </c>
      <c r="L107" s="408">
        <v>3504620</v>
      </c>
      <c r="M107" s="408">
        <v>323978</v>
      </c>
      <c r="N107" s="408">
        <v>51170622</v>
      </c>
      <c r="O107" s="408">
        <v>21023</v>
      </c>
      <c r="P107" s="408">
        <v>7096947</v>
      </c>
      <c r="Q107" s="408">
        <v>1307260</v>
      </c>
      <c r="R107" s="408">
        <v>27302758</v>
      </c>
      <c r="S107" s="408">
        <v>117653605</v>
      </c>
      <c r="T107" s="408">
        <v>0</v>
      </c>
      <c r="U107" s="408">
        <v>493976</v>
      </c>
      <c r="V107" s="408">
        <v>4528247</v>
      </c>
      <c r="W107" s="408">
        <v>579715</v>
      </c>
      <c r="X107" s="408">
        <v>358698</v>
      </c>
      <c r="Y107" s="408">
        <v>134797</v>
      </c>
      <c r="Z107" s="408">
        <v>3101650</v>
      </c>
      <c r="AA107" s="408">
        <v>0</v>
      </c>
      <c r="AB107" s="408">
        <v>0</v>
      </c>
      <c r="AC107" s="408">
        <v>239533</v>
      </c>
      <c r="AD107" s="408">
        <v>10182647</v>
      </c>
      <c r="AE107" s="408">
        <v>2196629</v>
      </c>
      <c r="AF107" s="408">
        <v>216068</v>
      </c>
      <c r="AG107" s="408">
        <v>251349</v>
      </c>
      <c r="AH107" s="408">
        <v>28432</v>
      </c>
      <c r="AI107" s="408">
        <v>6882551</v>
      </c>
      <c r="AJ107" s="408">
        <v>6464937</v>
      </c>
      <c r="AK107" s="408">
        <v>1441912</v>
      </c>
      <c r="AL107" s="408">
        <v>0</v>
      </c>
      <c r="AM107" s="408">
        <v>0</v>
      </c>
      <c r="AN107" s="408">
        <v>76812</v>
      </c>
      <c r="AO107" s="408">
        <v>3457626</v>
      </c>
      <c r="AP107" s="408">
        <v>1893190</v>
      </c>
      <c r="AQ107" s="408">
        <v>3507551</v>
      </c>
      <c r="AR107" s="408">
        <v>209562</v>
      </c>
      <c r="AS107" s="408">
        <v>877506</v>
      </c>
      <c r="AT107" s="408">
        <v>802228</v>
      </c>
      <c r="AU107" s="408">
        <v>4117382</v>
      </c>
      <c r="AV107" s="408">
        <v>1733833</v>
      </c>
      <c r="AW107" s="408">
        <v>0</v>
      </c>
      <c r="AX107" s="408">
        <v>7477759</v>
      </c>
      <c r="AY107" s="408">
        <v>983009</v>
      </c>
      <c r="AZ107" s="408">
        <v>8446260</v>
      </c>
      <c r="BA107" s="408">
        <v>52499</v>
      </c>
      <c r="BB107" s="408">
        <v>120617</v>
      </c>
      <c r="BC107" s="408">
        <v>3868425</v>
      </c>
      <c r="BD107" s="408">
        <v>1861263</v>
      </c>
      <c r="BE107" s="408">
        <v>78939</v>
      </c>
      <c r="BF107" s="408">
        <v>328599</v>
      </c>
      <c r="BG107" s="408">
        <v>13758242</v>
      </c>
      <c r="BH107" s="408">
        <v>781715</v>
      </c>
      <c r="BI107" s="408">
        <v>96686</v>
      </c>
      <c r="BJ107" s="408">
        <v>8559446</v>
      </c>
      <c r="BK107" s="408">
        <v>501386</v>
      </c>
      <c r="BL107" s="408">
        <v>755874</v>
      </c>
      <c r="BM107" s="408">
        <v>234529</v>
      </c>
      <c r="BN107" s="408">
        <v>424340</v>
      </c>
      <c r="BO107" s="408">
        <v>1634537</v>
      </c>
      <c r="BP107" s="408">
        <v>367528</v>
      </c>
      <c r="BQ107" s="408">
        <v>3455587</v>
      </c>
      <c r="BR107" s="408">
        <v>50771228</v>
      </c>
      <c r="BS107" s="408">
        <v>1753611</v>
      </c>
      <c r="BT107" s="408">
        <v>5019168</v>
      </c>
    </row>
    <row r="108" spans="1:72" s="408" customFormat="1" x14ac:dyDescent="0.3">
      <c r="A108" s="408">
        <v>342</v>
      </c>
      <c r="B108" s="409"/>
      <c r="C108" s="408">
        <v>342</v>
      </c>
      <c r="D108" s="408" t="s">
        <v>639</v>
      </c>
      <c r="E108" s="408" t="s">
        <v>425</v>
      </c>
    </row>
    <row r="109" spans="1:72" s="408" customFormat="1" x14ac:dyDescent="0.3">
      <c r="A109" s="408">
        <v>343</v>
      </c>
      <c r="B109" s="409">
        <v>343</v>
      </c>
      <c r="C109" s="408">
        <v>343</v>
      </c>
      <c r="D109" s="408" t="s">
        <v>255</v>
      </c>
      <c r="E109" s="408" t="s">
        <v>426</v>
      </c>
      <c r="F109" s="408">
        <v>601286</v>
      </c>
      <c r="G109" s="408">
        <v>290340</v>
      </c>
      <c r="H109" s="408">
        <v>0</v>
      </c>
      <c r="I109" s="408">
        <v>531041</v>
      </c>
      <c r="J109" s="408">
        <v>0</v>
      </c>
      <c r="K109" s="408">
        <v>0</v>
      </c>
      <c r="L109" s="408">
        <v>92385</v>
      </c>
      <c r="M109" s="408">
        <v>0</v>
      </c>
      <c r="N109" s="408">
        <v>6054404</v>
      </c>
      <c r="O109" s="408">
        <v>0</v>
      </c>
      <c r="P109" s="408">
        <v>0</v>
      </c>
      <c r="Q109" s="408">
        <v>110333</v>
      </c>
      <c r="R109" s="408">
        <v>622531</v>
      </c>
      <c r="S109" s="408">
        <v>6553573</v>
      </c>
      <c r="T109" s="408">
        <v>0</v>
      </c>
      <c r="U109" s="408">
        <v>59569</v>
      </c>
      <c r="V109" s="408">
        <v>337315</v>
      </c>
      <c r="W109" s="408">
        <v>43549</v>
      </c>
      <c r="X109" s="408">
        <v>0</v>
      </c>
      <c r="Y109" s="408">
        <v>0</v>
      </c>
      <c r="Z109" s="408">
        <v>277193</v>
      </c>
      <c r="AA109" s="408">
        <v>0</v>
      </c>
      <c r="AB109" s="408">
        <v>0</v>
      </c>
      <c r="AC109" s="408">
        <v>21514</v>
      </c>
      <c r="AD109" s="408">
        <v>3175178</v>
      </c>
      <c r="AE109" s="408">
        <v>144833</v>
      </c>
      <c r="AF109" s="408">
        <v>0</v>
      </c>
      <c r="AG109" s="408">
        <v>0</v>
      </c>
      <c r="AH109" s="408">
        <v>0</v>
      </c>
      <c r="AI109" s="408">
        <v>1380238</v>
      </c>
      <c r="AJ109" s="408">
        <v>58972</v>
      </c>
      <c r="AK109" s="408">
        <v>32221</v>
      </c>
      <c r="AL109" s="408">
        <v>0</v>
      </c>
      <c r="AM109" s="408">
        <v>0</v>
      </c>
      <c r="AN109" s="408">
        <v>0</v>
      </c>
      <c r="AO109" s="408">
        <v>88766</v>
      </c>
      <c r="AP109" s="408">
        <v>0</v>
      </c>
      <c r="AQ109" s="408">
        <v>275493</v>
      </c>
      <c r="AR109" s="408">
        <v>0</v>
      </c>
      <c r="AS109" s="408">
        <v>20609</v>
      </c>
      <c r="AT109" s="408">
        <v>11141</v>
      </c>
      <c r="AU109" s="408">
        <v>148538</v>
      </c>
      <c r="AV109" s="408">
        <v>15358</v>
      </c>
      <c r="AW109" s="408">
        <v>0</v>
      </c>
      <c r="AX109" s="408">
        <v>326977</v>
      </c>
      <c r="AY109" s="408">
        <v>64406</v>
      </c>
      <c r="AZ109" s="408">
        <v>969136</v>
      </c>
      <c r="BA109" s="408">
        <v>0</v>
      </c>
      <c r="BB109" s="408">
        <v>0</v>
      </c>
      <c r="BC109" s="408">
        <v>101396</v>
      </c>
      <c r="BD109" s="408">
        <v>45500</v>
      </c>
      <c r="BE109" s="408">
        <v>0</v>
      </c>
      <c r="BF109" s="408">
        <v>0</v>
      </c>
      <c r="BG109" s="408">
        <v>320669</v>
      </c>
      <c r="BH109" s="408">
        <v>0</v>
      </c>
      <c r="BI109" s="408">
        <v>50000</v>
      </c>
      <c r="BJ109" s="408">
        <v>228813</v>
      </c>
      <c r="BK109" s="408">
        <v>9994</v>
      </c>
      <c r="BL109" s="408">
        <v>27986</v>
      </c>
      <c r="BM109" s="408">
        <v>0</v>
      </c>
      <c r="BN109" s="408">
        <v>0</v>
      </c>
      <c r="BO109" s="408">
        <v>0</v>
      </c>
      <c r="BP109" s="408">
        <v>0</v>
      </c>
      <c r="BQ109" s="408">
        <v>101607</v>
      </c>
      <c r="BR109" s="408">
        <v>2535036</v>
      </c>
      <c r="BS109" s="408">
        <v>17778</v>
      </c>
      <c r="BT109" s="408">
        <v>401555</v>
      </c>
    </row>
    <row r="110" spans="1:72" s="408" customFormat="1" x14ac:dyDescent="0.3">
      <c r="A110" s="408">
        <v>344</v>
      </c>
      <c r="B110" s="409">
        <v>344</v>
      </c>
      <c r="C110" s="408">
        <v>344</v>
      </c>
      <c r="D110" s="408" t="s">
        <v>188</v>
      </c>
      <c r="E110" s="408" t="s">
        <v>427</v>
      </c>
      <c r="F110" s="408">
        <v>38002</v>
      </c>
      <c r="G110" s="408">
        <v>202803</v>
      </c>
      <c r="H110" s="408">
        <v>0</v>
      </c>
      <c r="I110" s="408">
        <v>228266</v>
      </c>
      <c r="J110" s="408">
        <v>0</v>
      </c>
      <c r="K110" s="408">
        <v>0</v>
      </c>
      <c r="L110" s="408">
        <v>9900</v>
      </c>
      <c r="M110" s="408">
        <v>0</v>
      </c>
      <c r="N110" s="408">
        <v>1743437</v>
      </c>
      <c r="O110" s="408">
        <v>0</v>
      </c>
      <c r="P110" s="408">
        <v>0</v>
      </c>
      <c r="Q110" s="408">
        <v>34911</v>
      </c>
      <c r="R110" s="408">
        <v>38981</v>
      </c>
      <c r="S110" s="408">
        <v>2550634</v>
      </c>
      <c r="T110" s="408">
        <v>0</v>
      </c>
      <c r="U110" s="408">
        <v>4868</v>
      </c>
      <c r="V110" s="408">
        <v>16117</v>
      </c>
      <c r="W110" s="408">
        <v>3529</v>
      </c>
      <c r="X110" s="408">
        <v>0</v>
      </c>
      <c r="Y110" s="408">
        <v>0</v>
      </c>
      <c r="Z110" s="408">
        <v>25023</v>
      </c>
      <c r="AA110" s="408">
        <v>0</v>
      </c>
      <c r="AB110" s="408">
        <v>0</v>
      </c>
      <c r="AC110" s="408">
        <v>1485</v>
      </c>
      <c r="AD110" s="408">
        <v>651609</v>
      </c>
      <c r="AE110" s="408">
        <v>15523</v>
      </c>
      <c r="AF110" s="408">
        <v>0</v>
      </c>
      <c r="AG110" s="408">
        <v>2385</v>
      </c>
      <c r="AH110" s="408">
        <v>0</v>
      </c>
      <c r="AI110" s="408">
        <v>122852</v>
      </c>
      <c r="AJ110" s="408">
        <v>34248</v>
      </c>
      <c r="AK110" s="408">
        <v>5245</v>
      </c>
      <c r="AL110" s="408">
        <v>0</v>
      </c>
      <c r="AM110" s="408">
        <v>0</v>
      </c>
      <c r="AN110" s="408">
        <v>0</v>
      </c>
      <c r="AO110" s="408">
        <v>42355</v>
      </c>
      <c r="AP110" s="408">
        <v>0</v>
      </c>
      <c r="AQ110" s="408">
        <v>46827</v>
      </c>
      <c r="AR110" s="408">
        <v>0</v>
      </c>
      <c r="AS110" s="408">
        <v>8779</v>
      </c>
      <c r="AT110" s="408">
        <v>1121</v>
      </c>
      <c r="AU110" s="408">
        <v>46898</v>
      </c>
      <c r="AV110" s="408">
        <v>12664</v>
      </c>
      <c r="AW110" s="408">
        <v>0</v>
      </c>
      <c r="AX110" s="408">
        <v>52493</v>
      </c>
      <c r="AY110" s="408">
        <v>28099</v>
      </c>
      <c r="AZ110" s="408">
        <v>307723</v>
      </c>
      <c r="BA110" s="408">
        <v>0</v>
      </c>
      <c r="BB110" s="408">
        <v>0</v>
      </c>
      <c r="BC110" s="408">
        <v>30504</v>
      </c>
      <c r="BD110" s="408">
        <v>12732</v>
      </c>
      <c r="BE110" s="408">
        <v>0</v>
      </c>
      <c r="BF110" s="408">
        <v>0</v>
      </c>
      <c r="BG110" s="408">
        <v>15963</v>
      </c>
      <c r="BH110" s="408">
        <v>0</v>
      </c>
      <c r="BI110" s="408">
        <v>2818</v>
      </c>
      <c r="BJ110" s="408">
        <v>17632</v>
      </c>
      <c r="BK110" s="408">
        <v>1225</v>
      </c>
      <c r="BL110" s="408">
        <v>17548</v>
      </c>
      <c r="BM110" s="408">
        <v>0</v>
      </c>
      <c r="BN110" s="408">
        <v>0</v>
      </c>
      <c r="BO110" s="408">
        <v>0</v>
      </c>
      <c r="BP110" s="408">
        <v>0</v>
      </c>
      <c r="BQ110" s="408">
        <v>44506</v>
      </c>
      <c r="BR110" s="408">
        <v>86155</v>
      </c>
      <c r="BS110" s="408">
        <v>8083</v>
      </c>
      <c r="BT110" s="408">
        <v>23852</v>
      </c>
    </row>
    <row r="111" spans="1:72" s="408" customFormat="1" x14ac:dyDescent="0.3">
      <c r="A111" s="408">
        <v>346</v>
      </c>
      <c r="B111" s="409"/>
      <c r="C111" s="408">
        <v>346</v>
      </c>
      <c r="D111" s="408" t="s">
        <v>640</v>
      </c>
      <c r="E111" s="408" t="s">
        <v>428</v>
      </c>
    </row>
    <row r="112" spans="1:72" s="408" customFormat="1" x14ac:dyDescent="0.3">
      <c r="A112" s="408">
        <v>347</v>
      </c>
      <c r="B112" s="409"/>
      <c r="C112" s="408">
        <v>347</v>
      </c>
      <c r="D112" s="408" t="s">
        <v>641</v>
      </c>
      <c r="E112" s="408" t="s">
        <v>429</v>
      </c>
    </row>
    <row r="113" spans="1:72" s="408" customFormat="1" x14ac:dyDescent="0.3">
      <c r="A113" s="408">
        <v>349</v>
      </c>
      <c r="B113" s="409">
        <v>349</v>
      </c>
      <c r="C113" s="408">
        <v>349</v>
      </c>
      <c r="D113" s="408" t="s">
        <v>122</v>
      </c>
      <c r="E113" s="408" t="s">
        <v>430</v>
      </c>
      <c r="F113" s="408">
        <v>1400638</v>
      </c>
      <c r="G113" s="408">
        <v>13146449</v>
      </c>
      <c r="H113" s="408">
        <v>162704</v>
      </c>
      <c r="I113" s="408">
        <v>31649695</v>
      </c>
      <c r="J113" s="408">
        <v>0</v>
      </c>
      <c r="K113" s="408">
        <v>2014714</v>
      </c>
      <c r="L113" s="408">
        <v>5803446</v>
      </c>
      <c r="M113" s="408">
        <v>529799</v>
      </c>
      <c r="N113" s="408">
        <v>56778909</v>
      </c>
      <c r="O113" s="408">
        <v>0</v>
      </c>
      <c r="P113" s="408">
        <v>4836405</v>
      </c>
      <c r="Q113" s="408">
        <v>0</v>
      </c>
      <c r="R113" s="408">
        <v>12169714</v>
      </c>
      <c r="S113" s="408">
        <v>90115317</v>
      </c>
      <c r="T113" s="408">
        <v>0</v>
      </c>
      <c r="U113" s="408">
        <v>658500</v>
      </c>
      <c r="V113" s="408">
        <v>490024</v>
      </c>
      <c r="W113" s="408">
        <v>622824</v>
      </c>
      <c r="X113" s="408">
        <v>55682</v>
      </c>
      <c r="Y113" s="408">
        <v>15731</v>
      </c>
      <c r="Z113" s="408">
        <v>6575721</v>
      </c>
      <c r="AA113" s="408">
        <v>0</v>
      </c>
      <c r="AB113" s="408">
        <v>0</v>
      </c>
      <c r="AC113" s="408">
        <v>466059</v>
      </c>
      <c r="AD113" s="408">
        <v>1032089</v>
      </c>
      <c r="AE113" s="408">
        <v>231257</v>
      </c>
      <c r="AF113" s="408">
        <v>1122957</v>
      </c>
      <c r="AG113" s="408">
        <v>0</v>
      </c>
      <c r="AH113" s="408">
        <v>0</v>
      </c>
      <c r="AI113" s="408">
        <v>10827209</v>
      </c>
      <c r="AJ113" s="408">
        <v>6213197</v>
      </c>
      <c r="AK113" s="408">
        <v>2819944</v>
      </c>
      <c r="AL113" s="408">
        <v>0</v>
      </c>
      <c r="AM113" s="408">
        <v>0</v>
      </c>
      <c r="AN113" s="408">
        <v>0</v>
      </c>
      <c r="AO113" s="408">
        <v>6715414</v>
      </c>
      <c r="AP113" s="408">
        <v>83</v>
      </c>
      <c r="AQ113" s="408">
        <v>6534234</v>
      </c>
      <c r="AR113" s="408">
        <v>0</v>
      </c>
      <c r="AS113" s="408">
        <v>4187485</v>
      </c>
      <c r="AT113" s="408">
        <v>2952616</v>
      </c>
      <c r="AU113" s="408">
        <v>78119</v>
      </c>
      <c r="AV113" s="408">
        <v>1273821</v>
      </c>
      <c r="AW113" s="408">
        <v>0</v>
      </c>
      <c r="AX113" s="408">
        <v>3080037</v>
      </c>
      <c r="AY113" s="408">
        <v>206928</v>
      </c>
      <c r="AZ113" s="408">
        <v>5317772</v>
      </c>
      <c r="BA113" s="408">
        <v>0</v>
      </c>
      <c r="BB113" s="408">
        <v>0</v>
      </c>
      <c r="BC113" s="408">
        <v>0</v>
      </c>
      <c r="BD113" s="408">
        <v>1160143</v>
      </c>
      <c r="BE113" s="408">
        <v>0</v>
      </c>
      <c r="BF113" s="408">
        <v>13869</v>
      </c>
      <c r="BG113" s="408">
        <v>35144018</v>
      </c>
      <c r="BH113" s="408">
        <v>2681571</v>
      </c>
      <c r="BI113" s="408">
        <v>79554</v>
      </c>
      <c r="BJ113" s="408">
        <v>21919698</v>
      </c>
      <c r="BK113" s="408">
        <v>226183</v>
      </c>
      <c r="BL113" s="408">
        <v>224463</v>
      </c>
      <c r="BM113" s="408">
        <v>0</v>
      </c>
      <c r="BN113" s="408">
        <v>5046</v>
      </c>
      <c r="BO113" s="408">
        <v>2651190</v>
      </c>
      <c r="BP113" s="408">
        <v>1488179</v>
      </c>
      <c r="BQ113" s="408">
        <v>3269316</v>
      </c>
      <c r="BR113" s="408">
        <v>37876292</v>
      </c>
      <c r="BS113" s="408">
        <v>3202789</v>
      </c>
      <c r="BT113" s="408">
        <v>0</v>
      </c>
    </row>
    <row r="114" spans="1:72" s="408" customFormat="1" x14ac:dyDescent="0.3">
      <c r="A114" s="408">
        <v>350</v>
      </c>
      <c r="B114" s="409">
        <v>350</v>
      </c>
      <c r="C114" s="408">
        <v>350</v>
      </c>
      <c r="D114" s="408" t="s">
        <v>231</v>
      </c>
      <c r="E114" s="408" t="s">
        <v>431</v>
      </c>
      <c r="F114" s="408">
        <v>124219</v>
      </c>
      <c r="G114" s="408">
        <v>68103</v>
      </c>
      <c r="H114" s="408">
        <v>2560</v>
      </c>
      <c r="I114" s="408">
        <v>170706</v>
      </c>
      <c r="J114" s="408">
        <v>0</v>
      </c>
      <c r="K114" s="408">
        <v>1</v>
      </c>
      <c r="L114" s="408">
        <v>62560</v>
      </c>
      <c r="M114" s="408">
        <v>17729</v>
      </c>
      <c r="N114" s="408">
        <v>1310712</v>
      </c>
      <c r="O114" s="408">
        <v>0</v>
      </c>
      <c r="P114" s="408">
        <v>108445</v>
      </c>
      <c r="Q114" s="408">
        <v>0</v>
      </c>
      <c r="R114" s="408">
        <v>276808</v>
      </c>
      <c r="S114" s="408">
        <v>1960293</v>
      </c>
      <c r="T114" s="408">
        <v>0</v>
      </c>
      <c r="U114" s="408">
        <v>0</v>
      </c>
      <c r="V114" s="408">
        <v>16530</v>
      </c>
      <c r="W114" s="408">
        <v>2029</v>
      </c>
      <c r="X114" s="408">
        <v>43</v>
      </c>
      <c r="Y114" s="408">
        <v>2</v>
      </c>
      <c r="Z114" s="408">
        <v>511031</v>
      </c>
      <c r="AA114" s="408">
        <v>0</v>
      </c>
      <c r="AB114" s="408">
        <v>0</v>
      </c>
      <c r="AC114" s="408">
        <v>12</v>
      </c>
      <c r="AD114" s="408">
        <v>121721</v>
      </c>
      <c r="AE114" s="408">
        <v>2427</v>
      </c>
      <c r="AF114" s="408">
        <v>112</v>
      </c>
      <c r="AG114" s="408">
        <v>0</v>
      </c>
      <c r="AH114" s="408">
        <v>0</v>
      </c>
      <c r="AI114" s="408">
        <v>89956</v>
      </c>
      <c r="AJ114" s="408">
        <v>17773</v>
      </c>
      <c r="AK114" s="408">
        <v>0</v>
      </c>
      <c r="AL114" s="408">
        <v>0</v>
      </c>
      <c r="AM114" s="408">
        <v>0</v>
      </c>
      <c r="AN114" s="408">
        <v>0</v>
      </c>
      <c r="AO114" s="408">
        <v>220164</v>
      </c>
      <c r="AP114" s="408">
        <v>850</v>
      </c>
      <c r="AQ114" s="408">
        <v>986</v>
      </c>
      <c r="AR114" s="408">
        <v>0</v>
      </c>
      <c r="AS114" s="408">
        <v>16000</v>
      </c>
      <c r="AT114" s="408">
        <v>33482</v>
      </c>
      <c r="AU114" s="408">
        <v>1262</v>
      </c>
      <c r="AV114" s="408">
        <v>8235</v>
      </c>
      <c r="AW114" s="408">
        <v>0</v>
      </c>
      <c r="AX114" s="408">
        <v>35075</v>
      </c>
      <c r="AY114" s="408">
        <v>6807</v>
      </c>
      <c r="AZ114" s="408">
        <v>66269</v>
      </c>
      <c r="BA114" s="408">
        <v>204505</v>
      </c>
      <c r="BB114" s="408">
        <v>0</v>
      </c>
      <c r="BC114" s="408">
        <v>0</v>
      </c>
      <c r="BD114" s="408">
        <v>27147</v>
      </c>
      <c r="BE114" s="408">
        <v>0</v>
      </c>
      <c r="BF114" s="408">
        <v>54166</v>
      </c>
      <c r="BG114" s="408">
        <v>205239</v>
      </c>
      <c r="BH114" s="408">
        <v>79</v>
      </c>
      <c r="BI114" s="408">
        <v>3829</v>
      </c>
      <c r="BJ114" s="408">
        <v>0</v>
      </c>
      <c r="BK114" s="408">
        <v>33669</v>
      </c>
      <c r="BL114" s="408">
        <v>1893</v>
      </c>
      <c r="BM114" s="408">
        <v>0</v>
      </c>
      <c r="BN114" s="408">
        <v>0</v>
      </c>
      <c r="BO114" s="408">
        <v>50744</v>
      </c>
      <c r="BP114" s="408">
        <v>185489</v>
      </c>
      <c r="BQ114" s="408">
        <v>15166</v>
      </c>
      <c r="BR114" s="408">
        <v>934668</v>
      </c>
      <c r="BS114" s="408">
        <v>1163</v>
      </c>
      <c r="BT114" s="408">
        <v>0</v>
      </c>
    </row>
    <row r="115" spans="1:72" s="408" customFormat="1" x14ac:dyDescent="0.3">
      <c r="A115" s="408">
        <v>351</v>
      </c>
      <c r="B115" s="409">
        <v>351</v>
      </c>
      <c r="C115" s="408">
        <v>351</v>
      </c>
      <c r="D115" s="408" t="s">
        <v>232</v>
      </c>
      <c r="E115" s="408" t="s">
        <v>432</v>
      </c>
      <c r="F115" s="408">
        <v>0</v>
      </c>
      <c r="G115" s="408">
        <v>474019</v>
      </c>
      <c r="H115" s="408">
        <v>0</v>
      </c>
      <c r="I115" s="408">
        <v>325136</v>
      </c>
      <c r="J115" s="408">
        <v>0</v>
      </c>
      <c r="K115" s="408">
        <v>2340</v>
      </c>
      <c r="L115" s="408">
        <v>175972</v>
      </c>
      <c r="M115" s="408">
        <v>27195</v>
      </c>
      <c r="N115" s="408">
        <v>1478756</v>
      </c>
      <c r="O115" s="408">
        <v>0</v>
      </c>
      <c r="P115" s="408">
        <v>113289</v>
      </c>
      <c r="Q115" s="408">
        <v>0</v>
      </c>
      <c r="R115" s="408">
        <v>81603</v>
      </c>
      <c r="S115" s="408">
        <v>4491368</v>
      </c>
      <c r="T115" s="408">
        <v>0</v>
      </c>
      <c r="U115" s="408">
        <v>18494</v>
      </c>
      <c r="V115" s="408">
        <v>4369</v>
      </c>
      <c r="W115" s="408">
        <v>0</v>
      </c>
      <c r="X115" s="408">
        <v>0</v>
      </c>
      <c r="Y115" s="408">
        <v>0</v>
      </c>
      <c r="Z115" s="408">
        <v>190680</v>
      </c>
      <c r="AA115" s="408">
        <v>0</v>
      </c>
      <c r="AB115" s="408">
        <v>0</v>
      </c>
      <c r="AC115" s="408">
        <v>10473</v>
      </c>
      <c r="AD115" s="408">
        <v>19610</v>
      </c>
      <c r="AE115" s="408">
        <v>5336</v>
      </c>
      <c r="AF115" s="408">
        <v>6001</v>
      </c>
      <c r="AG115" s="408">
        <v>0</v>
      </c>
      <c r="AH115" s="408">
        <v>0</v>
      </c>
      <c r="AI115" s="408">
        <v>350429</v>
      </c>
      <c r="AJ115" s="408">
        <v>152094</v>
      </c>
      <c r="AK115" s="408">
        <v>96947</v>
      </c>
      <c r="AL115" s="408">
        <v>0</v>
      </c>
      <c r="AM115" s="408">
        <v>0</v>
      </c>
      <c r="AN115" s="408">
        <v>0</v>
      </c>
      <c r="AO115" s="408">
        <v>106964</v>
      </c>
      <c r="AP115" s="408">
        <v>0</v>
      </c>
      <c r="AQ115" s="408">
        <v>42575</v>
      </c>
      <c r="AR115" s="408">
        <v>0</v>
      </c>
      <c r="AS115" s="408">
        <v>132668</v>
      </c>
      <c r="AT115" s="408">
        <v>104600</v>
      </c>
      <c r="AU115" s="408">
        <v>0</v>
      </c>
      <c r="AV115" s="408">
        <v>1154</v>
      </c>
      <c r="AW115" s="408">
        <v>0</v>
      </c>
      <c r="AX115" s="408">
        <v>67135</v>
      </c>
      <c r="AY115" s="408">
        <v>0</v>
      </c>
      <c r="AZ115" s="408">
        <v>113632</v>
      </c>
      <c r="BA115" s="408">
        <v>0</v>
      </c>
      <c r="BB115" s="408">
        <v>0</v>
      </c>
      <c r="BC115" s="408">
        <v>604685</v>
      </c>
      <c r="BD115" s="408">
        <v>31158</v>
      </c>
      <c r="BE115" s="408">
        <v>0</v>
      </c>
      <c r="BF115" s="408">
        <v>807</v>
      </c>
      <c r="BG115" s="408">
        <v>900805</v>
      </c>
      <c r="BH115" s="408">
        <v>0</v>
      </c>
      <c r="BI115" s="408">
        <v>1972</v>
      </c>
      <c r="BJ115" s="408">
        <v>281821</v>
      </c>
      <c r="BK115" s="408">
        <v>6068</v>
      </c>
      <c r="BL115" s="408">
        <v>6625</v>
      </c>
      <c r="BM115" s="408">
        <v>0</v>
      </c>
      <c r="BN115" s="408">
        <v>0</v>
      </c>
      <c r="BO115" s="408">
        <v>57018</v>
      </c>
      <c r="BP115" s="408">
        <v>3984</v>
      </c>
      <c r="BQ115" s="408">
        <v>49803</v>
      </c>
      <c r="BR115" s="408">
        <v>1348568</v>
      </c>
      <c r="BS115" s="408">
        <v>5104</v>
      </c>
      <c r="BT115" s="408">
        <v>0</v>
      </c>
    </row>
    <row r="116" spans="1:72" s="408" customFormat="1" x14ac:dyDescent="0.3">
      <c r="A116" s="408">
        <v>352</v>
      </c>
      <c r="B116" s="409">
        <v>352</v>
      </c>
      <c r="C116" s="408">
        <v>352</v>
      </c>
      <c r="D116" s="408" t="s">
        <v>234</v>
      </c>
      <c r="E116" s="408" t="s">
        <v>433</v>
      </c>
      <c r="F116" s="408">
        <v>0</v>
      </c>
      <c r="G116" s="408">
        <v>721862</v>
      </c>
      <c r="H116" s="408">
        <v>0</v>
      </c>
      <c r="I116" s="408">
        <v>0</v>
      </c>
      <c r="J116" s="408">
        <v>0</v>
      </c>
      <c r="K116" s="408">
        <v>0</v>
      </c>
      <c r="L116" s="408">
        <v>0</v>
      </c>
      <c r="M116" s="408">
        <v>0</v>
      </c>
      <c r="N116" s="408">
        <v>0</v>
      </c>
      <c r="O116" s="408">
        <v>0</v>
      </c>
      <c r="P116" s="408">
        <v>0</v>
      </c>
      <c r="Q116" s="408">
        <v>0</v>
      </c>
      <c r="R116" s="408">
        <v>0</v>
      </c>
      <c r="S116" s="408">
        <v>100224</v>
      </c>
      <c r="T116" s="408">
        <v>0</v>
      </c>
      <c r="U116" s="408">
        <v>0</v>
      </c>
      <c r="V116" s="408">
        <v>0</v>
      </c>
      <c r="W116" s="408">
        <v>0</v>
      </c>
      <c r="X116" s="408">
        <v>0</v>
      </c>
      <c r="Y116" s="408">
        <v>0</v>
      </c>
      <c r="Z116" s="408">
        <v>0</v>
      </c>
      <c r="AA116" s="408">
        <v>0</v>
      </c>
      <c r="AB116" s="408">
        <v>0</v>
      </c>
      <c r="AC116" s="408">
        <v>0</v>
      </c>
      <c r="AD116" s="408">
        <v>0</v>
      </c>
      <c r="AE116" s="408">
        <v>0</v>
      </c>
      <c r="AF116" s="408">
        <v>0</v>
      </c>
      <c r="AG116" s="408">
        <v>0</v>
      </c>
      <c r="AH116" s="408">
        <v>0</v>
      </c>
      <c r="AI116" s="408">
        <v>0</v>
      </c>
      <c r="AJ116" s="408">
        <v>0</v>
      </c>
      <c r="AK116" s="408">
        <v>0</v>
      </c>
      <c r="AL116" s="408">
        <v>0</v>
      </c>
      <c r="AM116" s="408">
        <v>0</v>
      </c>
      <c r="AN116" s="408">
        <v>0</v>
      </c>
      <c r="AO116" s="408">
        <v>0</v>
      </c>
      <c r="AP116" s="408">
        <v>0</v>
      </c>
      <c r="AQ116" s="408">
        <v>0</v>
      </c>
      <c r="AR116" s="408">
        <v>0</v>
      </c>
      <c r="AS116" s="408">
        <v>0</v>
      </c>
      <c r="AT116" s="408">
        <v>0</v>
      </c>
      <c r="AU116" s="408">
        <v>0</v>
      </c>
      <c r="AV116" s="408">
        <v>0</v>
      </c>
      <c r="AW116" s="408">
        <v>0</v>
      </c>
      <c r="AX116" s="408">
        <v>0</v>
      </c>
      <c r="AY116" s="408">
        <v>0</v>
      </c>
      <c r="AZ116" s="408">
        <v>4698</v>
      </c>
      <c r="BA116" s="408">
        <v>0</v>
      </c>
      <c r="BB116" s="408">
        <v>0</v>
      </c>
      <c r="BC116" s="408">
        <v>229685</v>
      </c>
      <c r="BD116" s="408">
        <v>0</v>
      </c>
      <c r="BE116" s="408">
        <v>0</v>
      </c>
      <c r="BF116" s="408">
        <v>0</v>
      </c>
      <c r="BG116" s="408">
        <v>0</v>
      </c>
      <c r="BH116" s="408">
        <v>0</v>
      </c>
      <c r="BI116" s="408">
        <v>0</v>
      </c>
      <c r="BJ116" s="408">
        <v>80000</v>
      </c>
      <c r="BK116" s="408">
        <v>79394</v>
      </c>
      <c r="BL116" s="408">
        <v>0</v>
      </c>
      <c r="BM116" s="408">
        <v>0</v>
      </c>
      <c r="BN116" s="408">
        <v>0</v>
      </c>
      <c r="BO116" s="408">
        <v>169000</v>
      </c>
      <c r="BP116" s="408">
        <v>13178</v>
      </c>
      <c r="BQ116" s="408">
        <v>0</v>
      </c>
      <c r="BR116" s="408">
        <v>0</v>
      </c>
      <c r="BS116" s="408">
        <v>0</v>
      </c>
      <c r="BT116" s="408">
        <v>0</v>
      </c>
    </row>
    <row r="117" spans="1:72" s="408" customFormat="1" x14ac:dyDescent="0.3">
      <c r="A117" s="408">
        <v>353</v>
      </c>
      <c r="B117" s="409">
        <v>353</v>
      </c>
      <c r="C117" s="408">
        <v>353</v>
      </c>
      <c r="D117" s="408" t="s">
        <v>235</v>
      </c>
      <c r="E117" s="408" t="s">
        <v>434</v>
      </c>
      <c r="F117" s="408">
        <v>0</v>
      </c>
      <c r="G117" s="408">
        <v>37360</v>
      </c>
      <c r="H117" s="408">
        <v>4287</v>
      </c>
      <c r="I117" s="408">
        <v>332115</v>
      </c>
      <c r="J117" s="408">
        <v>0</v>
      </c>
      <c r="K117" s="408">
        <v>0</v>
      </c>
      <c r="L117" s="408">
        <v>0</v>
      </c>
      <c r="M117" s="408">
        <v>42064</v>
      </c>
      <c r="N117" s="408">
        <v>0</v>
      </c>
      <c r="O117" s="408">
        <v>0</v>
      </c>
      <c r="P117" s="408">
        <v>0</v>
      </c>
      <c r="Q117" s="408">
        <v>0</v>
      </c>
      <c r="R117" s="408">
        <v>0</v>
      </c>
      <c r="S117" s="408">
        <v>0</v>
      </c>
      <c r="T117" s="408">
        <v>0</v>
      </c>
      <c r="U117" s="408">
        <v>0</v>
      </c>
      <c r="V117" s="408">
        <v>424056</v>
      </c>
      <c r="W117" s="408">
        <v>0</v>
      </c>
      <c r="X117" s="408">
        <v>0</v>
      </c>
      <c r="Y117" s="408">
        <v>0</v>
      </c>
      <c r="Z117" s="408">
        <v>30293</v>
      </c>
      <c r="AA117" s="408">
        <v>0</v>
      </c>
      <c r="AB117" s="408">
        <v>0</v>
      </c>
      <c r="AC117" s="408">
        <v>0</v>
      </c>
      <c r="AD117" s="408">
        <v>0</v>
      </c>
      <c r="AE117" s="408">
        <v>0</v>
      </c>
      <c r="AF117" s="408">
        <v>0</v>
      </c>
      <c r="AG117" s="408">
        <v>0</v>
      </c>
      <c r="AH117" s="408">
        <v>0</v>
      </c>
      <c r="AI117" s="408">
        <v>235066</v>
      </c>
      <c r="AJ117" s="408">
        <v>0</v>
      </c>
      <c r="AK117" s="408">
        <v>0</v>
      </c>
      <c r="AL117" s="408">
        <v>0</v>
      </c>
      <c r="AM117" s="408">
        <v>0</v>
      </c>
      <c r="AN117" s="408">
        <v>0</v>
      </c>
      <c r="AO117" s="408">
        <v>0</v>
      </c>
      <c r="AP117" s="408">
        <v>0</v>
      </c>
      <c r="AQ117" s="408">
        <v>0</v>
      </c>
      <c r="AR117" s="408">
        <v>0</v>
      </c>
      <c r="AS117" s="408">
        <v>0</v>
      </c>
      <c r="AT117" s="408">
        <v>0</v>
      </c>
      <c r="AU117" s="408">
        <v>0</v>
      </c>
      <c r="AV117" s="408">
        <v>77049</v>
      </c>
      <c r="AW117" s="408">
        <v>0</v>
      </c>
      <c r="AX117" s="408">
        <v>618668</v>
      </c>
      <c r="AY117" s="408">
        <v>0</v>
      </c>
      <c r="AZ117" s="408">
        <v>0</v>
      </c>
      <c r="BA117" s="408">
        <v>0</v>
      </c>
      <c r="BB117" s="408">
        <v>0</v>
      </c>
      <c r="BC117" s="408">
        <v>604685</v>
      </c>
      <c r="BD117" s="408">
        <v>0</v>
      </c>
      <c r="BE117" s="408">
        <v>0</v>
      </c>
      <c r="BF117" s="408">
        <v>0</v>
      </c>
      <c r="BG117" s="408">
        <v>201967</v>
      </c>
      <c r="BH117" s="408">
        <v>0</v>
      </c>
      <c r="BI117" s="408">
        <v>4000</v>
      </c>
      <c r="BJ117" s="408">
        <v>0</v>
      </c>
      <c r="BK117" s="408">
        <v>0</v>
      </c>
      <c r="BL117" s="408">
        <v>0</v>
      </c>
      <c r="BM117" s="408">
        <v>0</v>
      </c>
      <c r="BN117" s="408">
        <v>7966</v>
      </c>
      <c r="BO117" s="408">
        <v>0</v>
      </c>
      <c r="BP117" s="408">
        <v>0</v>
      </c>
      <c r="BQ117" s="408">
        <v>0</v>
      </c>
      <c r="BR117" s="408">
        <v>1506926</v>
      </c>
      <c r="BS117" s="408">
        <v>0</v>
      </c>
      <c r="BT117" s="408">
        <v>0</v>
      </c>
    </row>
    <row r="118" spans="1:72" s="408" customFormat="1" x14ac:dyDescent="0.3">
      <c r="A118" s="408">
        <v>356</v>
      </c>
      <c r="B118" s="409">
        <v>356</v>
      </c>
      <c r="C118" s="408">
        <v>356</v>
      </c>
      <c r="D118" s="408" t="s">
        <v>552</v>
      </c>
      <c r="E118" s="408" t="s">
        <v>435</v>
      </c>
      <c r="F118" s="408">
        <v>0</v>
      </c>
      <c r="G118" s="408">
        <v>0</v>
      </c>
      <c r="H118" s="408">
        <v>0</v>
      </c>
      <c r="I118" s="408">
        <v>28879842</v>
      </c>
      <c r="J118" s="408">
        <v>0</v>
      </c>
      <c r="K118" s="408">
        <v>0</v>
      </c>
      <c r="L118" s="408">
        <v>0</v>
      </c>
      <c r="M118" s="408">
        <v>0</v>
      </c>
      <c r="N118" s="408">
        <v>68912605</v>
      </c>
      <c r="O118" s="408">
        <v>0</v>
      </c>
      <c r="P118" s="408">
        <v>0</v>
      </c>
      <c r="Q118" s="408">
        <v>0</v>
      </c>
      <c r="R118" s="408">
        <v>0</v>
      </c>
      <c r="S118" s="408">
        <v>0</v>
      </c>
      <c r="T118" s="408">
        <v>0</v>
      </c>
      <c r="U118" s="408">
        <v>0</v>
      </c>
      <c r="V118" s="408">
        <v>0</v>
      </c>
      <c r="W118" s="408">
        <v>0</v>
      </c>
      <c r="X118" s="408">
        <v>0</v>
      </c>
      <c r="Y118" s="408">
        <v>0</v>
      </c>
      <c r="Z118" s="408">
        <v>13638304</v>
      </c>
      <c r="AA118" s="408">
        <v>0</v>
      </c>
      <c r="AB118" s="408">
        <v>0</v>
      </c>
      <c r="AC118" s="408">
        <v>0</v>
      </c>
      <c r="AD118" s="408">
        <v>0</v>
      </c>
      <c r="AE118" s="408">
        <v>0</v>
      </c>
      <c r="AF118" s="408">
        <v>0</v>
      </c>
      <c r="AG118" s="408">
        <v>0</v>
      </c>
      <c r="AH118" s="408">
        <v>0</v>
      </c>
      <c r="AI118" s="408">
        <v>0</v>
      </c>
      <c r="AJ118" s="408">
        <v>0</v>
      </c>
      <c r="AK118" s="408">
        <v>957401</v>
      </c>
      <c r="AL118" s="408">
        <v>0</v>
      </c>
      <c r="AM118" s="408">
        <v>0</v>
      </c>
      <c r="AN118" s="408">
        <v>0</v>
      </c>
      <c r="AO118" s="408">
        <v>2997759</v>
      </c>
      <c r="AP118" s="408">
        <v>0</v>
      </c>
      <c r="AQ118" s="408">
        <v>0</v>
      </c>
      <c r="AR118" s="408">
        <v>0</v>
      </c>
      <c r="AS118" s="408">
        <v>0</v>
      </c>
      <c r="AT118" s="408">
        <v>0</v>
      </c>
      <c r="AU118" s="408">
        <v>0</v>
      </c>
      <c r="AV118" s="408">
        <v>0</v>
      </c>
      <c r="AW118" s="408">
        <v>0</v>
      </c>
      <c r="AX118" s="408">
        <v>0</v>
      </c>
      <c r="AY118" s="408">
        <v>0</v>
      </c>
      <c r="AZ118" s="408">
        <v>0</v>
      </c>
      <c r="BA118" s="408">
        <v>0</v>
      </c>
      <c r="BB118" s="408">
        <v>0</v>
      </c>
      <c r="BC118" s="408">
        <v>0</v>
      </c>
      <c r="BD118" s="408">
        <v>0</v>
      </c>
      <c r="BE118" s="408">
        <v>0</v>
      </c>
      <c r="BF118" s="408">
        <v>0</v>
      </c>
      <c r="BG118" s="408">
        <v>0</v>
      </c>
      <c r="BH118" s="408">
        <v>0</v>
      </c>
      <c r="BI118" s="408">
        <v>730047</v>
      </c>
      <c r="BJ118" s="408">
        <v>0</v>
      </c>
      <c r="BK118" s="408">
        <v>0</v>
      </c>
      <c r="BL118" s="408">
        <v>0</v>
      </c>
      <c r="BM118" s="408">
        <v>0</v>
      </c>
      <c r="BN118" s="408">
        <v>0</v>
      </c>
      <c r="BO118" s="408">
        <v>0</v>
      </c>
      <c r="BP118" s="408">
        <v>0</v>
      </c>
      <c r="BQ118" s="408">
        <v>0</v>
      </c>
      <c r="BR118" s="408">
        <v>0</v>
      </c>
      <c r="BS118" s="408">
        <v>0</v>
      </c>
      <c r="BT118" s="408">
        <v>0</v>
      </c>
    </row>
    <row r="119" spans="1:72" s="408" customFormat="1" x14ac:dyDescent="0.3">
      <c r="A119" s="408">
        <v>357</v>
      </c>
      <c r="B119" s="409">
        <v>357</v>
      </c>
      <c r="C119" s="408">
        <v>357</v>
      </c>
      <c r="D119" s="408" t="s">
        <v>553</v>
      </c>
      <c r="E119" s="408" t="s">
        <v>436</v>
      </c>
      <c r="F119" s="408">
        <v>0</v>
      </c>
      <c r="G119" s="408">
        <v>0</v>
      </c>
      <c r="H119" s="408">
        <v>0</v>
      </c>
      <c r="I119" s="408">
        <v>20263942</v>
      </c>
      <c r="J119" s="408">
        <v>0</v>
      </c>
      <c r="K119" s="408">
        <v>0</v>
      </c>
      <c r="L119" s="408">
        <v>0</v>
      </c>
      <c r="M119" s="408">
        <v>0</v>
      </c>
      <c r="N119" s="408">
        <v>31220243</v>
      </c>
      <c r="O119" s="408">
        <v>0</v>
      </c>
      <c r="P119" s="408">
        <v>0</v>
      </c>
      <c r="Q119" s="408">
        <v>0</v>
      </c>
      <c r="R119" s="408">
        <v>0</v>
      </c>
      <c r="S119" s="408">
        <v>0</v>
      </c>
      <c r="T119" s="408">
        <v>0</v>
      </c>
      <c r="U119" s="408">
        <v>0</v>
      </c>
      <c r="V119" s="408">
        <v>0</v>
      </c>
      <c r="W119" s="408">
        <v>0</v>
      </c>
      <c r="X119" s="408">
        <v>0</v>
      </c>
      <c r="Y119" s="408">
        <v>0</v>
      </c>
      <c r="Z119" s="408">
        <v>8363644</v>
      </c>
      <c r="AA119" s="408">
        <v>0</v>
      </c>
      <c r="AB119" s="408">
        <v>0</v>
      </c>
      <c r="AC119" s="408">
        <v>0</v>
      </c>
      <c r="AD119" s="408">
        <v>0</v>
      </c>
      <c r="AE119" s="408">
        <v>0</v>
      </c>
      <c r="AF119" s="408">
        <v>0</v>
      </c>
      <c r="AG119" s="408">
        <v>0</v>
      </c>
      <c r="AH119" s="408">
        <v>0</v>
      </c>
      <c r="AI119" s="408">
        <v>0</v>
      </c>
      <c r="AJ119" s="408">
        <v>0</v>
      </c>
      <c r="AK119" s="408">
        <v>803609</v>
      </c>
      <c r="AL119" s="408">
        <v>0</v>
      </c>
      <c r="AM119" s="408">
        <v>0</v>
      </c>
      <c r="AN119" s="408">
        <v>0</v>
      </c>
      <c r="AO119" s="408">
        <v>2230290</v>
      </c>
      <c r="AP119" s="408">
        <v>0</v>
      </c>
      <c r="AQ119" s="408">
        <v>0</v>
      </c>
      <c r="AR119" s="408">
        <v>0</v>
      </c>
      <c r="AS119" s="408">
        <v>0</v>
      </c>
      <c r="AT119" s="408">
        <v>0</v>
      </c>
      <c r="AU119" s="408">
        <v>0</v>
      </c>
      <c r="AV119" s="408">
        <v>0</v>
      </c>
      <c r="AW119" s="408">
        <v>0</v>
      </c>
      <c r="AX119" s="408">
        <v>0</v>
      </c>
      <c r="AY119" s="408">
        <v>0</v>
      </c>
      <c r="AZ119" s="408">
        <v>0</v>
      </c>
      <c r="BA119" s="408">
        <v>0</v>
      </c>
      <c r="BB119" s="408">
        <v>0</v>
      </c>
      <c r="BC119" s="408">
        <v>0</v>
      </c>
      <c r="BD119" s="408">
        <v>0</v>
      </c>
      <c r="BE119" s="408">
        <v>0</v>
      </c>
      <c r="BF119" s="408">
        <v>0</v>
      </c>
      <c r="BG119" s="408">
        <v>0</v>
      </c>
      <c r="BH119" s="408">
        <v>0</v>
      </c>
      <c r="BI119" s="408">
        <v>475870</v>
      </c>
      <c r="BJ119" s="408">
        <v>0</v>
      </c>
      <c r="BK119" s="408">
        <v>0</v>
      </c>
      <c r="BL119" s="408">
        <v>0</v>
      </c>
      <c r="BM119" s="408">
        <v>0</v>
      </c>
      <c r="BN119" s="408">
        <v>0</v>
      </c>
      <c r="BO119" s="408">
        <v>0</v>
      </c>
      <c r="BP119" s="408">
        <v>0</v>
      </c>
      <c r="BQ119" s="408">
        <v>0</v>
      </c>
      <c r="BR119" s="408">
        <v>0</v>
      </c>
      <c r="BS119" s="408">
        <v>0</v>
      </c>
      <c r="BT119" s="408">
        <v>0</v>
      </c>
    </row>
    <row r="120" spans="1:72" s="408" customFormat="1" x14ac:dyDescent="0.3">
      <c r="A120" s="408">
        <v>359</v>
      </c>
      <c r="B120" s="409">
        <v>359</v>
      </c>
      <c r="C120" s="408">
        <v>359</v>
      </c>
      <c r="D120" s="408" t="s">
        <v>256</v>
      </c>
      <c r="E120" s="408" t="s">
        <v>437</v>
      </c>
      <c r="F120" s="408">
        <v>0</v>
      </c>
      <c r="G120" s="408">
        <v>0</v>
      </c>
      <c r="H120" s="408">
        <v>0</v>
      </c>
      <c r="I120" s="408">
        <v>470135</v>
      </c>
      <c r="J120" s="408">
        <v>0</v>
      </c>
      <c r="K120" s="408">
        <v>0</v>
      </c>
      <c r="L120" s="408">
        <v>0</v>
      </c>
      <c r="M120" s="408">
        <v>0</v>
      </c>
      <c r="N120" s="408">
        <v>2567695</v>
      </c>
      <c r="O120" s="408">
        <v>0</v>
      </c>
      <c r="P120" s="408">
        <v>0</v>
      </c>
      <c r="Q120" s="408">
        <v>0</v>
      </c>
      <c r="R120" s="408">
        <v>0</v>
      </c>
      <c r="S120" s="408">
        <v>0</v>
      </c>
      <c r="T120" s="408">
        <v>0</v>
      </c>
      <c r="U120" s="408">
        <v>0</v>
      </c>
      <c r="V120" s="408">
        <v>0</v>
      </c>
      <c r="W120" s="408">
        <v>0</v>
      </c>
      <c r="X120" s="408">
        <v>0</v>
      </c>
      <c r="Y120" s="408">
        <v>0</v>
      </c>
      <c r="Z120" s="408">
        <v>1568610</v>
      </c>
      <c r="AA120" s="408">
        <v>0</v>
      </c>
      <c r="AB120" s="408">
        <v>0</v>
      </c>
      <c r="AC120" s="408">
        <v>0</v>
      </c>
      <c r="AD120" s="408">
        <v>0</v>
      </c>
      <c r="AE120" s="408">
        <v>0</v>
      </c>
      <c r="AF120" s="408">
        <v>0</v>
      </c>
      <c r="AG120" s="408">
        <v>0</v>
      </c>
      <c r="AH120" s="408">
        <v>0</v>
      </c>
      <c r="AI120" s="408">
        <v>0</v>
      </c>
      <c r="AJ120" s="408">
        <v>0</v>
      </c>
      <c r="AK120" s="408">
        <v>0</v>
      </c>
      <c r="AL120" s="408">
        <v>0</v>
      </c>
      <c r="AM120" s="408">
        <v>0</v>
      </c>
      <c r="AN120" s="408">
        <v>0</v>
      </c>
      <c r="AO120" s="408">
        <v>374142</v>
      </c>
      <c r="AP120" s="408">
        <v>0</v>
      </c>
      <c r="AQ120" s="408">
        <v>0</v>
      </c>
      <c r="AR120" s="408">
        <v>0</v>
      </c>
      <c r="AS120" s="408">
        <v>0</v>
      </c>
      <c r="AT120" s="408">
        <v>0</v>
      </c>
      <c r="AU120" s="408">
        <v>0</v>
      </c>
      <c r="AV120" s="408">
        <v>0</v>
      </c>
      <c r="AW120" s="408">
        <v>0</v>
      </c>
      <c r="AX120" s="408">
        <v>0</v>
      </c>
      <c r="AY120" s="408">
        <v>0</v>
      </c>
      <c r="AZ120" s="408">
        <v>0</v>
      </c>
      <c r="BA120" s="408">
        <v>0</v>
      </c>
      <c r="BB120" s="408">
        <v>0</v>
      </c>
      <c r="BC120" s="408">
        <v>0</v>
      </c>
      <c r="BD120" s="408">
        <v>0</v>
      </c>
      <c r="BE120" s="408">
        <v>0</v>
      </c>
      <c r="BF120" s="408">
        <v>0</v>
      </c>
      <c r="BG120" s="408">
        <v>0</v>
      </c>
      <c r="BH120" s="408">
        <v>0</v>
      </c>
      <c r="BI120" s="408">
        <v>0</v>
      </c>
      <c r="BJ120" s="408">
        <v>0</v>
      </c>
      <c r="BK120" s="408">
        <v>0</v>
      </c>
      <c r="BL120" s="408">
        <v>0</v>
      </c>
      <c r="BM120" s="408">
        <v>0</v>
      </c>
      <c r="BN120" s="408">
        <v>0</v>
      </c>
      <c r="BO120" s="408">
        <v>0</v>
      </c>
      <c r="BP120" s="408">
        <v>0</v>
      </c>
      <c r="BQ120" s="408">
        <v>0</v>
      </c>
      <c r="BR120" s="408">
        <v>0</v>
      </c>
      <c r="BS120" s="408">
        <v>0</v>
      </c>
      <c r="BT120" s="408">
        <v>0</v>
      </c>
    </row>
    <row r="121" spans="1:72" s="408" customFormat="1" x14ac:dyDescent="0.3">
      <c r="A121" s="408">
        <v>360</v>
      </c>
      <c r="B121" s="409">
        <v>360</v>
      </c>
      <c r="C121" s="408">
        <v>360</v>
      </c>
      <c r="D121" s="408" t="s">
        <v>125</v>
      </c>
      <c r="E121" s="408" t="s">
        <v>438</v>
      </c>
      <c r="F121" s="408">
        <v>0</v>
      </c>
      <c r="G121" s="408">
        <v>0</v>
      </c>
      <c r="H121" s="408">
        <v>0</v>
      </c>
      <c r="I121" s="408">
        <v>6237114</v>
      </c>
      <c r="J121" s="408">
        <v>0</v>
      </c>
      <c r="K121" s="408">
        <v>0</v>
      </c>
      <c r="L121" s="408">
        <v>0</v>
      </c>
      <c r="M121" s="408">
        <v>0</v>
      </c>
      <c r="N121" s="408">
        <v>21930179</v>
      </c>
      <c r="O121" s="408">
        <v>0</v>
      </c>
      <c r="P121" s="408">
        <v>0</v>
      </c>
      <c r="Q121" s="408">
        <v>0</v>
      </c>
      <c r="R121" s="408">
        <v>0</v>
      </c>
      <c r="S121" s="408">
        <v>0</v>
      </c>
      <c r="T121" s="408">
        <v>0</v>
      </c>
      <c r="U121" s="408">
        <v>0</v>
      </c>
      <c r="V121" s="408">
        <v>0</v>
      </c>
      <c r="W121" s="408">
        <v>0</v>
      </c>
      <c r="X121" s="408">
        <v>0</v>
      </c>
      <c r="Y121" s="408">
        <v>0</v>
      </c>
      <c r="Z121" s="408">
        <v>3369548</v>
      </c>
      <c r="AA121" s="408">
        <v>0</v>
      </c>
      <c r="AB121" s="408">
        <v>0</v>
      </c>
      <c r="AC121" s="408">
        <v>0</v>
      </c>
      <c r="AD121" s="408">
        <v>0</v>
      </c>
      <c r="AE121" s="408">
        <v>0</v>
      </c>
      <c r="AF121" s="408">
        <v>0</v>
      </c>
      <c r="AG121" s="408">
        <v>0</v>
      </c>
      <c r="AH121" s="408">
        <v>0</v>
      </c>
      <c r="AI121" s="408">
        <v>0</v>
      </c>
      <c r="AJ121" s="408">
        <v>0</v>
      </c>
      <c r="AK121" s="408">
        <v>369234</v>
      </c>
      <c r="AL121" s="408">
        <v>0</v>
      </c>
      <c r="AM121" s="408">
        <v>0</v>
      </c>
      <c r="AN121" s="408">
        <v>0</v>
      </c>
      <c r="AO121" s="408">
        <v>1112232</v>
      </c>
      <c r="AP121" s="408">
        <v>0</v>
      </c>
      <c r="AQ121" s="408">
        <v>0</v>
      </c>
      <c r="AR121" s="408">
        <v>0</v>
      </c>
      <c r="AS121" s="408">
        <v>0</v>
      </c>
      <c r="AT121" s="408">
        <v>0</v>
      </c>
      <c r="AU121" s="408">
        <v>0</v>
      </c>
      <c r="AV121" s="408">
        <v>0</v>
      </c>
      <c r="AW121" s="408">
        <v>0</v>
      </c>
      <c r="AX121" s="408">
        <v>0</v>
      </c>
      <c r="AY121" s="408">
        <v>0</v>
      </c>
      <c r="AZ121" s="408">
        <v>0</v>
      </c>
      <c r="BA121" s="408">
        <v>0</v>
      </c>
      <c r="BB121" s="408">
        <v>0</v>
      </c>
      <c r="BC121" s="408">
        <v>0</v>
      </c>
      <c r="BD121" s="408">
        <v>0</v>
      </c>
      <c r="BE121" s="408">
        <v>0</v>
      </c>
      <c r="BF121" s="408">
        <v>0</v>
      </c>
      <c r="BG121" s="408">
        <v>0</v>
      </c>
      <c r="BH121" s="408">
        <v>0</v>
      </c>
      <c r="BI121" s="408">
        <v>39025</v>
      </c>
      <c r="BJ121" s="408">
        <v>0</v>
      </c>
      <c r="BK121" s="408">
        <v>0</v>
      </c>
      <c r="BL121" s="408">
        <v>0</v>
      </c>
      <c r="BM121" s="408">
        <v>0</v>
      </c>
      <c r="BN121" s="408">
        <v>0</v>
      </c>
      <c r="BO121" s="408">
        <v>0</v>
      </c>
      <c r="BP121" s="408">
        <v>0</v>
      </c>
      <c r="BQ121" s="408">
        <v>0</v>
      </c>
      <c r="BR121" s="408">
        <v>0</v>
      </c>
      <c r="BS121" s="408">
        <v>0</v>
      </c>
      <c r="BT121" s="408">
        <v>0</v>
      </c>
    </row>
    <row r="122" spans="1:72" s="408" customFormat="1" x14ac:dyDescent="0.3">
      <c r="A122" s="408">
        <v>361</v>
      </c>
      <c r="B122" s="409">
        <v>361</v>
      </c>
      <c r="C122" s="408">
        <v>361</v>
      </c>
      <c r="D122" s="408" t="s">
        <v>106</v>
      </c>
      <c r="E122" s="408" t="s">
        <v>439</v>
      </c>
      <c r="F122" s="408" t="s">
        <v>1764</v>
      </c>
      <c r="G122" s="408" t="s">
        <v>1764</v>
      </c>
      <c r="H122" s="408" t="s">
        <v>1764</v>
      </c>
      <c r="I122" s="408">
        <v>13081102</v>
      </c>
      <c r="J122" s="408" t="s">
        <v>1764</v>
      </c>
      <c r="K122" s="408" t="s">
        <v>1764</v>
      </c>
      <c r="L122" s="408" t="s">
        <v>1764</v>
      </c>
      <c r="M122" s="408" t="s">
        <v>1751</v>
      </c>
      <c r="N122" s="408">
        <v>13108860</v>
      </c>
      <c r="O122" s="408" t="s">
        <v>1751</v>
      </c>
      <c r="P122" s="408" t="s">
        <v>1751</v>
      </c>
      <c r="Q122" s="408" t="s">
        <v>1751</v>
      </c>
      <c r="R122" s="408" t="s">
        <v>1751</v>
      </c>
      <c r="S122" s="408" t="s">
        <v>1751</v>
      </c>
      <c r="T122" s="408" t="s">
        <v>1751</v>
      </c>
      <c r="U122" s="408" t="s">
        <v>1751</v>
      </c>
      <c r="V122" s="408" t="s">
        <v>1751</v>
      </c>
      <c r="W122" s="408" t="s">
        <v>1751</v>
      </c>
      <c r="X122" s="408" t="s">
        <v>1751</v>
      </c>
      <c r="Y122" s="408" t="s">
        <v>1751</v>
      </c>
      <c r="Z122" s="408">
        <v>5245303</v>
      </c>
      <c r="AA122" s="408" t="s">
        <v>1751</v>
      </c>
      <c r="AB122" s="408" t="s">
        <v>1751</v>
      </c>
      <c r="AC122" s="408" t="s">
        <v>1751</v>
      </c>
      <c r="AD122" s="408" t="s">
        <v>1751</v>
      </c>
      <c r="AE122" s="408" t="s">
        <v>1751</v>
      </c>
      <c r="AF122" s="408" t="s">
        <v>1751</v>
      </c>
      <c r="AG122" s="408" t="s">
        <v>1751</v>
      </c>
      <c r="AH122" s="408" t="s">
        <v>1751</v>
      </c>
      <c r="AI122" s="408" t="s">
        <v>1751</v>
      </c>
      <c r="AJ122" s="408" t="s">
        <v>1751</v>
      </c>
      <c r="AK122" s="408">
        <v>640058</v>
      </c>
      <c r="AL122" s="408" t="s">
        <v>1751</v>
      </c>
      <c r="AM122" s="408" t="s">
        <v>1751</v>
      </c>
      <c r="AN122" s="408" t="s">
        <v>1751</v>
      </c>
      <c r="AO122" s="408">
        <v>810473</v>
      </c>
      <c r="AP122" s="408" t="s">
        <v>1751</v>
      </c>
      <c r="AQ122" s="408" t="s">
        <v>1751</v>
      </c>
      <c r="AR122" s="408" t="s">
        <v>1751</v>
      </c>
      <c r="AS122" s="408" t="s">
        <v>1751</v>
      </c>
      <c r="AT122" s="408" t="s">
        <v>1751</v>
      </c>
      <c r="AU122" s="408" t="s">
        <v>1751</v>
      </c>
      <c r="AV122" s="408" t="s">
        <v>1751</v>
      </c>
      <c r="AW122" s="408" t="s">
        <v>1751</v>
      </c>
      <c r="AX122" s="408" t="s">
        <v>1751</v>
      </c>
      <c r="AY122" s="408" t="s">
        <v>1751</v>
      </c>
      <c r="AZ122" s="408" t="s">
        <v>1751</v>
      </c>
      <c r="BA122" s="408" t="s">
        <v>1751</v>
      </c>
      <c r="BB122" s="408" t="s">
        <v>1751</v>
      </c>
      <c r="BC122" s="408" t="s">
        <v>1751</v>
      </c>
      <c r="BD122" s="408" t="s">
        <v>1751</v>
      </c>
      <c r="BE122" s="408" t="s">
        <v>1751</v>
      </c>
      <c r="BF122" s="408" t="s">
        <v>1751</v>
      </c>
      <c r="BG122" s="408" t="s">
        <v>1751</v>
      </c>
      <c r="BH122" s="408" t="s">
        <v>1751</v>
      </c>
      <c r="BI122" s="408">
        <v>1491933</v>
      </c>
      <c r="BJ122" s="408" t="s">
        <v>1751</v>
      </c>
      <c r="BK122" s="408" t="s">
        <v>1751</v>
      </c>
      <c r="BL122" s="408" t="s">
        <v>1751</v>
      </c>
      <c r="BM122" s="408" t="s">
        <v>1751</v>
      </c>
      <c r="BN122" s="408" t="s">
        <v>1751</v>
      </c>
      <c r="BO122" s="408" t="s">
        <v>1751</v>
      </c>
      <c r="BP122" s="408" t="s">
        <v>1751</v>
      </c>
      <c r="BQ122" s="408" t="s">
        <v>1751</v>
      </c>
      <c r="BR122" s="408" t="s">
        <v>1751</v>
      </c>
      <c r="BS122" s="408" t="s">
        <v>1751</v>
      </c>
      <c r="BT122" s="408" t="s">
        <v>1751</v>
      </c>
    </row>
    <row r="123" spans="1:72" s="408" customFormat="1" x14ac:dyDescent="0.3">
      <c r="A123" s="408">
        <v>362</v>
      </c>
      <c r="B123" s="409">
        <v>362</v>
      </c>
      <c r="C123" s="408">
        <v>362</v>
      </c>
      <c r="D123" s="408" t="s">
        <v>107</v>
      </c>
      <c r="E123" s="408" t="s">
        <v>440</v>
      </c>
      <c r="F123" s="408">
        <v>0</v>
      </c>
      <c r="G123" s="408">
        <v>0</v>
      </c>
      <c r="H123" s="408">
        <v>0</v>
      </c>
      <c r="I123" s="408">
        <v>24032435</v>
      </c>
      <c r="J123" s="408">
        <v>0</v>
      </c>
      <c r="K123" s="408">
        <v>0</v>
      </c>
      <c r="L123" s="408">
        <v>0</v>
      </c>
      <c r="M123" s="408">
        <v>0</v>
      </c>
      <c r="N123" s="408">
        <v>51687308</v>
      </c>
      <c r="O123" s="408">
        <v>0</v>
      </c>
      <c r="P123" s="408">
        <v>0</v>
      </c>
      <c r="Q123" s="408">
        <v>0</v>
      </c>
      <c r="R123" s="408">
        <v>0</v>
      </c>
      <c r="S123" s="408">
        <v>0</v>
      </c>
      <c r="T123" s="408">
        <v>0</v>
      </c>
      <c r="U123" s="408">
        <v>0</v>
      </c>
      <c r="V123" s="408">
        <v>0</v>
      </c>
      <c r="W123" s="408">
        <v>0</v>
      </c>
      <c r="X123" s="408">
        <v>0</v>
      </c>
      <c r="Y123" s="408">
        <v>0</v>
      </c>
      <c r="Z123" s="408">
        <v>9003514</v>
      </c>
      <c r="AA123" s="408">
        <v>0</v>
      </c>
      <c r="AB123" s="408">
        <v>0</v>
      </c>
      <c r="AC123" s="408">
        <v>0</v>
      </c>
      <c r="AD123" s="408">
        <v>0</v>
      </c>
      <c r="AE123" s="408">
        <v>0</v>
      </c>
      <c r="AF123" s="408">
        <v>0</v>
      </c>
      <c r="AG123" s="408">
        <v>0</v>
      </c>
      <c r="AH123" s="408">
        <v>0</v>
      </c>
      <c r="AI123" s="408">
        <v>0</v>
      </c>
      <c r="AJ123" s="408">
        <v>0</v>
      </c>
      <c r="AK123" s="408">
        <v>817580</v>
      </c>
      <c r="AL123" s="408">
        <v>0</v>
      </c>
      <c r="AM123" s="408">
        <v>0</v>
      </c>
      <c r="AN123" s="408">
        <v>0</v>
      </c>
      <c r="AO123" s="408">
        <v>1223593</v>
      </c>
      <c r="AP123" s="408">
        <v>0</v>
      </c>
      <c r="AQ123" s="408">
        <v>0</v>
      </c>
      <c r="AR123" s="408">
        <v>0</v>
      </c>
      <c r="AS123" s="408">
        <v>0</v>
      </c>
      <c r="AT123" s="408">
        <v>0</v>
      </c>
      <c r="AU123" s="408">
        <v>0</v>
      </c>
      <c r="AV123" s="408">
        <v>0</v>
      </c>
      <c r="AW123" s="408">
        <v>0</v>
      </c>
      <c r="AX123" s="408">
        <v>0</v>
      </c>
      <c r="AY123" s="408">
        <v>0</v>
      </c>
      <c r="AZ123" s="408">
        <v>0</v>
      </c>
      <c r="BA123" s="408">
        <v>0</v>
      </c>
      <c r="BB123" s="408">
        <v>0</v>
      </c>
      <c r="BC123" s="408">
        <v>0</v>
      </c>
      <c r="BD123" s="408">
        <v>0</v>
      </c>
      <c r="BE123" s="408">
        <v>0</v>
      </c>
      <c r="BF123" s="408">
        <v>0</v>
      </c>
      <c r="BG123" s="408">
        <v>0</v>
      </c>
      <c r="BH123" s="408">
        <v>0</v>
      </c>
      <c r="BI123" s="408">
        <v>1746110</v>
      </c>
      <c r="BJ123" s="408">
        <v>0</v>
      </c>
      <c r="BK123" s="408">
        <v>0</v>
      </c>
      <c r="BL123" s="408">
        <v>0</v>
      </c>
      <c r="BM123" s="408">
        <v>0</v>
      </c>
      <c r="BN123" s="408">
        <v>0</v>
      </c>
      <c r="BO123" s="408">
        <v>0</v>
      </c>
      <c r="BP123" s="408">
        <v>0</v>
      </c>
      <c r="BQ123" s="408">
        <v>0</v>
      </c>
      <c r="BR123" s="408">
        <v>0</v>
      </c>
      <c r="BS123" s="408">
        <v>0</v>
      </c>
      <c r="BT123" s="408">
        <v>0</v>
      </c>
    </row>
    <row r="124" spans="1:72" s="408" customFormat="1" x14ac:dyDescent="0.3">
      <c r="A124" s="408">
        <v>363</v>
      </c>
      <c r="B124" s="409">
        <v>363</v>
      </c>
      <c r="C124" s="408">
        <v>363</v>
      </c>
      <c r="D124" s="408" t="s">
        <v>242</v>
      </c>
      <c r="E124" s="408" t="s">
        <v>441</v>
      </c>
      <c r="F124" s="408">
        <v>0</v>
      </c>
      <c r="G124" s="408">
        <v>0</v>
      </c>
      <c r="H124" s="408">
        <v>0</v>
      </c>
      <c r="I124" s="408">
        <v>5061225</v>
      </c>
      <c r="J124" s="408">
        <v>0</v>
      </c>
      <c r="K124" s="408">
        <v>0</v>
      </c>
      <c r="L124" s="408">
        <v>0</v>
      </c>
      <c r="M124" s="408">
        <v>0</v>
      </c>
      <c r="N124" s="408">
        <v>346723</v>
      </c>
      <c r="O124" s="408">
        <v>0</v>
      </c>
      <c r="P124" s="408">
        <v>0</v>
      </c>
      <c r="Q124" s="408">
        <v>0</v>
      </c>
      <c r="R124" s="408">
        <v>0</v>
      </c>
      <c r="S124" s="408">
        <v>0</v>
      </c>
      <c r="T124" s="408">
        <v>0</v>
      </c>
      <c r="U124" s="408">
        <v>0</v>
      </c>
      <c r="V124" s="408">
        <v>0</v>
      </c>
      <c r="W124" s="408">
        <v>0</v>
      </c>
      <c r="X124" s="408">
        <v>0</v>
      </c>
      <c r="Y124" s="408">
        <v>0</v>
      </c>
      <c r="Z124" s="408">
        <v>98961</v>
      </c>
      <c r="AA124" s="408">
        <v>0</v>
      </c>
      <c r="AB124" s="408">
        <v>0</v>
      </c>
      <c r="AC124" s="408">
        <v>0</v>
      </c>
      <c r="AD124" s="408">
        <v>0</v>
      </c>
      <c r="AE124" s="408">
        <v>0</v>
      </c>
      <c r="AF124" s="408">
        <v>0</v>
      </c>
      <c r="AG124" s="408">
        <v>0</v>
      </c>
      <c r="AH124" s="408">
        <v>0</v>
      </c>
      <c r="AI124" s="408">
        <v>0</v>
      </c>
      <c r="AJ124" s="408">
        <v>0</v>
      </c>
      <c r="AK124" s="408">
        <v>0</v>
      </c>
      <c r="AL124" s="408">
        <v>0</v>
      </c>
      <c r="AM124" s="408">
        <v>0</v>
      </c>
      <c r="AN124" s="408">
        <v>0</v>
      </c>
      <c r="AO124" s="408">
        <v>28908</v>
      </c>
      <c r="AP124" s="408">
        <v>0</v>
      </c>
      <c r="AQ124" s="408">
        <v>0</v>
      </c>
      <c r="AR124" s="408">
        <v>0</v>
      </c>
      <c r="AS124" s="408">
        <v>0</v>
      </c>
      <c r="AT124" s="408">
        <v>0</v>
      </c>
      <c r="AU124" s="408">
        <v>0</v>
      </c>
      <c r="AV124" s="408">
        <v>0</v>
      </c>
      <c r="AW124" s="408">
        <v>0</v>
      </c>
      <c r="AX124" s="408">
        <v>0</v>
      </c>
      <c r="AY124" s="408">
        <v>0</v>
      </c>
      <c r="AZ124" s="408">
        <v>0</v>
      </c>
      <c r="BA124" s="408">
        <v>0</v>
      </c>
      <c r="BB124" s="408">
        <v>0</v>
      </c>
      <c r="BC124" s="408">
        <v>0</v>
      </c>
      <c r="BD124" s="408">
        <v>0</v>
      </c>
      <c r="BE124" s="408">
        <v>0</v>
      </c>
      <c r="BF124" s="408">
        <v>0</v>
      </c>
      <c r="BG124" s="408">
        <v>0</v>
      </c>
      <c r="BH124" s="408">
        <v>0</v>
      </c>
      <c r="BI124" s="408">
        <v>7782</v>
      </c>
      <c r="BJ124" s="408">
        <v>0</v>
      </c>
      <c r="BK124" s="408">
        <v>0</v>
      </c>
      <c r="BL124" s="408">
        <v>0</v>
      </c>
      <c r="BM124" s="408">
        <v>0</v>
      </c>
      <c r="BN124" s="408">
        <v>0</v>
      </c>
      <c r="BO124" s="408">
        <v>0</v>
      </c>
      <c r="BP124" s="408">
        <v>0</v>
      </c>
      <c r="BQ124" s="408">
        <v>0</v>
      </c>
      <c r="BR124" s="408">
        <v>0</v>
      </c>
      <c r="BS124" s="408">
        <v>0</v>
      </c>
      <c r="BT124" s="408">
        <v>0</v>
      </c>
    </row>
    <row r="125" spans="1:72" s="408" customFormat="1" x14ac:dyDescent="0.3">
      <c r="A125" s="408">
        <v>364</v>
      </c>
      <c r="B125" s="409">
        <v>364</v>
      </c>
      <c r="C125" s="408">
        <v>364</v>
      </c>
      <c r="D125" s="408" t="s">
        <v>243</v>
      </c>
      <c r="E125" s="408" t="s">
        <v>442</v>
      </c>
      <c r="F125" s="408">
        <v>0</v>
      </c>
      <c r="G125" s="408">
        <v>0</v>
      </c>
      <c r="H125" s="408">
        <v>0</v>
      </c>
      <c r="I125" s="408">
        <v>12295</v>
      </c>
      <c r="J125" s="408">
        <v>0</v>
      </c>
      <c r="K125" s="408">
        <v>0</v>
      </c>
      <c r="L125" s="408">
        <v>0</v>
      </c>
      <c r="M125" s="408">
        <v>0</v>
      </c>
      <c r="N125" s="408">
        <v>316932</v>
      </c>
      <c r="O125" s="408">
        <v>0</v>
      </c>
      <c r="P125" s="408">
        <v>0</v>
      </c>
      <c r="Q125" s="408">
        <v>0</v>
      </c>
      <c r="R125" s="408">
        <v>0</v>
      </c>
      <c r="S125" s="408">
        <v>0</v>
      </c>
      <c r="T125" s="408">
        <v>0</v>
      </c>
      <c r="U125" s="408">
        <v>0</v>
      </c>
      <c r="V125" s="408">
        <v>0</v>
      </c>
      <c r="W125" s="408">
        <v>0</v>
      </c>
      <c r="X125" s="408">
        <v>0</v>
      </c>
      <c r="Y125" s="408">
        <v>0</v>
      </c>
      <c r="Z125" s="408">
        <v>47078</v>
      </c>
      <c r="AA125" s="408">
        <v>0</v>
      </c>
      <c r="AB125" s="408">
        <v>0</v>
      </c>
      <c r="AC125" s="408">
        <v>0</v>
      </c>
      <c r="AD125" s="408">
        <v>0</v>
      </c>
      <c r="AE125" s="408">
        <v>0</v>
      </c>
      <c r="AF125" s="408">
        <v>0</v>
      </c>
      <c r="AG125" s="408">
        <v>0</v>
      </c>
      <c r="AH125" s="408">
        <v>0</v>
      </c>
      <c r="AI125" s="408">
        <v>0</v>
      </c>
      <c r="AJ125" s="408">
        <v>0</v>
      </c>
      <c r="AK125" s="408">
        <v>0</v>
      </c>
      <c r="AL125" s="408">
        <v>0</v>
      </c>
      <c r="AM125" s="408">
        <v>0</v>
      </c>
      <c r="AN125" s="408">
        <v>0</v>
      </c>
      <c r="AO125" s="408">
        <v>0</v>
      </c>
      <c r="AP125" s="408">
        <v>0</v>
      </c>
      <c r="AQ125" s="408">
        <v>0</v>
      </c>
      <c r="AR125" s="408">
        <v>0</v>
      </c>
      <c r="AS125" s="408">
        <v>0</v>
      </c>
      <c r="AT125" s="408">
        <v>0</v>
      </c>
      <c r="AU125" s="408">
        <v>0</v>
      </c>
      <c r="AV125" s="408">
        <v>0</v>
      </c>
      <c r="AW125" s="408">
        <v>0</v>
      </c>
      <c r="AX125" s="408">
        <v>0</v>
      </c>
      <c r="AY125" s="408">
        <v>0</v>
      </c>
      <c r="AZ125" s="408">
        <v>0</v>
      </c>
      <c r="BA125" s="408">
        <v>0</v>
      </c>
      <c r="BB125" s="408">
        <v>0</v>
      </c>
      <c r="BC125" s="408">
        <v>0</v>
      </c>
      <c r="BD125" s="408">
        <v>0</v>
      </c>
      <c r="BE125" s="408">
        <v>0</v>
      </c>
      <c r="BF125" s="408">
        <v>0</v>
      </c>
      <c r="BG125" s="408">
        <v>0</v>
      </c>
      <c r="BH125" s="408">
        <v>0</v>
      </c>
      <c r="BI125" s="408">
        <v>0</v>
      </c>
      <c r="BJ125" s="408">
        <v>0</v>
      </c>
      <c r="BK125" s="408">
        <v>0</v>
      </c>
      <c r="BL125" s="408">
        <v>0</v>
      </c>
      <c r="BM125" s="408">
        <v>0</v>
      </c>
      <c r="BN125" s="408">
        <v>0</v>
      </c>
      <c r="BO125" s="408">
        <v>0</v>
      </c>
      <c r="BP125" s="408">
        <v>0</v>
      </c>
      <c r="BQ125" s="408">
        <v>0</v>
      </c>
      <c r="BR125" s="408">
        <v>0</v>
      </c>
      <c r="BS125" s="408">
        <v>0</v>
      </c>
      <c r="BT125" s="408">
        <v>0</v>
      </c>
    </row>
    <row r="126" spans="1:72" s="408" customFormat="1" x14ac:dyDescent="0.3">
      <c r="A126" s="408">
        <v>365</v>
      </c>
      <c r="B126" s="409">
        <v>365</v>
      </c>
      <c r="C126" s="408">
        <v>365</v>
      </c>
      <c r="D126" s="408" t="s">
        <v>245</v>
      </c>
      <c r="E126" s="408" t="s">
        <v>443</v>
      </c>
      <c r="F126" s="408">
        <v>0</v>
      </c>
      <c r="G126" s="408">
        <v>0</v>
      </c>
      <c r="H126" s="408">
        <v>0</v>
      </c>
      <c r="I126" s="408">
        <v>25000</v>
      </c>
      <c r="J126" s="408">
        <v>0</v>
      </c>
      <c r="K126" s="408">
        <v>0</v>
      </c>
      <c r="L126" s="408">
        <v>0</v>
      </c>
      <c r="M126" s="408">
        <v>0</v>
      </c>
      <c r="N126" s="408">
        <v>0</v>
      </c>
      <c r="O126" s="408">
        <v>0</v>
      </c>
      <c r="P126" s="408">
        <v>0</v>
      </c>
      <c r="Q126" s="408">
        <v>0</v>
      </c>
      <c r="R126" s="408">
        <v>0</v>
      </c>
      <c r="S126" s="408">
        <v>0</v>
      </c>
      <c r="T126" s="408">
        <v>0</v>
      </c>
      <c r="U126" s="408">
        <v>0</v>
      </c>
      <c r="V126" s="408">
        <v>0</v>
      </c>
      <c r="W126" s="408">
        <v>0</v>
      </c>
      <c r="X126" s="408">
        <v>0</v>
      </c>
      <c r="Y126" s="408">
        <v>0</v>
      </c>
      <c r="Z126" s="408">
        <v>0</v>
      </c>
      <c r="AA126" s="408">
        <v>0</v>
      </c>
      <c r="AB126" s="408">
        <v>0</v>
      </c>
      <c r="AC126" s="408">
        <v>0</v>
      </c>
      <c r="AD126" s="408">
        <v>0</v>
      </c>
      <c r="AE126" s="408">
        <v>0</v>
      </c>
      <c r="AF126" s="408">
        <v>0</v>
      </c>
      <c r="AG126" s="408">
        <v>0</v>
      </c>
      <c r="AH126" s="408">
        <v>0</v>
      </c>
      <c r="AI126" s="408">
        <v>0</v>
      </c>
      <c r="AJ126" s="408">
        <v>0</v>
      </c>
      <c r="AK126" s="408">
        <v>0</v>
      </c>
      <c r="AL126" s="408">
        <v>0</v>
      </c>
      <c r="AM126" s="408">
        <v>0</v>
      </c>
      <c r="AN126" s="408">
        <v>0</v>
      </c>
      <c r="AO126" s="408">
        <v>0</v>
      </c>
      <c r="AP126" s="408">
        <v>0</v>
      </c>
      <c r="AQ126" s="408">
        <v>0</v>
      </c>
      <c r="AR126" s="408">
        <v>0</v>
      </c>
      <c r="AS126" s="408">
        <v>0</v>
      </c>
      <c r="AT126" s="408">
        <v>0</v>
      </c>
      <c r="AU126" s="408">
        <v>0</v>
      </c>
      <c r="AV126" s="408">
        <v>0</v>
      </c>
      <c r="AW126" s="408">
        <v>0</v>
      </c>
      <c r="AX126" s="408">
        <v>0</v>
      </c>
      <c r="AY126" s="408">
        <v>0</v>
      </c>
      <c r="AZ126" s="408">
        <v>0</v>
      </c>
      <c r="BA126" s="408">
        <v>0</v>
      </c>
      <c r="BB126" s="408">
        <v>0</v>
      </c>
      <c r="BC126" s="408">
        <v>0</v>
      </c>
      <c r="BD126" s="408">
        <v>0</v>
      </c>
      <c r="BE126" s="408">
        <v>0</v>
      </c>
      <c r="BF126" s="408">
        <v>0</v>
      </c>
      <c r="BG126" s="408">
        <v>0</v>
      </c>
      <c r="BH126" s="408">
        <v>0</v>
      </c>
      <c r="BI126" s="408">
        <v>0</v>
      </c>
      <c r="BJ126" s="408">
        <v>0</v>
      </c>
      <c r="BK126" s="408">
        <v>0</v>
      </c>
      <c r="BL126" s="408">
        <v>0</v>
      </c>
      <c r="BM126" s="408">
        <v>0</v>
      </c>
      <c r="BN126" s="408">
        <v>0</v>
      </c>
      <c r="BO126" s="408">
        <v>0</v>
      </c>
      <c r="BP126" s="408">
        <v>0</v>
      </c>
      <c r="BQ126" s="408">
        <v>0</v>
      </c>
      <c r="BR126" s="408">
        <v>0</v>
      </c>
      <c r="BS126" s="408">
        <v>0</v>
      </c>
      <c r="BT126" s="408">
        <v>0</v>
      </c>
    </row>
    <row r="127" spans="1:72" s="408" customFormat="1" x14ac:dyDescent="0.3">
      <c r="A127" s="408">
        <v>366</v>
      </c>
      <c r="B127" s="409">
        <v>366</v>
      </c>
      <c r="C127" s="408">
        <v>366</v>
      </c>
      <c r="D127" s="408" t="s">
        <v>536</v>
      </c>
      <c r="E127" s="408" t="s">
        <v>444</v>
      </c>
      <c r="F127" s="408">
        <v>0</v>
      </c>
      <c r="G127" s="408">
        <v>0</v>
      </c>
      <c r="H127" s="408">
        <v>0</v>
      </c>
      <c r="I127" s="408">
        <v>489360</v>
      </c>
      <c r="J127" s="408">
        <v>0</v>
      </c>
      <c r="K127" s="408">
        <v>0</v>
      </c>
      <c r="L127" s="408">
        <v>0</v>
      </c>
      <c r="M127" s="408">
        <v>0</v>
      </c>
      <c r="N127" s="408">
        <v>0</v>
      </c>
      <c r="O127" s="408">
        <v>0</v>
      </c>
      <c r="P127" s="408">
        <v>0</v>
      </c>
      <c r="Q127" s="408">
        <v>0</v>
      </c>
      <c r="R127" s="408">
        <v>0</v>
      </c>
      <c r="S127" s="408">
        <v>0</v>
      </c>
      <c r="T127" s="408">
        <v>0</v>
      </c>
      <c r="U127" s="408">
        <v>0</v>
      </c>
      <c r="V127" s="408">
        <v>0</v>
      </c>
      <c r="W127" s="408">
        <v>0</v>
      </c>
      <c r="X127" s="408">
        <v>0</v>
      </c>
      <c r="Y127" s="408">
        <v>0</v>
      </c>
      <c r="Z127" s="408">
        <v>653593</v>
      </c>
      <c r="AA127" s="408">
        <v>0</v>
      </c>
      <c r="AB127" s="408">
        <v>0</v>
      </c>
      <c r="AC127" s="408">
        <v>0</v>
      </c>
      <c r="AD127" s="408">
        <v>0</v>
      </c>
      <c r="AE127" s="408">
        <v>0</v>
      </c>
      <c r="AF127" s="408">
        <v>0</v>
      </c>
      <c r="AG127" s="408">
        <v>0</v>
      </c>
      <c r="AH127" s="408">
        <v>0</v>
      </c>
      <c r="AI127" s="408">
        <v>0</v>
      </c>
      <c r="AJ127" s="408">
        <v>0</v>
      </c>
      <c r="AK127" s="408">
        <v>0</v>
      </c>
      <c r="AL127" s="408">
        <v>0</v>
      </c>
      <c r="AM127" s="408">
        <v>0</v>
      </c>
      <c r="AN127" s="408">
        <v>0</v>
      </c>
      <c r="AO127" s="408">
        <v>0</v>
      </c>
      <c r="AP127" s="408">
        <v>0</v>
      </c>
      <c r="AQ127" s="408">
        <v>0</v>
      </c>
      <c r="AR127" s="408">
        <v>0</v>
      </c>
      <c r="AS127" s="408">
        <v>0</v>
      </c>
      <c r="AT127" s="408">
        <v>0</v>
      </c>
      <c r="AU127" s="408">
        <v>0</v>
      </c>
      <c r="AV127" s="408">
        <v>0</v>
      </c>
      <c r="AW127" s="408">
        <v>0</v>
      </c>
      <c r="AX127" s="408">
        <v>0</v>
      </c>
      <c r="AY127" s="408">
        <v>0</v>
      </c>
      <c r="AZ127" s="408">
        <v>0</v>
      </c>
      <c r="BA127" s="408">
        <v>0</v>
      </c>
      <c r="BB127" s="408">
        <v>0</v>
      </c>
      <c r="BC127" s="408">
        <v>0</v>
      </c>
      <c r="BD127" s="408">
        <v>0</v>
      </c>
      <c r="BE127" s="408">
        <v>0</v>
      </c>
      <c r="BF127" s="408">
        <v>0</v>
      </c>
      <c r="BG127" s="408">
        <v>0</v>
      </c>
      <c r="BH127" s="408">
        <v>0</v>
      </c>
      <c r="BI127" s="408">
        <v>7500</v>
      </c>
      <c r="BJ127" s="408">
        <v>0</v>
      </c>
      <c r="BK127" s="408">
        <v>0</v>
      </c>
      <c r="BL127" s="408">
        <v>0</v>
      </c>
      <c r="BM127" s="408">
        <v>0</v>
      </c>
      <c r="BN127" s="408">
        <v>0</v>
      </c>
      <c r="BO127" s="408">
        <v>0</v>
      </c>
      <c r="BP127" s="408">
        <v>0</v>
      </c>
      <c r="BQ127" s="408">
        <v>0</v>
      </c>
      <c r="BR127" s="408">
        <v>0</v>
      </c>
      <c r="BS127" s="408">
        <v>0</v>
      </c>
      <c r="BT127" s="408">
        <v>0</v>
      </c>
    </row>
    <row r="128" spans="1:72" s="408" customFormat="1" x14ac:dyDescent="0.3">
      <c r="A128" s="408">
        <v>367</v>
      </c>
      <c r="B128" s="409"/>
      <c r="C128" s="408">
        <v>367</v>
      </c>
      <c r="D128" s="408" t="s">
        <v>642</v>
      </c>
      <c r="E128" s="408" t="s">
        <v>445</v>
      </c>
    </row>
    <row r="129" spans="1:72" s="408" customFormat="1" x14ac:dyDescent="0.3">
      <c r="A129" s="408">
        <v>368</v>
      </c>
      <c r="B129" s="409">
        <v>368</v>
      </c>
      <c r="C129" s="408">
        <v>368</v>
      </c>
      <c r="D129" s="408" t="s">
        <v>200</v>
      </c>
      <c r="E129" s="408" t="s">
        <v>446</v>
      </c>
      <c r="F129" s="408">
        <v>0</v>
      </c>
      <c r="G129" s="408">
        <v>0</v>
      </c>
      <c r="H129" s="408">
        <v>0</v>
      </c>
      <c r="I129" s="408">
        <v>0</v>
      </c>
      <c r="J129" s="408">
        <v>0</v>
      </c>
      <c r="K129" s="408">
        <v>0</v>
      </c>
      <c r="L129" s="408">
        <v>0</v>
      </c>
      <c r="M129" s="408">
        <v>0</v>
      </c>
      <c r="N129" s="408">
        <v>0</v>
      </c>
      <c r="O129" s="408">
        <v>0</v>
      </c>
      <c r="P129" s="408">
        <v>375476</v>
      </c>
      <c r="Q129" s="408">
        <v>0</v>
      </c>
      <c r="R129" s="408">
        <v>0</v>
      </c>
      <c r="S129" s="408">
        <v>0</v>
      </c>
      <c r="T129" s="408">
        <v>0</v>
      </c>
      <c r="U129" s="408">
        <v>0</v>
      </c>
      <c r="V129" s="408">
        <v>0</v>
      </c>
      <c r="W129" s="408">
        <v>0</v>
      </c>
      <c r="X129" s="408">
        <v>0</v>
      </c>
      <c r="Y129" s="408">
        <v>0</v>
      </c>
      <c r="Z129" s="408">
        <v>0</v>
      </c>
      <c r="AA129" s="408">
        <v>0</v>
      </c>
      <c r="AB129" s="408">
        <v>0</v>
      </c>
      <c r="AC129" s="408">
        <v>0</v>
      </c>
      <c r="AD129" s="408">
        <v>24000</v>
      </c>
      <c r="AE129" s="408">
        <v>0</v>
      </c>
      <c r="AF129" s="408">
        <v>0</v>
      </c>
      <c r="AG129" s="408">
        <v>17897</v>
      </c>
      <c r="AH129" s="408">
        <v>0</v>
      </c>
      <c r="AI129" s="408">
        <v>0</v>
      </c>
      <c r="AJ129" s="408">
        <v>0</v>
      </c>
      <c r="AK129" s="408">
        <v>0</v>
      </c>
      <c r="AL129" s="408">
        <v>0</v>
      </c>
      <c r="AM129" s="408">
        <v>0</v>
      </c>
      <c r="AN129" s="408">
        <v>0</v>
      </c>
      <c r="AO129" s="408">
        <v>0</v>
      </c>
      <c r="AP129" s="408">
        <v>0</v>
      </c>
      <c r="AQ129" s="408">
        <v>0</v>
      </c>
      <c r="AR129" s="408">
        <v>0</v>
      </c>
      <c r="AS129" s="408">
        <v>0</v>
      </c>
      <c r="AT129" s="408">
        <v>0</v>
      </c>
      <c r="AU129" s="408">
        <v>0</v>
      </c>
      <c r="AV129" s="408">
        <v>0</v>
      </c>
      <c r="AW129" s="408">
        <v>0</v>
      </c>
      <c r="AX129" s="408">
        <v>162924</v>
      </c>
      <c r="AY129" s="408">
        <v>0</v>
      </c>
      <c r="AZ129" s="408">
        <v>12210</v>
      </c>
      <c r="BA129" s="408">
        <v>130000</v>
      </c>
      <c r="BB129" s="408">
        <v>0</v>
      </c>
      <c r="BC129" s="408">
        <v>0</v>
      </c>
      <c r="BD129" s="408">
        <v>0</v>
      </c>
      <c r="BE129" s="408">
        <v>0</v>
      </c>
      <c r="BF129" s="408">
        <v>0</v>
      </c>
      <c r="BG129" s="408">
        <v>0</v>
      </c>
      <c r="BH129" s="408">
        <v>0</v>
      </c>
      <c r="BI129" s="408">
        <v>0</v>
      </c>
      <c r="BJ129" s="408">
        <v>21579</v>
      </c>
      <c r="BK129" s="408">
        <v>0</v>
      </c>
      <c r="BL129" s="408">
        <v>0</v>
      </c>
      <c r="BM129" s="408">
        <v>0</v>
      </c>
      <c r="BN129" s="408">
        <v>0</v>
      </c>
      <c r="BO129" s="408">
        <v>0</v>
      </c>
      <c r="BP129" s="408">
        <v>0</v>
      </c>
      <c r="BQ129" s="408">
        <v>0</v>
      </c>
      <c r="BR129" s="408">
        <v>0</v>
      </c>
      <c r="BS129" s="408">
        <v>0</v>
      </c>
      <c r="BT129" s="408">
        <v>675</v>
      </c>
    </row>
    <row r="130" spans="1:72" s="408" customFormat="1" x14ac:dyDescent="0.3">
      <c r="A130" s="408">
        <v>369</v>
      </c>
      <c r="B130" s="409">
        <v>369</v>
      </c>
      <c r="C130" s="408">
        <v>369</v>
      </c>
      <c r="D130" s="408" t="s">
        <v>205</v>
      </c>
      <c r="E130" s="408" t="s">
        <v>447</v>
      </c>
      <c r="F130" s="408">
        <v>3615324</v>
      </c>
      <c r="G130" s="408">
        <v>534159</v>
      </c>
      <c r="H130" s="408">
        <v>74096</v>
      </c>
      <c r="I130" s="408">
        <v>6757664</v>
      </c>
      <c r="J130" s="408">
        <v>70589</v>
      </c>
      <c r="K130" s="408">
        <v>828912</v>
      </c>
      <c r="L130" s="408">
        <v>1634357</v>
      </c>
      <c r="M130" s="408">
        <v>268131</v>
      </c>
      <c r="N130" s="408">
        <v>6387377</v>
      </c>
      <c r="O130" s="408">
        <v>20126</v>
      </c>
      <c r="P130" s="408">
        <v>4231658</v>
      </c>
      <c r="Q130" s="408">
        <v>488758</v>
      </c>
      <c r="R130" s="408">
        <v>10728364</v>
      </c>
      <c r="S130" s="408">
        <v>11213639</v>
      </c>
      <c r="T130" s="408">
        <v>0</v>
      </c>
      <c r="U130" s="408">
        <v>623701</v>
      </c>
      <c r="V130" s="408">
        <v>595307</v>
      </c>
      <c r="W130" s="408">
        <v>380855</v>
      </c>
      <c r="X130" s="408">
        <v>246496</v>
      </c>
      <c r="Y130" s="408">
        <v>82695</v>
      </c>
      <c r="Z130" s="408">
        <v>764484</v>
      </c>
      <c r="AA130" s="408">
        <v>0</v>
      </c>
      <c r="AB130" s="408">
        <v>0</v>
      </c>
      <c r="AC130" s="408">
        <v>266484</v>
      </c>
      <c r="AD130" s="408">
        <v>1834385</v>
      </c>
      <c r="AE130" s="408">
        <v>825296</v>
      </c>
      <c r="AF130" s="408">
        <v>7704</v>
      </c>
      <c r="AG130" s="408">
        <v>120339</v>
      </c>
      <c r="AH130" s="408">
        <v>14394</v>
      </c>
      <c r="AI130" s="408">
        <v>1330312</v>
      </c>
      <c r="AJ130" s="408">
        <v>2465154</v>
      </c>
      <c r="AK130" s="408">
        <v>204092</v>
      </c>
      <c r="AL130" s="408">
        <v>0</v>
      </c>
      <c r="AM130" s="408">
        <v>0</v>
      </c>
      <c r="AN130" s="408">
        <v>64429</v>
      </c>
      <c r="AO130" s="408">
        <v>413470</v>
      </c>
      <c r="AP130" s="408">
        <v>449268</v>
      </c>
      <c r="AQ130" s="408">
        <v>1473348</v>
      </c>
      <c r="AR130" s="408">
        <v>100056</v>
      </c>
      <c r="AS130" s="408">
        <v>501339</v>
      </c>
      <c r="AT130" s="408">
        <v>520320</v>
      </c>
      <c r="AU130" s="408">
        <v>1354490</v>
      </c>
      <c r="AV130" s="408">
        <v>867800</v>
      </c>
      <c r="AW130" s="408">
        <v>0</v>
      </c>
      <c r="AX130" s="408">
        <v>1270987</v>
      </c>
      <c r="AY130" s="408">
        <v>776172</v>
      </c>
      <c r="AZ130" s="408">
        <v>2573317</v>
      </c>
      <c r="BA130" s="408">
        <v>252366</v>
      </c>
      <c r="BB130" s="408">
        <v>96202</v>
      </c>
      <c r="BC130" s="408">
        <v>3732164</v>
      </c>
      <c r="BD130" s="408">
        <v>488302</v>
      </c>
      <c r="BE130" s="408">
        <v>124776</v>
      </c>
      <c r="BF130" s="408">
        <v>357306</v>
      </c>
      <c r="BG130" s="408">
        <v>2596428</v>
      </c>
      <c r="BH130" s="408">
        <v>373220</v>
      </c>
      <c r="BI130" s="408">
        <v>54006</v>
      </c>
      <c r="BJ130" s="408">
        <v>0</v>
      </c>
      <c r="BK130" s="408">
        <v>248422</v>
      </c>
      <c r="BL130" s="408">
        <v>201633</v>
      </c>
      <c r="BM130" s="408">
        <v>135556</v>
      </c>
      <c r="BN130" s="408">
        <v>347834</v>
      </c>
      <c r="BO130" s="408">
        <v>594592</v>
      </c>
      <c r="BP130" s="408">
        <v>189659</v>
      </c>
      <c r="BQ130" s="408">
        <v>1704295</v>
      </c>
      <c r="BR130" s="408">
        <v>7781478</v>
      </c>
      <c r="BS130" s="408">
        <v>771761</v>
      </c>
      <c r="BT130" s="408">
        <v>4226614</v>
      </c>
    </row>
    <row r="131" spans="1:72" s="408" customFormat="1" x14ac:dyDescent="0.3">
      <c r="A131" s="408">
        <v>370</v>
      </c>
      <c r="B131" s="409">
        <v>370</v>
      </c>
      <c r="C131" s="408">
        <v>370</v>
      </c>
      <c r="D131" s="408" t="s">
        <v>207</v>
      </c>
      <c r="E131" s="408" t="s">
        <v>448</v>
      </c>
      <c r="F131" s="408">
        <v>644896</v>
      </c>
      <c r="G131" s="408">
        <v>493143</v>
      </c>
      <c r="H131" s="408">
        <v>0</v>
      </c>
      <c r="I131" s="408">
        <v>730081</v>
      </c>
      <c r="J131" s="408">
        <v>0</v>
      </c>
      <c r="K131" s="408">
        <v>0</v>
      </c>
      <c r="L131" s="408">
        <v>105432</v>
      </c>
      <c r="M131" s="408">
        <v>0</v>
      </c>
      <c r="N131" s="408">
        <v>7467180</v>
      </c>
      <c r="O131" s="408">
        <v>0</v>
      </c>
      <c r="P131" s="408">
        <v>0</v>
      </c>
      <c r="Q131" s="408">
        <v>145244</v>
      </c>
      <c r="R131" s="408">
        <v>661513</v>
      </c>
      <c r="S131" s="408">
        <v>8803871</v>
      </c>
      <c r="T131" s="408">
        <v>0</v>
      </c>
      <c r="U131" s="408">
        <v>64437</v>
      </c>
      <c r="V131" s="408">
        <v>353256</v>
      </c>
      <c r="W131" s="408">
        <v>46418</v>
      </c>
      <c r="X131" s="408">
        <v>0</v>
      </c>
      <c r="Y131" s="408">
        <v>0</v>
      </c>
      <c r="Z131" s="408">
        <v>302217</v>
      </c>
      <c r="AA131" s="408">
        <v>0</v>
      </c>
      <c r="AB131" s="408">
        <v>0</v>
      </c>
      <c r="AC131" s="408">
        <v>22999</v>
      </c>
      <c r="AD131" s="408">
        <v>3837812</v>
      </c>
      <c r="AE131" s="408">
        <v>77024</v>
      </c>
      <c r="AF131" s="408">
        <v>0</v>
      </c>
      <c r="AG131" s="408">
        <v>0</v>
      </c>
      <c r="AH131" s="408">
        <v>0</v>
      </c>
      <c r="AI131" s="408">
        <v>1486241</v>
      </c>
      <c r="AJ131" s="408">
        <v>125932</v>
      </c>
      <c r="AK131" s="408">
        <v>37466</v>
      </c>
      <c r="AL131" s="408">
        <v>0</v>
      </c>
      <c r="AM131" s="408">
        <v>0</v>
      </c>
      <c r="AN131" s="408">
        <v>0</v>
      </c>
      <c r="AO131" s="408">
        <v>131121</v>
      </c>
      <c r="AP131" s="408">
        <v>0</v>
      </c>
      <c r="AQ131" s="408">
        <v>322320</v>
      </c>
      <c r="AR131" s="408">
        <v>0</v>
      </c>
      <c r="AS131" s="408">
        <v>29668</v>
      </c>
      <c r="AT131" s="408">
        <v>12263</v>
      </c>
      <c r="AU131" s="408">
        <v>195436</v>
      </c>
      <c r="AV131" s="408">
        <v>0</v>
      </c>
      <c r="AW131" s="408">
        <v>0</v>
      </c>
      <c r="AX131" s="408">
        <v>382791</v>
      </c>
      <c r="AY131" s="408">
        <v>92982</v>
      </c>
      <c r="AZ131" s="408">
        <v>1288298</v>
      </c>
      <c r="BA131" s="408">
        <v>0</v>
      </c>
      <c r="BB131" s="408">
        <v>0</v>
      </c>
      <c r="BC131" s="408">
        <v>132399</v>
      </c>
      <c r="BD131" s="408">
        <v>58232</v>
      </c>
      <c r="BE131" s="408">
        <v>0</v>
      </c>
      <c r="BF131" s="408">
        <v>0</v>
      </c>
      <c r="BG131" s="408">
        <v>336632</v>
      </c>
      <c r="BH131" s="408">
        <v>0</v>
      </c>
      <c r="BI131" s="408">
        <v>52818</v>
      </c>
      <c r="BJ131" s="408">
        <v>125842</v>
      </c>
      <c r="BK131" s="408">
        <v>11219</v>
      </c>
      <c r="BL131" s="408">
        <v>43637</v>
      </c>
      <c r="BM131" s="408">
        <v>0</v>
      </c>
      <c r="BN131" s="408">
        <v>0</v>
      </c>
      <c r="BO131" s="408">
        <v>0</v>
      </c>
      <c r="BP131" s="408">
        <v>0</v>
      </c>
      <c r="BQ131" s="408">
        <v>146113</v>
      </c>
      <c r="BR131" s="408">
        <v>2524718</v>
      </c>
      <c r="BS131" s="408">
        <v>17778</v>
      </c>
      <c r="BT131" s="408">
        <v>425407</v>
      </c>
    </row>
    <row r="132" spans="1:72" s="408" customFormat="1" x14ac:dyDescent="0.3">
      <c r="A132" s="408">
        <v>371</v>
      </c>
      <c r="B132" s="409">
        <v>371</v>
      </c>
      <c r="C132" s="408">
        <v>371</v>
      </c>
      <c r="D132" s="408" t="s">
        <v>262</v>
      </c>
      <c r="E132" s="408" t="s">
        <v>449</v>
      </c>
      <c r="F132" s="408">
        <v>0</v>
      </c>
      <c r="G132" s="408">
        <v>0</v>
      </c>
      <c r="H132" s="408">
        <v>0</v>
      </c>
      <c r="I132" s="408">
        <v>0</v>
      </c>
      <c r="J132" s="408">
        <v>0</v>
      </c>
      <c r="K132" s="408">
        <v>0</v>
      </c>
      <c r="L132" s="408">
        <v>0</v>
      </c>
      <c r="M132" s="408">
        <v>0</v>
      </c>
      <c r="N132" s="408">
        <v>0</v>
      </c>
      <c r="O132" s="408">
        <v>0</v>
      </c>
      <c r="P132" s="408">
        <v>0</v>
      </c>
      <c r="Q132" s="408">
        <v>0</v>
      </c>
      <c r="R132" s="408">
        <v>0</v>
      </c>
      <c r="S132" s="408">
        <v>0</v>
      </c>
      <c r="T132" s="408">
        <v>0</v>
      </c>
      <c r="U132" s="408">
        <v>0</v>
      </c>
      <c r="V132" s="408">
        <v>0</v>
      </c>
      <c r="W132" s="408">
        <v>0</v>
      </c>
      <c r="X132" s="408">
        <v>0</v>
      </c>
      <c r="Y132" s="408">
        <v>0</v>
      </c>
      <c r="Z132" s="408">
        <v>0</v>
      </c>
      <c r="AA132" s="408">
        <v>0</v>
      </c>
      <c r="AB132" s="408">
        <v>0</v>
      </c>
      <c r="AC132" s="408">
        <v>0</v>
      </c>
      <c r="AD132" s="408">
        <v>0</v>
      </c>
      <c r="AE132" s="408">
        <v>0</v>
      </c>
      <c r="AF132" s="408">
        <v>0</v>
      </c>
      <c r="AG132" s="408">
        <v>0</v>
      </c>
      <c r="AH132" s="408">
        <v>0</v>
      </c>
      <c r="AI132" s="408">
        <v>0</v>
      </c>
      <c r="AJ132" s="408">
        <v>0</v>
      </c>
      <c r="AK132" s="408">
        <v>0</v>
      </c>
      <c r="AL132" s="408">
        <v>0</v>
      </c>
      <c r="AM132" s="408">
        <v>0</v>
      </c>
      <c r="AN132" s="408">
        <v>0</v>
      </c>
      <c r="AO132" s="408">
        <v>0</v>
      </c>
      <c r="AP132" s="408">
        <v>0</v>
      </c>
      <c r="AQ132" s="408">
        <v>0</v>
      </c>
      <c r="AR132" s="408">
        <v>0</v>
      </c>
      <c r="AS132" s="408">
        <v>0</v>
      </c>
      <c r="AT132" s="408">
        <v>0</v>
      </c>
      <c r="AU132" s="408">
        <v>0</v>
      </c>
      <c r="AV132" s="408">
        <v>0</v>
      </c>
      <c r="AW132" s="408">
        <v>0</v>
      </c>
      <c r="AX132" s="408">
        <v>0</v>
      </c>
      <c r="AY132" s="408">
        <v>0</v>
      </c>
      <c r="AZ132" s="408">
        <v>0</v>
      </c>
      <c r="BA132" s="408">
        <v>0</v>
      </c>
      <c r="BB132" s="408">
        <v>0</v>
      </c>
      <c r="BC132" s="408">
        <v>0</v>
      </c>
      <c r="BD132" s="408">
        <v>0</v>
      </c>
      <c r="BE132" s="408">
        <v>0</v>
      </c>
      <c r="BF132" s="408">
        <v>0</v>
      </c>
      <c r="BG132" s="408">
        <v>0</v>
      </c>
      <c r="BH132" s="408">
        <v>0</v>
      </c>
      <c r="BI132" s="408">
        <v>0</v>
      </c>
      <c r="BJ132" s="408">
        <v>0</v>
      </c>
      <c r="BK132" s="408">
        <v>0</v>
      </c>
      <c r="BL132" s="408">
        <v>0</v>
      </c>
      <c r="BM132" s="408">
        <v>0</v>
      </c>
      <c r="BN132" s="408">
        <v>0</v>
      </c>
      <c r="BO132" s="408">
        <v>0</v>
      </c>
      <c r="BP132" s="408">
        <v>0</v>
      </c>
      <c r="BQ132" s="408">
        <v>0</v>
      </c>
      <c r="BR132" s="408">
        <v>0</v>
      </c>
      <c r="BS132" s="408">
        <v>0</v>
      </c>
      <c r="BT132" s="408">
        <v>0</v>
      </c>
    </row>
    <row r="133" spans="1:72" s="408" customFormat="1" x14ac:dyDescent="0.3">
      <c r="A133" s="408">
        <v>373</v>
      </c>
      <c r="B133" s="409">
        <v>373</v>
      </c>
      <c r="C133" s="408">
        <v>373</v>
      </c>
      <c r="D133" s="408" t="s">
        <v>549</v>
      </c>
      <c r="E133" s="408" t="s">
        <v>450</v>
      </c>
      <c r="F133" s="408">
        <v>11025240</v>
      </c>
      <c r="G133" s="408">
        <v>12397865</v>
      </c>
      <c r="H133" s="408">
        <v>276368</v>
      </c>
      <c r="I133" s="408">
        <v>15357758</v>
      </c>
      <c r="J133" s="408">
        <v>60580</v>
      </c>
      <c r="K133" s="408">
        <v>2415133</v>
      </c>
      <c r="L133" s="408">
        <v>3742576</v>
      </c>
      <c r="M133" s="408">
        <v>310545</v>
      </c>
      <c r="N133" s="408">
        <v>169815736</v>
      </c>
      <c r="O133" s="408">
        <v>25112</v>
      </c>
      <c r="P133" s="408">
        <v>6507640</v>
      </c>
      <c r="Q133" s="408">
        <v>218804</v>
      </c>
      <c r="R133" s="408">
        <v>44840513</v>
      </c>
      <c r="S133" s="408">
        <v>302082897</v>
      </c>
      <c r="T133" s="408">
        <v>0</v>
      </c>
      <c r="U133" s="408">
        <v>1199152</v>
      </c>
      <c r="V133" s="408">
        <v>4037261</v>
      </c>
      <c r="W133" s="408">
        <v>1894685</v>
      </c>
      <c r="X133" s="408">
        <v>914814</v>
      </c>
      <c r="Y133" s="408">
        <v>468414</v>
      </c>
      <c r="Z133" s="408">
        <v>6053482</v>
      </c>
      <c r="AA133" s="408">
        <v>0</v>
      </c>
      <c r="AB133" s="408">
        <v>0</v>
      </c>
      <c r="AC133" s="408">
        <v>2179493</v>
      </c>
      <c r="AD133" s="408">
        <v>5347593</v>
      </c>
      <c r="AE133" s="408">
        <v>1834827</v>
      </c>
      <c r="AF133" s="408">
        <v>265279</v>
      </c>
      <c r="AG133" s="408">
        <v>233976</v>
      </c>
      <c r="AH133" s="408">
        <v>41274</v>
      </c>
      <c r="AI133" s="408">
        <v>4571538</v>
      </c>
      <c r="AJ133" s="408">
        <v>7930479</v>
      </c>
      <c r="AK133" s="408">
        <v>3545123</v>
      </c>
      <c r="AL133" s="408">
        <v>0</v>
      </c>
      <c r="AM133" s="408">
        <v>0</v>
      </c>
      <c r="AN133" s="408">
        <v>1239702</v>
      </c>
      <c r="AO133" s="408">
        <v>4527423</v>
      </c>
      <c r="AP133" s="408">
        <v>3543651</v>
      </c>
      <c r="AQ133" s="408">
        <v>6562857</v>
      </c>
      <c r="AR133" s="408">
        <v>735620</v>
      </c>
      <c r="AS133" s="408">
        <v>1334576</v>
      </c>
      <c r="AT133" s="408">
        <v>1531589</v>
      </c>
      <c r="AU133" s="408">
        <v>2787982</v>
      </c>
      <c r="AV133" s="408">
        <v>3966630</v>
      </c>
      <c r="AW133" s="408">
        <v>0</v>
      </c>
      <c r="AX133" s="408">
        <v>7751328</v>
      </c>
      <c r="AY133" s="408">
        <v>1839735</v>
      </c>
      <c r="AZ133" s="408">
        <v>9110808</v>
      </c>
      <c r="BA133" s="408">
        <v>7022</v>
      </c>
      <c r="BB133" s="408">
        <v>102311</v>
      </c>
      <c r="BC133" s="408">
        <v>3504849</v>
      </c>
      <c r="BD133" s="408">
        <v>1625883</v>
      </c>
      <c r="BE133" s="408">
        <v>584</v>
      </c>
      <c r="BF133" s="408">
        <v>412489</v>
      </c>
      <c r="BG133" s="408">
        <v>16319783</v>
      </c>
      <c r="BH133" s="408">
        <v>579277</v>
      </c>
      <c r="BI133" s="408">
        <v>1104838</v>
      </c>
      <c r="BJ133" s="408">
        <v>9759463</v>
      </c>
      <c r="BK133" s="408">
        <v>539045</v>
      </c>
      <c r="BL133" s="408">
        <v>735988</v>
      </c>
      <c r="BM133" s="408">
        <v>416003</v>
      </c>
      <c r="BN133" s="408">
        <v>202446</v>
      </c>
      <c r="BO133" s="408">
        <v>3061085</v>
      </c>
      <c r="BP133" s="408">
        <v>222756</v>
      </c>
      <c r="BQ133" s="408">
        <v>3121041</v>
      </c>
      <c r="BR133" s="408">
        <v>68598211</v>
      </c>
      <c r="BS133" s="408">
        <v>3689530</v>
      </c>
      <c r="BT133" s="408">
        <v>6473323</v>
      </c>
    </row>
    <row r="134" spans="1:72" s="408" customFormat="1" x14ac:dyDescent="0.3">
      <c r="A134" s="408">
        <v>375</v>
      </c>
      <c r="B134" s="409">
        <v>375</v>
      </c>
      <c r="C134" s="408">
        <v>375</v>
      </c>
      <c r="D134" s="408" t="s">
        <v>222</v>
      </c>
      <c r="E134" s="408" t="s">
        <v>451</v>
      </c>
      <c r="F134" s="408">
        <v>2042440</v>
      </c>
      <c r="G134" s="408">
        <v>257600</v>
      </c>
      <c r="H134" s="408">
        <v>295499</v>
      </c>
      <c r="I134" s="408">
        <v>2865520</v>
      </c>
      <c r="J134" s="408" t="s">
        <v>1764</v>
      </c>
      <c r="K134" s="408">
        <v>133165</v>
      </c>
      <c r="L134" s="408">
        <v>4245205</v>
      </c>
      <c r="M134" s="408">
        <v>1140292</v>
      </c>
      <c r="N134" s="408">
        <v>56905464</v>
      </c>
      <c r="O134" s="408" t="s">
        <v>1751</v>
      </c>
      <c r="P134" s="408">
        <v>6992358</v>
      </c>
      <c r="Q134" s="408" t="s">
        <v>1751</v>
      </c>
      <c r="R134" s="408">
        <v>9427132</v>
      </c>
      <c r="S134" s="408">
        <v>62403031</v>
      </c>
      <c r="T134" s="408" t="s">
        <v>1751</v>
      </c>
      <c r="U134" s="408">
        <v>152717</v>
      </c>
      <c r="V134" s="408">
        <v>1334672</v>
      </c>
      <c r="W134" s="408">
        <v>249485</v>
      </c>
      <c r="X134" s="408">
        <v>107907</v>
      </c>
      <c r="Y134" s="408">
        <v>27686</v>
      </c>
      <c r="Z134" s="408">
        <v>517189</v>
      </c>
      <c r="AA134" s="408" t="s">
        <v>1751</v>
      </c>
      <c r="AB134" s="408" t="s">
        <v>1751</v>
      </c>
      <c r="AC134" s="408">
        <v>55577</v>
      </c>
      <c r="AD134" s="408">
        <v>1796712</v>
      </c>
      <c r="AE134" s="408">
        <v>1622558</v>
      </c>
      <c r="AF134" s="408">
        <v>-187892</v>
      </c>
      <c r="AG134" s="408" t="s">
        <v>1751</v>
      </c>
      <c r="AH134" s="408" t="s">
        <v>1751</v>
      </c>
      <c r="AI134" s="408">
        <v>2508041</v>
      </c>
      <c r="AJ134" s="408">
        <v>2387976</v>
      </c>
      <c r="AK134" s="408">
        <v>-139336</v>
      </c>
      <c r="AL134" s="408" t="s">
        <v>1751</v>
      </c>
      <c r="AM134" s="408" t="s">
        <v>1751</v>
      </c>
      <c r="AN134" s="408" t="s">
        <v>1751</v>
      </c>
      <c r="AO134" s="408">
        <v>-311225</v>
      </c>
      <c r="AP134" s="408">
        <v>1949743</v>
      </c>
      <c r="AQ134" s="408">
        <v>864929</v>
      </c>
      <c r="AR134" s="408" t="s">
        <v>1751</v>
      </c>
      <c r="AS134" s="408">
        <v>32630</v>
      </c>
      <c r="AT134" s="408">
        <v>863006</v>
      </c>
      <c r="AU134" s="408">
        <v>398677</v>
      </c>
      <c r="AV134" s="408">
        <v>1291705</v>
      </c>
      <c r="AW134" s="408" t="s">
        <v>1751</v>
      </c>
      <c r="AX134" s="408">
        <v>182725</v>
      </c>
      <c r="AY134" s="408">
        <v>593943</v>
      </c>
      <c r="AZ134" s="408">
        <v>-471319</v>
      </c>
      <c r="BA134" s="408">
        <v>78137</v>
      </c>
      <c r="BB134" s="408" t="s">
        <v>1751</v>
      </c>
      <c r="BC134" s="408" t="s">
        <v>1751</v>
      </c>
      <c r="BD134" s="408">
        <v>604799</v>
      </c>
      <c r="BE134" s="408" t="s">
        <v>1751</v>
      </c>
      <c r="BF134" s="408">
        <v>13521</v>
      </c>
      <c r="BG134" s="408">
        <v>19181598</v>
      </c>
      <c r="BH134" s="408">
        <v>537625</v>
      </c>
      <c r="BI134" s="408">
        <v>732366</v>
      </c>
      <c r="BJ134" s="408">
        <v>395033</v>
      </c>
      <c r="BK134" s="408">
        <v>665485</v>
      </c>
      <c r="BL134" s="408">
        <v>581359</v>
      </c>
      <c r="BM134" s="408" t="s">
        <v>1751</v>
      </c>
      <c r="BN134" s="408">
        <v>200220</v>
      </c>
      <c r="BO134" s="408">
        <v>599171</v>
      </c>
      <c r="BP134" s="408">
        <v>1057432</v>
      </c>
      <c r="BQ134" s="408">
        <v>2849121</v>
      </c>
      <c r="BR134" s="408">
        <v>43884925</v>
      </c>
      <c r="BS134" s="408">
        <v>-1261030</v>
      </c>
      <c r="BT134" s="408" t="s">
        <v>1751</v>
      </c>
    </row>
    <row r="135" spans="1:72" s="408" customFormat="1" x14ac:dyDescent="0.3">
      <c r="A135" s="408">
        <v>376</v>
      </c>
      <c r="B135" s="409">
        <v>376</v>
      </c>
      <c r="C135" s="408">
        <v>376</v>
      </c>
      <c r="D135" s="408" t="s">
        <v>108</v>
      </c>
      <c r="E135" s="408" t="s">
        <v>452</v>
      </c>
      <c r="F135" s="408" t="s">
        <v>1764</v>
      </c>
      <c r="G135" s="408" t="s">
        <v>1764</v>
      </c>
      <c r="H135" s="408" t="s">
        <v>1764</v>
      </c>
      <c r="I135" s="408" t="s">
        <v>1764</v>
      </c>
      <c r="J135" s="408" t="s">
        <v>1764</v>
      </c>
      <c r="K135" s="408" t="s">
        <v>1764</v>
      </c>
      <c r="L135" s="408" t="s">
        <v>1764</v>
      </c>
      <c r="M135" s="408" t="s">
        <v>1751</v>
      </c>
      <c r="N135" s="408" t="s">
        <v>1751</v>
      </c>
      <c r="O135" s="408" t="s">
        <v>1751</v>
      </c>
      <c r="P135" s="408" t="s">
        <v>1751</v>
      </c>
      <c r="Q135" s="408" t="s">
        <v>1751</v>
      </c>
      <c r="R135" s="408" t="s">
        <v>1751</v>
      </c>
      <c r="S135" s="408" t="s">
        <v>1751</v>
      </c>
      <c r="T135" s="408" t="s">
        <v>1751</v>
      </c>
      <c r="U135" s="408" t="s">
        <v>1751</v>
      </c>
      <c r="V135" s="408" t="s">
        <v>1751</v>
      </c>
      <c r="W135" s="408" t="s">
        <v>1751</v>
      </c>
      <c r="X135" s="408" t="s">
        <v>1751</v>
      </c>
      <c r="Y135" s="408" t="s">
        <v>1751</v>
      </c>
      <c r="Z135" s="408" t="s">
        <v>1751</v>
      </c>
      <c r="AA135" s="408" t="s">
        <v>1751</v>
      </c>
      <c r="AB135" s="408" t="s">
        <v>1751</v>
      </c>
      <c r="AC135" s="408" t="s">
        <v>1751</v>
      </c>
      <c r="AD135" s="408" t="s">
        <v>1751</v>
      </c>
      <c r="AE135" s="408" t="s">
        <v>1751</v>
      </c>
      <c r="AF135" s="408">
        <v>-11765</v>
      </c>
      <c r="AG135" s="408" t="s">
        <v>1751</v>
      </c>
      <c r="AH135" s="408" t="s">
        <v>1751</v>
      </c>
      <c r="AI135" s="408" t="s">
        <v>1751</v>
      </c>
      <c r="AJ135" s="408" t="s">
        <v>1751</v>
      </c>
      <c r="AK135" s="408" t="s">
        <v>1751</v>
      </c>
      <c r="AL135" s="408" t="s">
        <v>1751</v>
      </c>
      <c r="AM135" s="408" t="s">
        <v>1751</v>
      </c>
      <c r="AN135" s="408" t="s">
        <v>1751</v>
      </c>
      <c r="AO135" s="408" t="s">
        <v>1751</v>
      </c>
      <c r="AP135" s="408" t="s">
        <v>1751</v>
      </c>
      <c r="AQ135" s="408" t="s">
        <v>1751</v>
      </c>
      <c r="AR135" s="408" t="s">
        <v>1751</v>
      </c>
      <c r="AS135" s="408" t="s">
        <v>1751</v>
      </c>
      <c r="AT135" s="408">
        <v>27958</v>
      </c>
      <c r="AU135" s="408" t="s">
        <v>1751</v>
      </c>
      <c r="AV135" s="408" t="s">
        <v>1751</v>
      </c>
      <c r="AW135" s="408" t="s">
        <v>1751</v>
      </c>
      <c r="AX135" s="408" t="s">
        <v>1751</v>
      </c>
      <c r="AY135" s="408" t="s">
        <v>1751</v>
      </c>
      <c r="AZ135" s="408" t="s">
        <v>1751</v>
      </c>
      <c r="BA135" s="408" t="s">
        <v>1751</v>
      </c>
      <c r="BB135" s="408" t="s">
        <v>1751</v>
      </c>
      <c r="BC135" s="408" t="s">
        <v>1751</v>
      </c>
      <c r="BD135" s="408" t="s">
        <v>1751</v>
      </c>
      <c r="BE135" s="408" t="s">
        <v>1751</v>
      </c>
      <c r="BF135" s="408" t="s">
        <v>1751</v>
      </c>
      <c r="BG135" s="408" t="s">
        <v>1751</v>
      </c>
      <c r="BH135" s="408" t="s">
        <v>1751</v>
      </c>
      <c r="BI135" s="408" t="s">
        <v>1751</v>
      </c>
      <c r="BJ135" s="408">
        <v>254631</v>
      </c>
      <c r="BK135" s="408" t="s">
        <v>1751</v>
      </c>
      <c r="BL135" s="408" t="s">
        <v>1751</v>
      </c>
      <c r="BM135" s="408" t="s">
        <v>1751</v>
      </c>
      <c r="BN135" s="408" t="s">
        <v>1751</v>
      </c>
      <c r="BO135" s="408" t="s">
        <v>1751</v>
      </c>
      <c r="BP135" s="408" t="s">
        <v>1751</v>
      </c>
      <c r="BQ135" s="408">
        <v>-185836</v>
      </c>
      <c r="BR135" s="408">
        <v>1</v>
      </c>
      <c r="BS135" s="408" t="s">
        <v>1751</v>
      </c>
      <c r="BT135" s="408" t="s">
        <v>1751</v>
      </c>
    </row>
    <row r="136" spans="1:72" s="408" customFormat="1" x14ac:dyDescent="0.3">
      <c r="A136" s="408">
        <v>377</v>
      </c>
      <c r="B136" s="409">
        <v>377</v>
      </c>
      <c r="C136" s="408">
        <v>377</v>
      </c>
      <c r="D136" s="408" t="s">
        <v>109</v>
      </c>
      <c r="E136" s="408" t="s">
        <v>453</v>
      </c>
      <c r="F136" s="408" t="s">
        <v>1764</v>
      </c>
      <c r="G136" s="408" t="s">
        <v>1764</v>
      </c>
      <c r="H136" s="408" t="s">
        <v>1764</v>
      </c>
      <c r="I136" s="408" t="s">
        <v>1764</v>
      </c>
      <c r="J136" s="408" t="s">
        <v>1764</v>
      </c>
      <c r="K136" s="408" t="s">
        <v>1764</v>
      </c>
      <c r="L136" s="408" t="s">
        <v>1764</v>
      </c>
      <c r="M136" s="408" t="s">
        <v>1751</v>
      </c>
      <c r="N136" s="408" t="s">
        <v>1751</v>
      </c>
      <c r="O136" s="408" t="s">
        <v>1751</v>
      </c>
      <c r="P136" s="408" t="s">
        <v>1751</v>
      </c>
      <c r="Q136" s="408" t="s">
        <v>1751</v>
      </c>
      <c r="R136" s="408" t="s">
        <v>1751</v>
      </c>
      <c r="S136" s="408" t="s">
        <v>1751</v>
      </c>
      <c r="T136" s="408" t="s">
        <v>1751</v>
      </c>
      <c r="U136" s="408" t="s">
        <v>1751</v>
      </c>
      <c r="V136" s="408" t="s">
        <v>1751</v>
      </c>
      <c r="W136" s="408" t="s">
        <v>1751</v>
      </c>
      <c r="X136" s="408" t="s">
        <v>1751</v>
      </c>
      <c r="Y136" s="408" t="s">
        <v>1751</v>
      </c>
      <c r="Z136" s="408" t="s">
        <v>1751</v>
      </c>
      <c r="AA136" s="408" t="s">
        <v>1751</v>
      </c>
      <c r="AB136" s="408" t="s">
        <v>1751</v>
      </c>
      <c r="AC136" s="408" t="s">
        <v>1751</v>
      </c>
      <c r="AD136" s="408" t="s">
        <v>1751</v>
      </c>
      <c r="AE136" s="408" t="s">
        <v>1751</v>
      </c>
      <c r="AF136" s="408">
        <v>-4736</v>
      </c>
      <c r="AG136" s="408" t="s">
        <v>1751</v>
      </c>
      <c r="AH136" s="408" t="s">
        <v>1751</v>
      </c>
      <c r="AI136" s="408" t="s">
        <v>1751</v>
      </c>
      <c r="AJ136" s="408" t="s">
        <v>1751</v>
      </c>
      <c r="AK136" s="408">
        <v>-27618</v>
      </c>
      <c r="AL136" s="408" t="s">
        <v>1751</v>
      </c>
      <c r="AM136" s="408" t="s">
        <v>1751</v>
      </c>
      <c r="AN136" s="408" t="s">
        <v>1751</v>
      </c>
      <c r="AO136" s="408">
        <v>-179245</v>
      </c>
      <c r="AP136" s="408" t="s">
        <v>1751</v>
      </c>
      <c r="AQ136" s="408" t="s">
        <v>1751</v>
      </c>
      <c r="AR136" s="408" t="s">
        <v>1751</v>
      </c>
      <c r="AS136" s="408" t="s">
        <v>1751</v>
      </c>
      <c r="AT136" s="408" t="s">
        <v>1751</v>
      </c>
      <c r="AU136" s="408" t="s">
        <v>1751</v>
      </c>
      <c r="AV136" s="408" t="s">
        <v>1751</v>
      </c>
      <c r="AW136" s="408" t="s">
        <v>1751</v>
      </c>
      <c r="AX136" s="408" t="s">
        <v>1751</v>
      </c>
      <c r="AY136" s="408" t="s">
        <v>1751</v>
      </c>
      <c r="AZ136" s="408" t="s">
        <v>1751</v>
      </c>
      <c r="BA136" s="408" t="s">
        <v>1751</v>
      </c>
      <c r="BB136" s="408" t="s">
        <v>1751</v>
      </c>
      <c r="BC136" s="408" t="s">
        <v>1751</v>
      </c>
      <c r="BD136" s="408" t="s">
        <v>1751</v>
      </c>
      <c r="BE136" s="408" t="s">
        <v>1751</v>
      </c>
      <c r="BF136" s="408" t="s">
        <v>1751</v>
      </c>
      <c r="BG136" s="408" t="s">
        <v>1751</v>
      </c>
      <c r="BH136" s="408" t="s">
        <v>1751</v>
      </c>
      <c r="BI136" s="408" t="s">
        <v>1751</v>
      </c>
      <c r="BJ136" s="408">
        <v>63659</v>
      </c>
      <c r="BK136" s="408" t="s">
        <v>1751</v>
      </c>
      <c r="BL136" s="408" t="s">
        <v>1751</v>
      </c>
      <c r="BM136" s="408" t="s">
        <v>1751</v>
      </c>
      <c r="BN136" s="408" t="s">
        <v>1751</v>
      </c>
      <c r="BO136" s="408" t="s">
        <v>1751</v>
      </c>
      <c r="BP136" s="408" t="s">
        <v>1751</v>
      </c>
      <c r="BQ136" s="408">
        <v>185836</v>
      </c>
      <c r="BR136" s="408" t="s">
        <v>1751</v>
      </c>
      <c r="BS136" s="408" t="s">
        <v>1751</v>
      </c>
      <c r="BT136" s="408" t="s">
        <v>1751</v>
      </c>
    </row>
    <row r="137" spans="1:72" s="408" customFormat="1" x14ac:dyDescent="0.3">
      <c r="A137" s="408">
        <v>378</v>
      </c>
      <c r="B137" s="409">
        <v>378</v>
      </c>
      <c r="C137" s="408">
        <v>378</v>
      </c>
      <c r="D137" s="408" t="s">
        <v>110</v>
      </c>
      <c r="E137" s="408" t="s">
        <v>454</v>
      </c>
      <c r="F137" s="408" t="s">
        <v>1764</v>
      </c>
      <c r="G137" s="408" t="s">
        <v>1764</v>
      </c>
      <c r="H137" s="408" t="s">
        <v>1764</v>
      </c>
      <c r="I137" s="408" t="s">
        <v>1764</v>
      </c>
      <c r="J137" s="408" t="s">
        <v>1764</v>
      </c>
      <c r="K137" s="408" t="s">
        <v>1764</v>
      </c>
      <c r="L137" s="408" t="s">
        <v>1764</v>
      </c>
      <c r="M137" s="408" t="s">
        <v>1751</v>
      </c>
      <c r="N137" s="408" t="s">
        <v>1751</v>
      </c>
      <c r="O137" s="408" t="s">
        <v>1751</v>
      </c>
      <c r="P137" s="408" t="s">
        <v>1751</v>
      </c>
      <c r="Q137" s="408" t="s">
        <v>1751</v>
      </c>
      <c r="R137" s="408" t="s">
        <v>1751</v>
      </c>
      <c r="S137" s="408" t="s">
        <v>1751</v>
      </c>
      <c r="T137" s="408" t="s">
        <v>1751</v>
      </c>
      <c r="U137" s="408" t="s">
        <v>1751</v>
      </c>
      <c r="V137" s="408" t="s">
        <v>1751</v>
      </c>
      <c r="W137" s="408" t="s">
        <v>1751</v>
      </c>
      <c r="X137" s="408" t="s">
        <v>1751</v>
      </c>
      <c r="Y137" s="408" t="s">
        <v>1751</v>
      </c>
      <c r="Z137" s="408" t="s">
        <v>1751</v>
      </c>
      <c r="AA137" s="408" t="s">
        <v>1751</v>
      </c>
      <c r="AB137" s="408" t="s">
        <v>1751</v>
      </c>
      <c r="AC137" s="408" t="s">
        <v>1751</v>
      </c>
      <c r="AD137" s="408" t="s">
        <v>1751</v>
      </c>
      <c r="AE137" s="408" t="s">
        <v>1751</v>
      </c>
      <c r="AF137" s="408" t="s">
        <v>1751</v>
      </c>
      <c r="AG137" s="408" t="s">
        <v>1751</v>
      </c>
      <c r="AH137" s="408" t="s">
        <v>1751</v>
      </c>
      <c r="AI137" s="408" t="s">
        <v>1751</v>
      </c>
      <c r="AJ137" s="408" t="s">
        <v>1751</v>
      </c>
      <c r="AK137" s="408">
        <v>-145281</v>
      </c>
      <c r="AL137" s="408" t="s">
        <v>1751</v>
      </c>
      <c r="AM137" s="408" t="s">
        <v>1751</v>
      </c>
      <c r="AN137" s="408" t="s">
        <v>1751</v>
      </c>
      <c r="AO137" s="408" t="s">
        <v>1751</v>
      </c>
      <c r="AP137" s="408" t="s">
        <v>1751</v>
      </c>
      <c r="AQ137" s="408" t="s">
        <v>1751</v>
      </c>
      <c r="AR137" s="408" t="s">
        <v>1751</v>
      </c>
      <c r="AS137" s="408" t="s">
        <v>1751</v>
      </c>
      <c r="AT137" s="408" t="s">
        <v>1751</v>
      </c>
      <c r="AU137" s="408" t="s">
        <v>1751</v>
      </c>
      <c r="AV137" s="408" t="s">
        <v>1751</v>
      </c>
      <c r="AW137" s="408" t="s">
        <v>1751</v>
      </c>
      <c r="AX137" s="408" t="s">
        <v>1751</v>
      </c>
      <c r="AY137" s="408" t="s">
        <v>1751</v>
      </c>
      <c r="AZ137" s="408" t="s">
        <v>1751</v>
      </c>
      <c r="BA137" s="408" t="s">
        <v>1751</v>
      </c>
      <c r="BB137" s="408" t="s">
        <v>1751</v>
      </c>
      <c r="BC137" s="408" t="s">
        <v>1751</v>
      </c>
      <c r="BD137" s="408" t="s">
        <v>1751</v>
      </c>
      <c r="BE137" s="408" t="s">
        <v>1751</v>
      </c>
      <c r="BF137" s="408" t="s">
        <v>1751</v>
      </c>
      <c r="BG137" s="408" t="s">
        <v>1751</v>
      </c>
      <c r="BH137" s="408" t="s">
        <v>1751</v>
      </c>
      <c r="BI137" s="408" t="s">
        <v>1751</v>
      </c>
      <c r="BJ137" s="408" t="s">
        <v>1751</v>
      </c>
      <c r="BK137" s="408" t="s">
        <v>1751</v>
      </c>
      <c r="BL137" s="408" t="s">
        <v>1751</v>
      </c>
      <c r="BM137" s="408" t="s">
        <v>1751</v>
      </c>
      <c r="BN137" s="408" t="s">
        <v>1751</v>
      </c>
      <c r="BO137" s="408" t="s">
        <v>1751</v>
      </c>
      <c r="BP137" s="408" t="s">
        <v>1751</v>
      </c>
      <c r="BQ137" s="408" t="s">
        <v>1751</v>
      </c>
      <c r="BR137" s="408" t="s">
        <v>1751</v>
      </c>
      <c r="BS137" s="408" t="s">
        <v>1751</v>
      </c>
      <c r="BT137" s="408" t="s">
        <v>1751</v>
      </c>
    </row>
    <row r="138" spans="1:72" s="408" customFormat="1" x14ac:dyDescent="0.3">
      <c r="A138" s="408">
        <v>379</v>
      </c>
      <c r="B138" s="409">
        <v>379</v>
      </c>
      <c r="C138" s="408">
        <v>379</v>
      </c>
      <c r="D138" s="408" t="s">
        <v>118</v>
      </c>
      <c r="E138" s="408" t="s">
        <v>455</v>
      </c>
      <c r="F138" s="408">
        <v>5588660</v>
      </c>
      <c r="G138" s="408">
        <v>1717200</v>
      </c>
      <c r="H138" s="408">
        <v>2638645</v>
      </c>
      <c r="I138" s="408">
        <v>10335597</v>
      </c>
      <c r="J138" s="408">
        <v>517252</v>
      </c>
      <c r="K138" s="408">
        <v>1837738</v>
      </c>
      <c r="L138" s="408">
        <v>4972839</v>
      </c>
      <c r="M138" s="408">
        <v>506699</v>
      </c>
      <c r="N138" s="408">
        <v>47989864</v>
      </c>
      <c r="O138" s="408">
        <v>84639</v>
      </c>
      <c r="P138" s="408">
        <v>11571495</v>
      </c>
      <c r="Q138" s="408">
        <v>1254914</v>
      </c>
      <c r="R138" s="408">
        <v>22665664</v>
      </c>
      <c r="S138" s="408">
        <v>103415189</v>
      </c>
      <c r="T138" s="408">
        <v>0</v>
      </c>
      <c r="U138" s="408">
        <v>1037966</v>
      </c>
      <c r="V138" s="408">
        <v>4776962</v>
      </c>
      <c r="W138" s="408">
        <v>1212348</v>
      </c>
      <c r="X138" s="408">
        <v>452820</v>
      </c>
      <c r="Y138" s="408">
        <v>361578</v>
      </c>
      <c r="Z138" s="408">
        <v>2290844</v>
      </c>
      <c r="AA138" s="408">
        <v>0</v>
      </c>
      <c r="AB138" s="408">
        <v>0</v>
      </c>
      <c r="AC138" s="408">
        <v>780537</v>
      </c>
      <c r="AD138" s="408">
        <v>7956232</v>
      </c>
      <c r="AE138" s="408">
        <v>2607322</v>
      </c>
      <c r="AF138" s="408">
        <v>334560</v>
      </c>
      <c r="AG138" s="408">
        <v>420551</v>
      </c>
      <c r="AH138" s="408">
        <v>170715</v>
      </c>
      <c r="AI138" s="408">
        <v>5068955</v>
      </c>
      <c r="AJ138" s="408">
        <v>8686111</v>
      </c>
      <c r="AK138" s="408">
        <v>1535523</v>
      </c>
      <c r="AL138" s="408">
        <v>0</v>
      </c>
      <c r="AM138" s="408">
        <v>0</v>
      </c>
      <c r="AN138" s="408">
        <v>101934</v>
      </c>
      <c r="AO138" s="408">
        <v>2630328</v>
      </c>
      <c r="AP138" s="408">
        <v>2969161</v>
      </c>
      <c r="AQ138" s="408">
        <v>2798839</v>
      </c>
      <c r="AR138" s="408">
        <v>467380</v>
      </c>
      <c r="AS138" s="408">
        <v>1891441</v>
      </c>
      <c r="AT138" s="408">
        <v>1266051</v>
      </c>
      <c r="AU138" s="408">
        <v>3528063</v>
      </c>
      <c r="AV138" s="408">
        <v>2689616</v>
      </c>
      <c r="AW138" s="408">
        <v>0</v>
      </c>
      <c r="AX138" s="408">
        <v>5909227</v>
      </c>
      <c r="AY138" s="408">
        <v>1431102</v>
      </c>
      <c r="AZ138" s="408">
        <v>6859623</v>
      </c>
      <c r="BA138" s="408">
        <v>396684</v>
      </c>
      <c r="BB138" s="408">
        <v>514507</v>
      </c>
      <c r="BC138" s="408">
        <v>4213614</v>
      </c>
      <c r="BD138" s="408">
        <v>1698404</v>
      </c>
      <c r="BE138" s="408">
        <v>694667</v>
      </c>
      <c r="BF138" s="408">
        <v>478683</v>
      </c>
      <c r="BG138" s="408">
        <v>13890903</v>
      </c>
      <c r="BH138" s="408">
        <v>969598</v>
      </c>
      <c r="BI138" s="408">
        <v>308037</v>
      </c>
      <c r="BJ138" s="408">
        <v>5040602</v>
      </c>
      <c r="BK138" s="408">
        <v>531861</v>
      </c>
      <c r="BL138" s="408">
        <v>1289352</v>
      </c>
      <c r="BM138" s="408">
        <v>691230</v>
      </c>
      <c r="BN138" s="408">
        <v>1340876</v>
      </c>
      <c r="BO138" s="408">
        <v>2687563</v>
      </c>
      <c r="BP138" s="408">
        <v>864358</v>
      </c>
      <c r="BQ138" s="408">
        <v>3815079</v>
      </c>
      <c r="BR138" s="408">
        <v>38206988</v>
      </c>
      <c r="BS138" s="408">
        <v>1436706</v>
      </c>
      <c r="BT138" s="408">
        <v>8841809</v>
      </c>
    </row>
    <row r="139" spans="1:72" s="408" customFormat="1" x14ac:dyDescent="0.3">
      <c r="A139" s="408">
        <v>380</v>
      </c>
      <c r="B139" s="409">
        <v>380</v>
      </c>
      <c r="C139" s="408">
        <v>380</v>
      </c>
      <c r="D139" s="408" t="s">
        <v>121</v>
      </c>
      <c r="E139" s="408" t="s">
        <v>456</v>
      </c>
      <c r="F139" s="408">
        <v>143821</v>
      </c>
      <c r="G139" s="408">
        <v>179019</v>
      </c>
      <c r="H139" s="408">
        <v>2910</v>
      </c>
      <c r="I139" s="408">
        <v>400562</v>
      </c>
      <c r="J139" s="408">
        <v>4289</v>
      </c>
      <c r="K139" s="408">
        <v>77949</v>
      </c>
      <c r="L139" s="408">
        <v>12740</v>
      </c>
      <c r="M139" s="408">
        <v>75057</v>
      </c>
      <c r="N139" s="408">
        <v>105248</v>
      </c>
      <c r="O139" s="408">
        <v>0</v>
      </c>
      <c r="P139" s="408">
        <v>39941</v>
      </c>
      <c r="Q139" s="408">
        <v>2054</v>
      </c>
      <c r="R139" s="408">
        <v>955679</v>
      </c>
      <c r="S139" s="408">
        <v>251799</v>
      </c>
      <c r="T139" s="408">
        <v>0</v>
      </c>
      <c r="U139" s="408">
        <v>7028</v>
      </c>
      <c r="V139" s="408">
        <v>5316</v>
      </c>
      <c r="W139" s="408">
        <v>19079</v>
      </c>
      <c r="X139" s="408">
        <v>26516</v>
      </c>
      <c r="Y139" s="408">
        <v>143</v>
      </c>
      <c r="Z139" s="408">
        <v>56844</v>
      </c>
      <c r="AA139" s="408">
        <v>0</v>
      </c>
      <c r="AB139" s="408">
        <v>0</v>
      </c>
      <c r="AC139" s="408">
        <v>10270</v>
      </c>
      <c r="AD139" s="408">
        <v>42676</v>
      </c>
      <c r="AE139" s="408">
        <v>21735</v>
      </c>
      <c r="AF139" s="408">
        <v>4673</v>
      </c>
      <c r="AG139" s="408">
        <v>21650</v>
      </c>
      <c r="AH139" s="408">
        <v>328</v>
      </c>
      <c r="AI139" s="408">
        <v>185987</v>
      </c>
      <c r="AJ139" s="408">
        <v>181071</v>
      </c>
      <c r="AK139" s="408">
        <v>55734</v>
      </c>
      <c r="AL139" s="408">
        <v>0</v>
      </c>
      <c r="AM139" s="408">
        <v>0</v>
      </c>
      <c r="AN139" s="408">
        <v>1805</v>
      </c>
      <c r="AO139" s="408">
        <v>12398</v>
      </c>
      <c r="AP139" s="408">
        <v>10524</v>
      </c>
      <c r="AQ139" s="408">
        <v>369020</v>
      </c>
      <c r="AR139" s="408">
        <v>769</v>
      </c>
      <c r="AS139" s="408">
        <v>15918</v>
      </c>
      <c r="AT139" s="408">
        <v>61805</v>
      </c>
      <c r="AU139" s="408">
        <v>1200</v>
      </c>
      <c r="AV139" s="408">
        <v>21042</v>
      </c>
      <c r="AW139" s="408">
        <v>0</v>
      </c>
      <c r="AX139" s="408">
        <v>17242</v>
      </c>
      <c r="AY139" s="408">
        <v>122886</v>
      </c>
      <c r="AZ139" s="408">
        <v>123394</v>
      </c>
      <c r="BA139" s="408">
        <v>284</v>
      </c>
      <c r="BB139" s="408">
        <v>4237</v>
      </c>
      <c r="BC139" s="408">
        <v>56099</v>
      </c>
      <c r="BD139" s="408">
        <v>10604</v>
      </c>
      <c r="BE139" s="408">
        <v>459</v>
      </c>
      <c r="BF139" s="408">
        <v>54936</v>
      </c>
      <c r="BG139" s="408">
        <v>48978</v>
      </c>
      <c r="BH139" s="408">
        <v>36532</v>
      </c>
      <c r="BI139" s="408">
        <v>7141</v>
      </c>
      <c r="BJ139" s="408">
        <v>28309</v>
      </c>
      <c r="BK139" s="408">
        <v>12824</v>
      </c>
      <c r="BL139" s="408">
        <v>18465</v>
      </c>
      <c r="BM139" s="408">
        <v>20500</v>
      </c>
      <c r="BN139" s="408">
        <v>4238</v>
      </c>
      <c r="BO139" s="408">
        <v>16279</v>
      </c>
      <c r="BP139" s="408">
        <v>14390</v>
      </c>
      <c r="BQ139" s="408">
        <v>30588</v>
      </c>
      <c r="BR139" s="408">
        <v>905969</v>
      </c>
      <c r="BS139" s="408">
        <v>20889</v>
      </c>
      <c r="BT139" s="408">
        <v>64957</v>
      </c>
    </row>
    <row r="140" spans="1:72" s="408" customFormat="1" x14ac:dyDescent="0.3">
      <c r="A140" s="408">
        <v>381</v>
      </c>
      <c r="B140" s="409">
        <v>381</v>
      </c>
      <c r="C140" s="408">
        <v>381</v>
      </c>
      <c r="D140" s="408" t="s">
        <v>113</v>
      </c>
      <c r="E140" s="408" t="s">
        <v>457</v>
      </c>
      <c r="F140" s="408">
        <v>11854977</v>
      </c>
      <c r="G140" s="408">
        <v>27385674</v>
      </c>
      <c r="H140" s="408">
        <v>4427710</v>
      </c>
      <c r="I140" s="408">
        <v>61574983</v>
      </c>
      <c r="J140" s="408">
        <v>0</v>
      </c>
      <c r="K140" s="408">
        <v>10309442</v>
      </c>
      <c r="L140" s="408">
        <v>16576465</v>
      </c>
      <c r="M140" s="408">
        <v>1813813</v>
      </c>
      <c r="N140" s="408">
        <v>313874921</v>
      </c>
      <c r="O140" s="408">
        <v>0</v>
      </c>
      <c r="P140" s="408">
        <v>32744413</v>
      </c>
      <c r="Q140" s="408">
        <v>0</v>
      </c>
      <c r="R140" s="408">
        <v>58932864</v>
      </c>
      <c r="S140" s="408">
        <v>320933091</v>
      </c>
      <c r="T140" s="408">
        <v>0</v>
      </c>
      <c r="U140" s="408">
        <v>1950895</v>
      </c>
      <c r="V140" s="408">
        <v>4180246</v>
      </c>
      <c r="W140" s="408">
        <v>5073408</v>
      </c>
      <c r="X140" s="408">
        <v>687813</v>
      </c>
      <c r="Y140" s="408">
        <v>268510</v>
      </c>
      <c r="Z140" s="408">
        <v>14192615</v>
      </c>
      <c r="AA140" s="408">
        <v>0</v>
      </c>
      <c r="AB140" s="408">
        <v>0</v>
      </c>
      <c r="AC140" s="408">
        <v>5881262</v>
      </c>
      <c r="AD140" s="408">
        <v>13829430</v>
      </c>
      <c r="AE140" s="408">
        <v>4400334</v>
      </c>
      <c r="AF140" s="408">
        <v>4250088</v>
      </c>
      <c r="AG140" s="408">
        <v>0</v>
      </c>
      <c r="AH140" s="408">
        <v>0</v>
      </c>
      <c r="AI140" s="408">
        <v>31893622</v>
      </c>
      <c r="AJ140" s="408">
        <v>16973218</v>
      </c>
      <c r="AK140" s="408">
        <v>7752173</v>
      </c>
      <c r="AL140" s="408">
        <v>0</v>
      </c>
      <c r="AM140" s="408">
        <v>0</v>
      </c>
      <c r="AN140" s="408">
        <v>0</v>
      </c>
      <c r="AO140" s="408">
        <v>16965490</v>
      </c>
      <c r="AP140" s="408">
        <v>3898007</v>
      </c>
      <c r="AQ140" s="408">
        <v>21810683</v>
      </c>
      <c r="AR140" s="408">
        <v>0</v>
      </c>
      <c r="AS140" s="408">
        <v>15867432</v>
      </c>
      <c r="AT140" s="408">
        <v>8032442</v>
      </c>
      <c r="AU140" s="408">
        <v>2725158</v>
      </c>
      <c r="AV140" s="408">
        <v>6967545</v>
      </c>
      <c r="AW140" s="408">
        <v>0</v>
      </c>
      <c r="AX140" s="408">
        <v>8298872</v>
      </c>
      <c r="AY140" s="408">
        <v>7607130</v>
      </c>
      <c r="AZ140" s="408">
        <v>18195833</v>
      </c>
      <c r="BA140" s="408">
        <v>1190905</v>
      </c>
      <c r="BB140" s="408">
        <v>0</v>
      </c>
      <c r="BC140" s="408">
        <v>0</v>
      </c>
      <c r="BD140" s="408">
        <v>5991123</v>
      </c>
      <c r="BE140" s="408">
        <v>0</v>
      </c>
      <c r="BF140" s="408">
        <v>5133392</v>
      </c>
      <c r="BG140" s="408">
        <v>82784489</v>
      </c>
      <c r="BH140" s="408">
        <v>5036911</v>
      </c>
      <c r="BI140" s="408">
        <v>1626809</v>
      </c>
      <c r="BJ140" s="408">
        <v>38442326</v>
      </c>
      <c r="BK140" s="408">
        <v>997286</v>
      </c>
      <c r="BL140" s="408">
        <v>2056372</v>
      </c>
      <c r="BM140" s="408">
        <v>0</v>
      </c>
      <c r="BN140" s="408">
        <v>3422166</v>
      </c>
      <c r="BO140" s="408">
        <v>10109396</v>
      </c>
      <c r="BP140" s="408">
        <v>4827351</v>
      </c>
      <c r="BQ140" s="408">
        <v>22735488</v>
      </c>
      <c r="BR140" s="408">
        <v>227249767</v>
      </c>
      <c r="BS140" s="408">
        <v>12779808</v>
      </c>
      <c r="BT140" s="408">
        <v>0</v>
      </c>
    </row>
    <row r="141" spans="1:72" s="408" customFormat="1" x14ac:dyDescent="0.3">
      <c r="A141" s="408">
        <v>382</v>
      </c>
      <c r="B141" s="409">
        <v>382</v>
      </c>
      <c r="C141" s="408">
        <v>382</v>
      </c>
      <c r="D141" s="408" t="s">
        <v>114</v>
      </c>
      <c r="E141" s="408" t="s">
        <v>458</v>
      </c>
      <c r="F141" s="408">
        <v>0</v>
      </c>
      <c r="G141" s="408">
        <v>0</v>
      </c>
      <c r="H141" s="408">
        <v>0</v>
      </c>
      <c r="I141" s="408">
        <v>30269549</v>
      </c>
      <c r="J141" s="408">
        <v>0</v>
      </c>
      <c r="K141" s="408">
        <v>0</v>
      </c>
      <c r="L141" s="408">
        <v>0</v>
      </c>
      <c r="M141" s="408">
        <v>0</v>
      </c>
      <c r="N141" s="408">
        <v>73617487</v>
      </c>
      <c r="O141" s="408">
        <v>0</v>
      </c>
      <c r="P141" s="408">
        <v>0</v>
      </c>
      <c r="Q141" s="408">
        <v>0</v>
      </c>
      <c r="R141" s="408">
        <v>0</v>
      </c>
      <c r="S141" s="408">
        <v>0</v>
      </c>
      <c r="T141" s="408">
        <v>0</v>
      </c>
      <c r="U141" s="408">
        <v>0</v>
      </c>
      <c r="V141" s="408">
        <v>0</v>
      </c>
      <c r="W141" s="408">
        <v>0</v>
      </c>
      <c r="X141" s="408">
        <v>0</v>
      </c>
      <c r="Y141" s="408">
        <v>0</v>
      </c>
      <c r="Z141" s="408">
        <v>12373062</v>
      </c>
      <c r="AA141" s="408">
        <v>0</v>
      </c>
      <c r="AB141" s="408">
        <v>0</v>
      </c>
      <c r="AC141" s="408">
        <v>0</v>
      </c>
      <c r="AD141" s="408">
        <v>0</v>
      </c>
      <c r="AE141" s="408">
        <v>0</v>
      </c>
      <c r="AF141" s="408">
        <v>0</v>
      </c>
      <c r="AG141" s="408">
        <v>0</v>
      </c>
      <c r="AH141" s="408">
        <v>0</v>
      </c>
      <c r="AI141" s="408">
        <v>0</v>
      </c>
      <c r="AJ141" s="408">
        <v>0</v>
      </c>
      <c r="AK141" s="408">
        <v>1186814</v>
      </c>
      <c r="AL141" s="408">
        <v>0</v>
      </c>
      <c r="AM141" s="408">
        <v>0</v>
      </c>
      <c r="AN141" s="408">
        <v>0</v>
      </c>
      <c r="AO141" s="408">
        <v>2335825</v>
      </c>
      <c r="AP141" s="408">
        <v>0</v>
      </c>
      <c r="AQ141" s="408">
        <v>0</v>
      </c>
      <c r="AR141" s="408">
        <v>0</v>
      </c>
      <c r="AS141" s="408">
        <v>0</v>
      </c>
      <c r="AT141" s="408">
        <v>0</v>
      </c>
      <c r="AU141" s="408">
        <v>0</v>
      </c>
      <c r="AV141" s="408">
        <v>0</v>
      </c>
      <c r="AW141" s="408">
        <v>0</v>
      </c>
      <c r="AX141" s="408">
        <v>0</v>
      </c>
      <c r="AY141" s="408">
        <v>0</v>
      </c>
      <c r="AZ141" s="408">
        <v>0</v>
      </c>
      <c r="BA141" s="408">
        <v>0</v>
      </c>
      <c r="BB141" s="408">
        <v>0</v>
      </c>
      <c r="BC141" s="408">
        <v>0</v>
      </c>
      <c r="BD141" s="408">
        <v>0</v>
      </c>
      <c r="BE141" s="408">
        <v>0</v>
      </c>
      <c r="BF141" s="408">
        <v>0</v>
      </c>
      <c r="BG141" s="408">
        <v>0</v>
      </c>
      <c r="BH141" s="408">
        <v>0</v>
      </c>
      <c r="BI141" s="408">
        <v>1785135</v>
      </c>
      <c r="BJ141" s="408">
        <v>0</v>
      </c>
      <c r="BK141" s="408">
        <v>0</v>
      </c>
      <c r="BL141" s="408">
        <v>0</v>
      </c>
      <c r="BM141" s="408">
        <v>0</v>
      </c>
      <c r="BN141" s="408">
        <v>0</v>
      </c>
      <c r="BO141" s="408">
        <v>0</v>
      </c>
      <c r="BP141" s="408">
        <v>0</v>
      </c>
      <c r="BQ141" s="408">
        <v>0</v>
      </c>
      <c r="BR141" s="408">
        <v>0</v>
      </c>
      <c r="BS141" s="408">
        <v>0</v>
      </c>
      <c r="BT141" s="408">
        <v>0</v>
      </c>
    </row>
    <row r="142" spans="1:72" s="408" customFormat="1" x14ac:dyDescent="0.3">
      <c r="A142" s="408">
        <v>383</v>
      </c>
      <c r="B142" s="409">
        <v>383</v>
      </c>
      <c r="C142" s="408">
        <v>383</v>
      </c>
      <c r="D142" s="408" t="s">
        <v>221</v>
      </c>
      <c r="E142" s="408" t="s">
        <v>459</v>
      </c>
      <c r="F142" s="408">
        <v>0</v>
      </c>
      <c r="G142" s="408">
        <v>0</v>
      </c>
      <c r="H142" s="408">
        <v>0</v>
      </c>
      <c r="I142" s="408">
        <v>0</v>
      </c>
      <c r="J142" s="408">
        <v>0</v>
      </c>
      <c r="K142" s="408">
        <v>0</v>
      </c>
      <c r="L142" s="408">
        <v>0</v>
      </c>
      <c r="M142" s="408">
        <v>0</v>
      </c>
      <c r="N142" s="408">
        <v>0</v>
      </c>
      <c r="O142" s="408">
        <v>0</v>
      </c>
      <c r="P142" s="408">
        <v>0</v>
      </c>
      <c r="Q142" s="408">
        <v>0</v>
      </c>
      <c r="R142" s="408">
        <v>128999</v>
      </c>
      <c r="S142" s="408">
        <v>292293</v>
      </c>
      <c r="T142" s="408">
        <v>0</v>
      </c>
      <c r="U142" s="408">
        <v>0</v>
      </c>
      <c r="V142" s="408">
        <v>0</v>
      </c>
      <c r="W142" s="408">
        <v>0</v>
      </c>
      <c r="X142" s="408">
        <v>0</v>
      </c>
      <c r="Y142" s="408">
        <v>0</v>
      </c>
      <c r="Z142" s="408">
        <v>0</v>
      </c>
      <c r="AA142" s="408">
        <v>0</v>
      </c>
      <c r="AB142" s="408">
        <v>0</v>
      </c>
      <c r="AC142" s="408">
        <v>0</v>
      </c>
      <c r="AD142" s="408">
        <v>0</v>
      </c>
      <c r="AE142" s="408">
        <v>0</v>
      </c>
      <c r="AF142" s="408">
        <v>0</v>
      </c>
      <c r="AG142" s="408">
        <v>0</v>
      </c>
      <c r="AH142" s="408">
        <v>0</v>
      </c>
      <c r="AI142" s="408">
        <v>0</v>
      </c>
      <c r="AJ142" s="408">
        <v>0</v>
      </c>
      <c r="AK142" s="408">
        <v>0</v>
      </c>
      <c r="AL142" s="408">
        <v>0</v>
      </c>
      <c r="AM142" s="408">
        <v>0</v>
      </c>
      <c r="AN142" s="408">
        <v>0</v>
      </c>
      <c r="AO142" s="408">
        <v>0</v>
      </c>
      <c r="AP142" s="408">
        <v>0</v>
      </c>
      <c r="AQ142" s="408">
        <v>0</v>
      </c>
      <c r="AR142" s="408">
        <v>0</v>
      </c>
      <c r="AS142" s="408">
        <v>4859</v>
      </c>
      <c r="AT142" s="408">
        <v>0</v>
      </c>
      <c r="AU142" s="408">
        <v>0</v>
      </c>
      <c r="AV142" s="408">
        <v>0</v>
      </c>
      <c r="AW142" s="408">
        <v>0</v>
      </c>
      <c r="AX142" s="408">
        <v>0</v>
      </c>
      <c r="AY142" s="408">
        <v>0</v>
      </c>
      <c r="AZ142" s="408">
        <v>0</v>
      </c>
      <c r="BA142" s="408">
        <v>0</v>
      </c>
      <c r="BB142" s="408">
        <v>0</v>
      </c>
      <c r="BC142" s="408">
        <v>0</v>
      </c>
      <c r="BD142" s="408">
        <v>0</v>
      </c>
      <c r="BE142" s="408">
        <v>0</v>
      </c>
      <c r="BF142" s="408">
        <v>0</v>
      </c>
      <c r="BG142" s="408">
        <v>0</v>
      </c>
      <c r="BH142" s="408">
        <v>0</v>
      </c>
      <c r="BI142" s="408">
        <v>0</v>
      </c>
      <c r="BJ142" s="408">
        <v>0</v>
      </c>
      <c r="BK142" s="408">
        <v>0</v>
      </c>
      <c r="BL142" s="408">
        <v>0</v>
      </c>
      <c r="BM142" s="408">
        <v>0</v>
      </c>
      <c r="BN142" s="408">
        <v>0</v>
      </c>
      <c r="BO142" s="408">
        <v>0</v>
      </c>
      <c r="BP142" s="408">
        <v>0</v>
      </c>
      <c r="BQ142" s="408">
        <v>0</v>
      </c>
      <c r="BR142" s="408">
        <v>0</v>
      </c>
      <c r="BS142" s="408">
        <v>99112</v>
      </c>
      <c r="BT142" s="408">
        <v>0</v>
      </c>
    </row>
    <row r="143" spans="1:72" s="408" customFormat="1" x14ac:dyDescent="0.3">
      <c r="A143" s="408">
        <v>384</v>
      </c>
      <c r="B143" s="409">
        <v>384</v>
      </c>
      <c r="C143" s="408">
        <v>384</v>
      </c>
      <c r="D143" s="408" t="s">
        <v>124</v>
      </c>
      <c r="E143" s="408" t="s">
        <v>460</v>
      </c>
      <c r="F143" s="408">
        <v>0</v>
      </c>
      <c r="G143" s="408">
        <v>0</v>
      </c>
      <c r="H143" s="408">
        <v>0</v>
      </c>
      <c r="I143" s="408">
        <v>0</v>
      </c>
      <c r="J143" s="408">
        <v>0</v>
      </c>
      <c r="K143" s="408">
        <v>0</v>
      </c>
      <c r="L143" s="408">
        <v>0</v>
      </c>
      <c r="M143" s="408">
        <v>0</v>
      </c>
      <c r="N143" s="408">
        <v>0</v>
      </c>
      <c r="O143" s="408">
        <v>0</v>
      </c>
      <c r="P143" s="408">
        <v>0</v>
      </c>
      <c r="Q143" s="408">
        <v>0</v>
      </c>
      <c r="R143" s="408">
        <v>0</v>
      </c>
      <c r="S143" s="408">
        <v>0</v>
      </c>
      <c r="T143" s="408">
        <v>0</v>
      </c>
      <c r="U143" s="408">
        <v>0</v>
      </c>
      <c r="V143" s="408">
        <v>0</v>
      </c>
      <c r="W143" s="408">
        <v>0</v>
      </c>
      <c r="X143" s="408">
        <v>0</v>
      </c>
      <c r="Y143" s="408">
        <v>0</v>
      </c>
      <c r="Z143" s="408">
        <v>0</v>
      </c>
      <c r="AA143" s="408">
        <v>0</v>
      </c>
      <c r="AB143" s="408">
        <v>0</v>
      </c>
      <c r="AC143" s="408">
        <v>0</v>
      </c>
      <c r="AD143" s="408">
        <v>0</v>
      </c>
      <c r="AE143" s="408">
        <v>0</v>
      </c>
      <c r="AF143" s="408">
        <v>0</v>
      </c>
      <c r="AG143" s="408">
        <v>0</v>
      </c>
      <c r="AH143" s="408">
        <v>0</v>
      </c>
      <c r="AI143" s="408">
        <v>0</v>
      </c>
      <c r="AJ143" s="408">
        <v>0</v>
      </c>
      <c r="AK143" s="408">
        <v>0</v>
      </c>
      <c r="AL143" s="408">
        <v>0</v>
      </c>
      <c r="AM143" s="408">
        <v>0</v>
      </c>
      <c r="AN143" s="408">
        <v>0</v>
      </c>
      <c r="AO143" s="408">
        <v>0</v>
      </c>
      <c r="AP143" s="408">
        <v>0</v>
      </c>
      <c r="AQ143" s="408">
        <v>0</v>
      </c>
      <c r="AR143" s="408">
        <v>0</v>
      </c>
      <c r="AS143" s="408">
        <v>0</v>
      </c>
      <c r="AT143" s="408">
        <v>0</v>
      </c>
      <c r="AU143" s="408">
        <v>0</v>
      </c>
      <c r="AV143" s="408">
        <v>0</v>
      </c>
      <c r="AW143" s="408">
        <v>0</v>
      </c>
      <c r="AX143" s="408">
        <v>0</v>
      </c>
      <c r="AY143" s="408">
        <v>0</v>
      </c>
      <c r="AZ143" s="408">
        <v>0</v>
      </c>
      <c r="BA143" s="408">
        <v>0</v>
      </c>
      <c r="BB143" s="408">
        <v>0</v>
      </c>
      <c r="BC143" s="408">
        <v>0</v>
      </c>
      <c r="BD143" s="408">
        <v>0</v>
      </c>
      <c r="BE143" s="408">
        <v>0</v>
      </c>
      <c r="BF143" s="408">
        <v>0</v>
      </c>
      <c r="BG143" s="408">
        <v>0</v>
      </c>
      <c r="BH143" s="408">
        <v>0</v>
      </c>
      <c r="BI143" s="408">
        <v>0</v>
      </c>
      <c r="BJ143" s="408">
        <v>0</v>
      </c>
      <c r="BK143" s="408">
        <v>0</v>
      </c>
      <c r="BL143" s="408">
        <v>0</v>
      </c>
      <c r="BM143" s="408">
        <v>0</v>
      </c>
      <c r="BN143" s="408">
        <v>0</v>
      </c>
      <c r="BO143" s="408">
        <v>0</v>
      </c>
      <c r="BP143" s="408">
        <v>0</v>
      </c>
      <c r="BQ143" s="408">
        <v>0</v>
      </c>
      <c r="BR143" s="408">
        <v>0</v>
      </c>
      <c r="BS143" s="408">
        <v>0</v>
      </c>
      <c r="BT143" s="408">
        <v>0</v>
      </c>
    </row>
    <row r="144" spans="1:72" s="408" customFormat="1" x14ac:dyDescent="0.3">
      <c r="A144" s="408">
        <v>385</v>
      </c>
      <c r="B144" s="409">
        <v>385</v>
      </c>
      <c r="C144" s="408">
        <v>385</v>
      </c>
      <c r="D144" s="408" t="s">
        <v>115</v>
      </c>
      <c r="E144" s="408" t="s">
        <v>461</v>
      </c>
      <c r="F144" s="408">
        <v>17122489</v>
      </c>
      <c r="G144" s="408">
        <v>13283072</v>
      </c>
      <c r="H144" s="408">
        <v>3757293</v>
      </c>
      <c r="I144" s="408">
        <v>40174887</v>
      </c>
      <c r="J144" s="408">
        <v>606978</v>
      </c>
      <c r="K144" s="408">
        <v>2888347</v>
      </c>
      <c r="L144" s="408">
        <v>10295853</v>
      </c>
      <c r="M144" s="408">
        <v>954486</v>
      </c>
      <c r="N144" s="408">
        <v>661333167</v>
      </c>
      <c r="O144" s="408">
        <v>92762</v>
      </c>
      <c r="P144" s="408">
        <v>30137565</v>
      </c>
      <c r="Q144" s="408">
        <v>3985805</v>
      </c>
      <c r="R144" s="408">
        <v>64163973</v>
      </c>
      <c r="S144" s="408">
        <v>379237945</v>
      </c>
      <c r="T144" s="408">
        <v>0</v>
      </c>
      <c r="U144" s="408">
        <v>1309983</v>
      </c>
      <c r="V144" s="408">
        <v>17433240</v>
      </c>
      <c r="W144" s="408">
        <v>2035208</v>
      </c>
      <c r="X144" s="408">
        <v>1375820</v>
      </c>
      <c r="Y144" s="408">
        <v>652104</v>
      </c>
      <c r="Z144" s="408">
        <v>8516990</v>
      </c>
      <c r="AA144" s="408">
        <v>0</v>
      </c>
      <c r="AB144" s="408">
        <v>0</v>
      </c>
      <c r="AC144" s="408">
        <v>2440700</v>
      </c>
      <c r="AD144" s="408">
        <v>39348071</v>
      </c>
      <c r="AE144" s="408">
        <v>8768892</v>
      </c>
      <c r="AF144" s="408">
        <v>679903</v>
      </c>
      <c r="AG144" s="408">
        <v>681898</v>
      </c>
      <c r="AH144" s="408">
        <v>192376</v>
      </c>
      <c r="AI144" s="408">
        <v>26386010</v>
      </c>
      <c r="AJ144" s="408">
        <v>19811158</v>
      </c>
      <c r="AK144" s="408">
        <v>7072678</v>
      </c>
      <c r="AL144" s="408">
        <v>0</v>
      </c>
      <c r="AM144" s="408">
        <v>0</v>
      </c>
      <c r="AN144" s="408">
        <v>308892</v>
      </c>
      <c r="AO144" s="408">
        <v>11073303</v>
      </c>
      <c r="AP144" s="408">
        <v>8202971</v>
      </c>
      <c r="AQ144" s="408">
        <v>14548153</v>
      </c>
      <c r="AR144" s="408">
        <v>803156</v>
      </c>
      <c r="AS144" s="408">
        <v>3025265</v>
      </c>
      <c r="AT144" s="408">
        <v>4334060</v>
      </c>
      <c r="AU144" s="408">
        <v>8803229</v>
      </c>
      <c r="AV144" s="408">
        <v>4090455</v>
      </c>
      <c r="AW144" s="408">
        <v>0</v>
      </c>
      <c r="AX144" s="408">
        <v>24432430</v>
      </c>
      <c r="AY144" s="408">
        <v>4895356</v>
      </c>
      <c r="AZ144" s="408">
        <v>37216302</v>
      </c>
      <c r="BA144" s="408">
        <v>483278</v>
      </c>
      <c r="BB144" s="408">
        <v>786247</v>
      </c>
      <c r="BC144" s="408">
        <v>8873773</v>
      </c>
      <c r="BD144" s="408">
        <v>5375763</v>
      </c>
      <c r="BE144" s="408">
        <v>936423</v>
      </c>
      <c r="BF144" s="408">
        <v>792129</v>
      </c>
      <c r="BG144" s="408">
        <v>33919736</v>
      </c>
      <c r="BH144" s="408">
        <v>1513168</v>
      </c>
      <c r="BI144" s="408">
        <v>1819036</v>
      </c>
      <c r="BJ144" s="408">
        <v>17489282</v>
      </c>
      <c r="BK144" s="408">
        <v>822572</v>
      </c>
      <c r="BL144" s="408">
        <v>2651264</v>
      </c>
      <c r="BM144" s="408">
        <v>1076361</v>
      </c>
      <c r="BN144" s="408">
        <v>1643273</v>
      </c>
      <c r="BO144" s="408">
        <v>6383221</v>
      </c>
      <c r="BP144" s="408">
        <v>1167865</v>
      </c>
      <c r="BQ144" s="408">
        <v>7816138</v>
      </c>
      <c r="BR144" s="408">
        <v>152238967</v>
      </c>
      <c r="BS144" s="408">
        <v>6435985</v>
      </c>
      <c r="BT144" s="408">
        <v>38606724</v>
      </c>
    </row>
    <row r="145" spans="1:72" s="408" customFormat="1" x14ac:dyDescent="0.3">
      <c r="A145" s="408">
        <v>386</v>
      </c>
      <c r="B145" s="409">
        <v>386</v>
      </c>
      <c r="C145" s="408">
        <v>386</v>
      </c>
      <c r="D145" s="408" t="s">
        <v>194</v>
      </c>
      <c r="E145" s="408" t="s">
        <v>462</v>
      </c>
      <c r="F145" s="408">
        <v>0</v>
      </c>
      <c r="G145" s="408">
        <v>0</v>
      </c>
      <c r="H145" s="408">
        <v>4287</v>
      </c>
      <c r="I145" s="408">
        <v>1097031</v>
      </c>
      <c r="J145" s="408">
        <v>0</v>
      </c>
      <c r="K145" s="408">
        <v>0</v>
      </c>
      <c r="L145" s="408">
        <v>0</v>
      </c>
      <c r="M145" s="408">
        <v>42064</v>
      </c>
      <c r="N145" s="408">
        <v>0</v>
      </c>
      <c r="O145" s="408">
        <v>0</v>
      </c>
      <c r="P145" s="408">
        <v>0</v>
      </c>
      <c r="Q145" s="408">
        <v>0</v>
      </c>
      <c r="R145" s="408">
        <v>0</v>
      </c>
      <c r="S145" s="408">
        <v>0</v>
      </c>
      <c r="T145" s="408">
        <v>0</v>
      </c>
      <c r="U145" s="408">
        <v>0</v>
      </c>
      <c r="V145" s="408">
        <v>424056</v>
      </c>
      <c r="W145" s="408">
        <v>0</v>
      </c>
      <c r="X145" s="408">
        <v>0</v>
      </c>
      <c r="Y145" s="408">
        <v>0</v>
      </c>
      <c r="Z145" s="408">
        <v>683886</v>
      </c>
      <c r="AA145" s="408">
        <v>0</v>
      </c>
      <c r="AB145" s="408">
        <v>0</v>
      </c>
      <c r="AC145" s="408">
        <v>0</v>
      </c>
      <c r="AD145" s="408">
        <v>0</v>
      </c>
      <c r="AE145" s="408">
        <v>0</v>
      </c>
      <c r="AF145" s="408">
        <v>0</v>
      </c>
      <c r="AG145" s="408">
        <v>0</v>
      </c>
      <c r="AH145" s="408">
        <v>0</v>
      </c>
      <c r="AI145" s="408">
        <v>235066</v>
      </c>
      <c r="AJ145" s="408">
        <v>0</v>
      </c>
      <c r="AK145" s="408">
        <v>0</v>
      </c>
      <c r="AL145" s="408">
        <v>0</v>
      </c>
      <c r="AM145" s="408">
        <v>0</v>
      </c>
      <c r="AN145" s="408">
        <v>0</v>
      </c>
      <c r="AO145" s="408">
        <v>0</v>
      </c>
      <c r="AP145" s="408">
        <v>0</v>
      </c>
      <c r="AQ145" s="408">
        <v>96717</v>
      </c>
      <c r="AR145" s="408">
        <v>0</v>
      </c>
      <c r="AS145" s="408">
        <v>0</v>
      </c>
      <c r="AT145" s="408">
        <v>0</v>
      </c>
      <c r="AU145" s="408">
        <v>0</v>
      </c>
      <c r="AV145" s="408">
        <v>77049</v>
      </c>
      <c r="AW145" s="408">
        <v>0</v>
      </c>
      <c r="AX145" s="408">
        <v>626793</v>
      </c>
      <c r="AY145" s="408">
        <v>0</v>
      </c>
      <c r="AZ145" s="408">
        <v>0</v>
      </c>
      <c r="BA145" s="408">
        <v>0</v>
      </c>
      <c r="BB145" s="408">
        <v>0</v>
      </c>
      <c r="BC145" s="408">
        <v>616400</v>
      </c>
      <c r="BD145" s="408">
        <v>0</v>
      </c>
      <c r="BE145" s="408">
        <v>0</v>
      </c>
      <c r="BF145" s="408">
        <v>0</v>
      </c>
      <c r="BG145" s="408">
        <v>201967</v>
      </c>
      <c r="BH145" s="408">
        <v>0</v>
      </c>
      <c r="BI145" s="408">
        <v>11500</v>
      </c>
      <c r="BJ145" s="408">
        <v>0</v>
      </c>
      <c r="BK145" s="408">
        <v>0</v>
      </c>
      <c r="BL145" s="408">
        <v>0</v>
      </c>
      <c r="BM145" s="408">
        <v>0</v>
      </c>
      <c r="BN145" s="408">
        <v>7966</v>
      </c>
      <c r="BO145" s="408">
        <v>0</v>
      </c>
      <c r="BP145" s="408">
        <v>0</v>
      </c>
      <c r="BQ145" s="408">
        <v>0</v>
      </c>
      <c r="BR145" s="408">
        <v>1099112</v>
      </c>
      <c r="BS145" s="408">
        <v>0</v>
      </c>
      <c r="BT145" s="408">
        <v>0</v>
      </c>
    </row>
    <row r="146" spans="1:72" s="408" customFormat="1" x14ac:dyDescent="0.3">
      <c r="A146" s="408">
        <v>387</v>
      </c>
      <c r="B146" s="409">
        <v>387</v>
      </c>
      <c r="C146" s="408">
        <v>387</v>
      </c>
      <c r="D146" s="408" t="s">
        <v>195</v>
      </c>
      <c r="E146" s="408" t="s">
        <v>463</v>
      </c>
      <c r="F146" s="408">
        <v>0</v>
      </c>
      <c r="G146" s="408">
        <v>684502</v>
      </c>
      <c r="H146" s="408">
        <v>0</v>
      </c>
      <c r="I146" s="408">
        <v>239571</v>
      </c>
      <c r="J146" s="408">
        <v>0</v>
      </c>
      <c r="K146" s="408">
        <v>0</v>
      </c>
      <c r="L146" s="408">
        <v>0</v>
      </c>
      <c r="M146" s="408">
        <v>0</v>
      </c>
      <c r="N146" s="408">
        <v>0</v>
      </c>
      <c r="O146" s="408">
        <v>0</v>
      </c>
      <c r="P146" s="408">
        <v>0</v>
      </c>
      <c r="Q146" s="408">
        <v>0</v>
      </c>
      <c r="R146" s="408">
        <v>0</v>
      </c>
      <c r="S146" s="408">
        <v>6772376</v>
      </c>
      <c r="T146" s="408">
        <v>0</v>
      </c>
      <c r="U146" s="408">
        <v>0</v>
      </c>
      <c r="V146" s="408">
        <v>0</v>
      </c>
      <c r="W146" s="408">
        <v>0</v>
      </c>
      <c r="X146" s="408">
        <v>0</v>
      </c>
      <c r="Y146" s="408">
        <v>0</v>
      </c>
      <c r="Z146" s="408">
        <v>0</v>
      </c>
      <c r="AA146" s="408">
        <v>0</v>
      </c>
      <c r="AB146" s="408">
        <v>0</v>
      </c>
      <c r="AC146" s="408">
        <v>0</v>
      </c>
      <c r="AD146" s="408">
        <v>0</v>
      </c>
      <c r="AE146" s="408">
        <v>0</v>
      </c>
      <c r="AF146" s="408">
        <v>0</v>
      </c>
      <c r="AG146" s="408">
        <v>0</v>
      </c>
      <c r="AH146" s="408">
        <v>0</v>
      </c>
      <c r="AI146" s="408">
        <v>0</v>
      </c>
      <c r="AJ146" s="408">
        <v>0</v>
      </c>
      <c r="AK146" s="408">
        <v>0</v>
      </c>
      <c r="AL146" s="408">
        <v>0</v>
      </c>
      <c r="AM146" s="408">
        <v>0</v>
      </c>
      <c r="AN146" s="408">
        <v>0</v>
      </c>
      <c r="AO146" s="408">
        <v>0</v>
      </c>
      <c r="AP146" s="408">
        <v>0</v>
      </c>
      <c r="AQ146" s="408">
        <v>0</v>
      </c>
      <c r="AR146" s="408">
        <v>0</v>
      </c>
      <c r="AS146" s="408">
        <v>0</v>
      </c>
      <c r="AT146" s="408">
        <v>0</v>
      </c>
      <c r="AU146" s="408">
        <v>0</v>
      </c>
      <c r="AV146" s="408">
        <v>0</v>
      </c>
      <c r="AW146" s="408">
        <v>0</v>
      </c>
      <c r="AX146" s="408">
        <v>0</v>
      </c>
      <c r="AY146" s="408">
        <v>0</v>
      </c>
      <c r="AZ146" s="408">
        <v>4698</v>
      </c>
      <c r="BA146" s="408">
        <v>0</v>
      </c>
      <c r="BB146" s="408">
        <v>0</v>
      </c>
      <c r="BC146" s="408">
        <v>241400</v>
      </c>
      <c r="BD146" s="408">
        <v>0</v>
      </c>
      <c r="BE146" s="408">
        <v>0</v>
      </c>
      <c r="BF146" s="408">
        <v>0</v>
      </c>
      <c r="BG146" s="408">
        <v>0</v>
      </c>
      <c r="BH146" s="408">
        <v>0</v>
      </c>
      <c r="BI146" s="408">
        <v>0</v>
      </c>
      <c r="BJ146" s="408">
        <v>80000</v>
      </c>
      <c r="BK146" s="408">
        <v>79394</v>
      </c>
      <c r="BL146" s="408">
        <v>0</v>
      </c>
      <c r="BM146" s="408">
        <v>0</v>
      </c>
      <c r="BN146" s="408">
        <v>0</v>
      </c>
      <c r="BO146" s="408">
        <v>169000</v>
      </c>
      <c r="BP146" s="408">
        <v>0</v>
      </c>
      <c r="BQ146" s="408">
        <v>0</v>
      </c>
      <c r="BR146" s="408">
        <v>0</v>
      </c>
      <c r="BS146" s="408">
        <v>0</v>
      </c>
      <c r="BT146" s="408">
        <v>0</v>
      </c>
    </row>
    <row r="147" spans="1:72" s="408" customFormat="1" x14ac:dyDescent="0.3">
      <c r="A147" s="408">
        <v>388</v>
      </c>
      <c r="B147" s="409">
        <v>388</v>
      </c>
      <c r="C147" s="408">
        <v>388</v>
      </c>
      <c r="D147" s="408" t="s">
        <v>189</v>
      </c>
      <c r="E147" s="408" t="s">
        <v>464</v>
      </c>
      <c r="F147" s="408">
        <v>9175374</v>
      </c>
      <c r="G147" s="408">
        <v>5466330</v>
      </c>
      <c r="H147" s="408">
        <v>312756</v>
      </c>
      <c r="I147" s="408">
        <v>15945005</v>
      </c>
      <c r="J147" s="408">
        <v>116681</v>
      </c>
      <c r="K147" s="408">
        <v>1384547</v>
      </c>
      <c r="L147" s="408">
        <v>4377037</v>
      </c>
      <c r="M147" s="408">
        <v>477213</v>
      </c>
      <c r="N147" s="408">
        <v>73792340</v>
      </c>
      <c r="O147" s="408">
        <v>22440</v>
      </c>
      <c r="P147" s="408">
        <v>7841639</v>
      </c>
      <c r="Q147" s="408">
        <v>1050747</v>
      </c>
      <c r="R147" s="408">
        <v>29508058</v>
      </c>
      <c r="S147" s="408">
        <v>130926755</v>
      </c>
      <c r="T147" s="408">
        <v>0</v>
      </c>
      <c r="U147" s="408">
        <v>377943</v>
      </c>
      <c r="V147" s="408">
        <v>14446823</v>
      </c>
      <c r="W147" s="408">
        <v>590782</v>
      </c>
      <c r="X147" s="408">
        <v>542513</v>
      </c>
      <c r="Y147" s="408">
        <v>151886</v>
      </c>
      <c r="Z147" s="408">
        <v>6812515</v>
      </c>
      <c r="AA147" s="408">
        <v>0</v>
      </c>
      <c r="AB147" s="408">
        <v>0</v>
      </c>
      <c r="AC147" s="408">
        <v>592296</v>
      </c>
      <c r="AD147" s="408">
        <v>10007678</v>
      </c>
      <c r="AE147" s="408">
        <v>2074913</v>
      </c>
      <c r="AF147" s="408">
        <v>237756</v>
      </c>
      <c r="AG147" s="408">
        <v>215735</v>
      </c>
      <c r="AH147" s="408">
        <v>56640</v>
      </c>
      <c r="AI147" s="408">
        <v>8425482</v>
      </c>
      <c r="AJ147" s="408">
        <v>6455678</v>
      </c>
      <c r="AK147" s="408">
        <v>1724050</v>
      </c>
      <c r="AL147" s="408">
        <v>0</v>
      </c>
      <c r="AM147" s="408">
        <v>0</v>
      </c>
      <c r="AN147" s="408">
        <v>65614</v>
      </c>
      <c r="AO147" s="408">
        <v>5648259</v>
      </c>
      <c r="AP147" s="408">
        <v>2326111</v>
      </c>
      <c r="AQ147" s="408">
        <v>5013524</v>
      </c>
      <c r="AR147" s="408">
        <v>229525</v>
      </c>
      <c r="AS147" s="408">
        <v>899578</v>
      </c>
      <c r="AT147" s="408">
        <v>1086540</v>
      </c>
      <c r="AU147" s="408">
        <v>4111055</v>
      </c>
      <c r="AV147" s="408">
        <v>2069748</v>
      </c>
      <c r="AW147" s="408">
        <v>0</v>
      </c>
      <c r="AX147" s="408">
        <v>8541901</v>
      </c>
      <c r="AY147" s="408">
        <v>1343624</v>
      </c>
      <c r="AZ147" s="408">
        <v>8917512</v>
      </c>
      <c r="BA147" s="408">
        <v>43463</v>
      </c>
      <c r="BB147" s="408">
        <v>110812</v>
      </c>
      <c r="BC147" s="408">
        <v>6273587</v>
      </c>
      <c r="BD147" s="408">
        <v>2767134</v>
      </c>
      <c r="BE147" s="408">
        <v>52583</v>
      </c>
      <c r="BF147" s="408">
        <v>466918</v>
      </c>
      <c r="BG147" s="408">
        <v>17775827</v>
      </c>
      <c r="BH147" s="408">
        <v>734916</v>
      </c>
      <c r="BI147" s="408">
        <v>277551</v>
      </c>
      <c r="BJ147" s="408">
        <v>10029443</v>
      </c>
      <c r="BK147" s="408">
        <v>562564</v>
      </c>
      <c r="BL147" s="408">
        <v>963132</v>
      </c>
      <c r="BM147" s="408">
        <v>303445</v>
      </c>
      <c r="BN147" s="408">
        <v>410699</v>
      </c>
      <c r="BO147" s="408">
        <v>1768624</v>
      </c>
      <c r="BP147" s="408">
        <v>444917</v>
      </c>
      <c r="BQ147" s="408">
        <v>4581497</v>
      </c>
      <c r="BR147" s="408">
        <v>63594786</v>
      </c>
      <c r="BS147" s="408">
        <v>2068078</v>
      </c>
      <c r="BT147" s="408">
        <v>11250891</v>
      </c>
    </row>
    <row r="148" spans="1:72" s="408" customFormat="1" x14ac:dyDescent="0.3">
      <c r="A148" s="408">
        <v>389</v>
      </c>
      <c r="B148" s="409">
        <v>389</v>
      </c>
      <c r="C148" s="408">
        <v>389</v>
      </c>
      <c r="D148" s="408" t="s">
        <v>196</v>
      </c>
      <c r="E148" s="408" t="s">
        <v>465</v>
      </c>
      <c r="F148" s="408" t="s">
        <v>1764</v>
      </c>
      <c r="G148" s="408" t="s">
        <v>1764</v>
      </c>
      <c r="H148" s="408" t="s">
        <v>1764</v>
      </c>
      <c r="I148" s="408" t="s">
        <v>1764</v>
      </c>
      <c r="J148" s="408" t="s">
        <v>1764</v>
      </c>
      <c r="K148" s="408" t="s">
        <v>1764</v>
      </c>
      <c r="L148" s="408" t="s">
        <v>1764</v>
      </c>
      <c r="M148" s="408" t="s">
        <v>1751</v>
      </c>
      <c r="N148" s="408" t="s">
        <v>1751</v>
      </c>
      <c r="O148" s="408" t="s">
        <v>1751</v>
      </c>
      <c r="P148" s="408" t="s">
        <v>1751</v>
      </c>
      <c r="Q148" s="408" t="s">
        <v>1751</v>
      </c>
      <c r="R148" s="408" t="s">
        <v>1751</v>
      </c>
      <c r="S148" s="408" t="s">
        <v>1751</v>
      </c>
      <c r="T148" s="408" t="s">
        <v>1751</v>
      </c>
      <c r="U148" s="408" t="s">
        <v>1751</v>
      </c>
      <c r="V148" s="408" t="s">
        <v>1751</v>
      </c>
      <c r="W148" s="408" t="s">
        <v>1751</v>
      </c>
      <c r="X148" s="408" t="s">
        <v>1751</v>
      </c>
      <c r="Y148" s="408" t="s">
        <v>1751</v>
      </c>
      <c r="Z148" s="408" t="s">
        <v>1751</v>
      </c>
      <c r="AA148" s="408" t="s">
        <v>1751</v>
      </c>
      <c r="AB148" s="408" t="s">
        <v>1751</v>
      </c>
      <c r="AC148" s="408" t="s">
        <v>1751</v>
      </c>
      <c r="AD148" s="408" t="s">
        <v>1751</v>
      </c>
      <c r="AE148" s="408" t="s">
        <v>1751</v>
      </c>
      <c r="AF148" s="408" t="s">
        <v>1751</v>
      </c>
      <c r="AG148" s="408" t="s">
        <v>1751</v>
      </c>
      <c r="AH148" s="408" t="s">
        <v>1751</v>
      </c>
      <c r="AI148" s="408" t="s">
        <v>1751</v>
      </c>
      <c r="AJ148" s="408" t="s">
        <v>1751</v>
      </c>
      <c r="AK148" s="408" t="s">
        <v>1751</v>
      </c>
      <c r="AL148" s="408" t="s">
        <v>1751</v>
      </c>
      <c r="AM148" s="408" t="s">
        <v>1751</v>
      </c>
      <c r="AN148" s="408" t="s">
        <v>1751</v>
      </c>
      <c r="AO148" s="408" t="s">
        <v>1751</v>
      </c>
      <c r="AP148" s="408" t="s">
        <v>1751</v>
      </c>
      <c r="AQ148" s="408" t="s">
        <v>1751</v>
      </c>
      <c r="AR148" s="408" t="s">
        <v>1751</v>
      </c>
      <c r="AS148" s="408" t="s">
        <v>1751</v>
      </c>
      <c r="AT148" s="408" t="s">
        <v>1751</v>
      </c>
      <c r="AU148" s="408" t="s">
        <v>1751</v>
      </c>
      <c r="AV148" s="408" t="s">
        <v>1751</v>
      </c>
      <c r="AW148" s="408" t="s">
        <v>1751</v>
      </c>
      <c r="AX148" s="408" t="s">
        <v>1751</v>
      </c>
      <c r="AY148" s="408" t="s">
        <v>1751</v>
      </c>
      <c r="AZ148" s="408" t="s">
        <v>1751</v>
      </c>
      <c r="BA148" s="408" t="s">
        <v>1751</v>
      </c>
      <c r="BB148" s="408" t="s">
        <v>1751</v>
      </c>
      <c r="BC148" s="408" t="s">
        <v>1751</v>
      </c>
      <c r="BD148" s="408" t="s">
        <v>1751</v>
      </c>
      <c r="BE148" s="408" t="s">
        <v>1751</v>
      </c>
      <c r="BF148" s="408" t="s">
        <v>1751</v>
      </c>
      <c r="BG148" s="408" t="s">
        <v>1751</v>
      </c>
      <c r="BH148" s="408" t="s">
        <v>1751</v>
      </c>
      <c r="BI148" s="408" t="s">
        <v>1751</v>
      </c>
      <c r="BJ148" s="408">
        <v>814767</v>
      </c>
      <c r="BK148" s="408" t="s">
        <v>1751</v>
      </c>
      <c r="BL148" s="408" t="s">
        <v>1751</v>
      </c>
      <c r="BM148" s="408" t="s">
        <v>1751</v>
      </c>
      <c r="BN148" s="408" t="s">
        <v>1751</v>
      </c>
      <c r="BO148" s="408" t="s">
        <v>1751</v>
      </c>
      <c r="BP148" s="408" t="s">
        <v>1751</v>
      </c>
      <c r="BQ148" s="408">
        <v>34935</v>
      </c>
      <c r="BR148" s="408" t="s">
        <v>1751</v>
      </c>
      <c r="BS148" s="408" t="s">
        <v>1751</v>
      </c>
      <c r="BT148" s="408" t="s">
        <v>1751</v>
      </c>
    </row>
    <row r="149" spans="1:72" s="408" customFormat="1" x14ac:dyDescent="0.3">
      <c r="A149" s="408">
        <v>391</v>
      </c>
      <c r="B149" s="409">
        <v>391</v>
      </c>
      <c r="C149" s="408">
        <v>391</v>
      </c>
      <c r="D149" s="408" t="s">
        <v>201</v>
      </c>
      <c r="E149" s="408" t="s">
        <v>466</v>
      </c>
      <c r="F149" s="408">
        <v>787275</v>
      </c>
      <c r="G149" s="408">
        <v>601657</v>
      </c>
      <c r="H149" s="408">
        <v>70234</v>
      </c>
      <c r="I149" s="408">
        <v>2348173</v>
      </c>
      <c r="J149" s="408" t="s">
        <v>1764</v>
      </c>
      <c r="K149" s="408">
        <v>371238</v>
      </c>
      <c r="L149" s="408">
        <v>396966</v>
      </c>
      <c r="M149" s="408">
        <v>103080</v>
      </c>
      <c r="N149" s="408">
        <v>8824846</v>
      </c>
      <c r="O149" s="408" t="s">
        <v>1751</v>
      </c>
      <c r="P149" s="408">
        <v>1367630</v>
      </c>
      <c r="Q149" s="408">
        <v>87534</v>
      </c>
      <c r="R149" s="408">
        <v>3001387</v>
      </c>
      <c r="S149" s="408">
        <v>23104170</v>
      </c>
      <c r="T149" s="408" t="s">
        <v>1751</v>
      </c>
      <c r="U149" s="408">
        <v>18887</v>
      </c>
      <c r="V149" s="408">
        <v>436380</v>
      </c>
      <c r="W149" s="408">
        <v>150794</v>
      </c>
      <c r="X149" s="408">
        <v>23028</v>
      </c>
      <c r="Y149" s="408">
        <v>17704</v>
      </c>
      <c r="Z149" s="408">
        <v>807813</v>
      </c>
      <c r="AA149" s="408" t="s">
        <v>1751</v>
      </c>
      <c r="AB149" s="408" t="s">
        <v>1751</v>
      </c>
      <c r="AC149" s="408">
        <v>20891</v>
      </c>
      <c r="AD149" s="408">
        <v>1373617</v>
      </c>
      <c r="AE149" s="408">
        <v>159078</v>
      </c>
      <c r="AF149" s="408">
        <v>272253</v>
      </c>
      <c r="AG149" s="408">
        <v>21812</v>
      </c>
      <c r="AH149" s="408">
        <v>2869</v>
      </c>
      <c r="AI149" s="408">
        <v>944534</v>
      </c>
      <c r="AJ149" s="408">
        <v>766757</v>
      </c>
      <c r="AK149" s="408">
        <v>280398</v>
      </c>
      <c r="AL149" s="408" t="s">
        <v>1751</v>
      </c>
      <c r="AM149" s="408" t="s">
        <v>1751</v>
      </c>
      <c r="AN149" s="408">
        <v>8336</v>
      </c>
      <c r="AO149" s="408">
        <v>300294</v>
      </c>
      <c r="AP149" s="408">
        <v>60065</v>
      </c>
      <c r="AQ149" s="408">
        <v>452541</v>
      </c>
      <c r="AR149" s="408">
        <v>14013</v>
      </c>
      <c r="AS149" s="408">
        <v>347632</v>
      </c>
      <c r="AT149" s="408">
        <v>110878</v>
      </c>
      <c r="AU149" s="408">
        <v>357410</v>
      </c>
      <c r="AV149" s="408">
        <v>209334</v>
      </c>
      <c r="AW149" s="408" t="s">
        <v>1751</v>
      </c>
      <c r="AX149" s="408">
        <v>894880</v>
      </c>
      <c r="AY149" s="408">
        <v>149980</v>
      </c>
      <c r="AZ149" s="408">
        <v>1274555</v>
      </c>
      <c r="BA149" s="408">
        <v>3075</v>
      </c>
      <c r="BB149" s="408">
        <v>17930</v>
      </c>
      <c r="BC149" s="408">
        <v>2257219</v>
      </c>
      <c r="BD149" s="408">
        <v>174186</v>
      </c>
      <c r="BE149" s="408">
        <v>13398</v>
      </c>
      <c r="BF149" s="408">
        <v>41136</v>
      </c>
      <c r="BG149" s="408">
        <v>1182496</v>
      </c>
      <c r="BH149" s="408">
        <v>109342</v>
      </c>
      <c r="BI149" s="408">
        <v>8827</v>
      </c>
      <c r="BJ149" s="408">
        <v>1535441</v>
      </c>
      <c r="BK149" s="408">
        <v>41310</v>
      </c>
      <c r="BL149" s="408">
        <v>155786</v>
      </c>
      <c r="BM149" s="408">
        <v>38097</v>
      </c>
      <c r="BN149" s="408">
        <v>66387</v>
      </c>
      <c r="BO149" s="408">
        <v>107247</v>
      </c>
      <c r="BP149" s="408">
        <v>69406</v>
      </c>
      <c r="BQ149" s="408">
        <v>328911</v>
      </c>
      <c r="BR149" s="408">
        <v>8615650</v>
      </c>
      <c r="BS149" s="408">
        <v>134075</v>
      </c>
      <c r="BT149" s="408">
        <v>853583</v>
      </c>
    </row>
    <row r="150" spans="1:72" s="408" customFormat="1" x14ac:dyDescent="0.3">
      <c r="A150" s="408">
        <v>500</v>
      </c>
      <c r="B150" s="409">
        <v>500</v>
      </c>
      <c r="C150" s="408">
        <v>500</v>
      </c>
      <c r="D150" s="408" t="s">
        <v>183</v>
      </c>
      <c r="E150" s="408" t="s">
        <v>467</v>
      </c>
      <c r="F150" s="408">
        <v>687898</v>
      </c>
      <c r="G150" s="408">
        <v>323466</v>
      </c>
      <c r="H150" s="408" t="s">
        <v>1764</v>
      </c>
      <c r="I150" s="408">
        <v>158247</v>
      </c>
      <c r="J150" s="408">
        <v>25527</v>
      </c>
      <c r="K150" s="408">
        <v>369598</v>
      </c>
      <c r="L150" s="408">
        <v>122518</v>
      </c>
      <c r="M150" s="408">
        <v>103700</v>
      </c>
      <c r="N150" s="408">
        <v>47846315</v>
      </c>
      <c r="O150" s="408" t="s">
        <v>1751</v>
      </c>
      <c r="P150" s="408">
        <v>1244464</v>
      </c>
      <c r="Q150" s="408" t="s">
        <v>1751</v>
      </c>
      <c r="R150" s="408">
        <v>6102251</v>
      </c>
      <c r="S150" s="408">
        <v>1166624</v>
      </c>
      <c r="T150" s="408" t="s">
        <v>1751</v>
      </c>
      <c r="U150" s="408">
        <v>8894</v>
      </c>
      <c r="V150" s="408">
        <v>326125</v>
      </c>
      <c r="W150" s="408">
        <v>71312</v>
      </c>
      <c r="X150" s="408">
        <v>71700</v>
      </c>
      <c r="Y150" s="408" t="s">
        <v>1751</v>
      </c>
      <c r="Z150" s="408">
        <v>236112</v>
      </c>
      <c r="AA150" s="408" t="s">
        <v>1751</v>
      </c>
      <c r="AB150" s="408" t="s">
        <v>1751</v>
      </c>
      <c r="AC150" s="408">
        <v>187635</v>
      </c>
      <c r="AD150" s="408">
        <v>2155303</v>
      </c>
      <c r="AE150" s="408" t="s">
        <v>1751</v>
      </c>
      <c r="AF150" s="408" t="s">
        <v>1751</v>
      </c>
      <c r="AG150" s="408">
        <v>62115</v>
      </c>
      <c r="AH150" s="408">
        <v>10165</v>
      </c>
      <c r="AI150" s="408">
        <v>4948425</v>
      </c>
      <c r="AJ150" s="408" t="s">
        <v>1751</v>
      </c>
      <c r="AK150" s="408">
        <v>244346</v>
      </c>
      <c r="AL150" s="408" t="s">
        <v>1751</v>
      </c>
      <c r="AM150" s="408" t="s">
        <v>1751</v>
      </c>
      <c r="AN150" s="408" t="s">
        <v>1751</v>
      </c>
      <c r="AO150" s="408">
        <v>91471</v>
      </c>
      <c r="AP150" s="408">
        <v>310334</v>
      </c>
      <c r="AQ150" s="408">
        <v>315886</v>
      </c>
      <c r="AR150" s="408">
        <v>118213</v>
      </c>
      <c r="AS150" s="408">
        <v>46116</v>
      </c>
      <c r="AT150" s="408">
        <v>506939</v>
      </c>
      <c r="AU150" s="408" t="s">
        <v>1751</v>
      </c>
      <c r="AV150" s="408">
        <v>52013</v>
      </c>
      <c r="AW150" s="408" t="s">
        <v>1751</v>
      </c>
      <c r="AX150" s="408">
        <v>909220</v>
      </c>
      <c r="AY150" s="408">
        <v>51755</v>
      </c>
      <c r="AZ150" s="408">
        <v>3454685</v>
      </c>
      <c r="BA150" s="408">
        <v>150834</v>
      </c>
      <c r="BB150" s="408">
        <v>28000</v>
      </c>
      <c r="BC150" s="408">
        <v>626736</v>
      </c>
      <c r="BD150" s="408">
        <v>744122</v>
      </c>
      <c r="BE150" s="408">
        <v>16966</v>
      </c>
      <c r="BF150" s="408">
        <v>37817</v>
      </c>
      <c r="BG150" s="408">
        <v>409725</v>
      </c>
      <c r="BH150" s="408">
        <v>41294</v>
      </c>
      <c r="BI150" s="408">
        <v>385004</v>
      </c>
      <c r="BJ150" s="408">
        <v>713721</v>
      </c>
      <c r="BK150" s="408">
        <v>15488</v>
      </c>
      <c r="BL150" s="408">
        <v>249021</v>
      </c>
      <c r="BM150" s="408">
        <v>9874</v>
      </c>
      <c r="BN150" s="408">
        <v>22113</v>
      </c>
      <c r="BO150" s="408">
        <v>67915</v>
      </c>
      <c r="BP150" s="408">
        <v>81194</v>
      </c>
      <c r="BQ150" s="408" t="s">
        <v>1751</v>
      </c>
      <c r="BR150" s="408" t="s">
        <v>1751</v>
      </c>
      <c r="BS150" s="408">
        <v>79245</v>
      </c>
      <c r="BT150" s="408">
        <v>1051034</v>
      </c>
    </row>
    <row r="151" spans="1:72" s="408" customFormat="1" x14ac:dyDescent="0.3">
      <c r="A151" s="408">
        <v>501</v>
      </c>
      <c r="B151" s="409"/>
      <c r="C151" s="408">
        <v>501</v>
      </c>
      <c r="D151" s="408" t="s">
        <v>185</v>
      </c>
      <c r="E151" s="408" t="s">
        <v>468</v>
      </c>
      <c r="F151" s="408" t="s">
        <v>1764</v>
      </c>
      <c r="G151" s="408" t="s">
        <v>1764</v>
      </c>
      <c r="H151" s="408" t="s">
        <v>1764</v>
      </c>
      <c r="I151" s="408" t="s">
        <v>1764</v>
      </c>
      <c r="J151" s="408" t="s">
        <v>1764</v>
      </c>
      <c r="K151" s="408" t="s">
        <v>1764</v>
      </c>
      <c r="L151" s="408" t="s">
        <v>1764</v>
      </c>
      <c r="M151" s="408" t="s">
        <v>1751</v>
      </c>
      <c r="N151" s="408" t="s">
        <v>1751</v>
      </c>
      <c r="O151" s="408" t="s">
        <v>1751</v>
      </c>
      <c r="P151" s="408" t="s">
        <v>1751</v>
      </c>
      <c r="Q151" s="408" t="s">
        <v>1751</v>
      </c>
      <c r="R151" s="408" t="s">
        <v>1751</v>
      </c>
      <c r="S151" s="408" t="s">
        <v>1751</v>
      </c>
      <c r="T151" s="408" t="s">
        <v>1751</v>
      </c>
      <c r="U151" s="408" t="s">
        <v>1751</v>
      </c>
      <c r="V151" s="408" t="s">
        <v>1751</v>
      </c>
      <c r="W151" s="408" t="s">
        <v>1751</v>
      </c>
      <c r="X151" s="408" t="s">
        <v>1751</v>
      </c>
      <c r="Y151" s="408" t="s">
        <v>1751</v>
      </c>
      <c r="Z151" s="408" t="s">
        <v>1751</v>
      </c>
      <c r="AA151" s="408" t="s">
        <v>1751</v>
      </c>
      <c r="AB151" s="408" t="s">
        <v>1751</v>
      </c>
      <c r="AC151" s="408" t="s">
        <v>1751</v>
      </c>
      <c r="AD151" s="408" t="s">
        <v>1751</v>
      </c>
      <c r="AE151" s="408" t="s">
        <v>1751</v>
      </c>
      <c r="AF151" s="408" t="s">
        <v>1751</v>
      </c>
      <c r="AG151" s="408" t="s">
        <v>1751</v>
      </c>
      <c r="AH151" s="408" t="s">
        <v>1751</v>
      </c>
      <c r="AI151" s="408" t="s">
        <v>1751</v>
      </c>
      <c r="AJ151" s="408" t="s">
        <v>1751</v>
      </c>
      <c r="AK151" s="408" t="s">
        <v>1751</v>
      </c>
      <c r="AL151" s="408" t="s">
        <v>1751</v>
      </c>
      <c r="AM151" s="408" t="s">
        <v>1751</v>
      </c>
      <c r="AN151" s="408" t="s">
        <v>1751</v>
      </c>
      <c r="AO151" s="408" t="s">
        <v>1751</v>
      </c>
      <c r="AP151" s="408" t="s">
        <v>1751</v>
      </c>
      <c r="AQ151" s="408" t="s">
        <v>1751</v>
      </c>
      <c r="AR151" s="408" t="s">
        <v>1751</v>
      </c>
      <c r="AS151" s="408" t="s">
        <v>1751</v>
      </c>
      <c r="AT151" s="408" t="s">
        <v>1751</v>
      </c>
      <c r="AU151" s="408" t="s">
        <v>1751</v>
      </c>
      <c r="AV151" s="408" t="s">
        <v>1751</v>
      </c>
      <c r="AW151" s="408" t="s">
        <v>1751</v>
      </c>
      <c r="AX151" s="408" t="s">
        <v>1751</v>
      </c>
      <c r="AY151" s="408" t="s">
        <v>1751</v>
      </c>
      <c r="AZ151" s="408" t="s">
        <v>1751</v>
      </c>
      <c r="BA151" s="408" t="s">
        <v>1751</v>
      </c>
      <c r="BB151" s="408" t="s">
        <v>1751</v>
      </c>
      <c r="BC151" s="408" t="s">
        <v>1751</v>
      </c>
      <c r="BD151" s="408" t="s">
        <v>1751</v>
      </c>
      <c r="BE151" s="408" t="s">
        <v>1751</v>
      </c>
      <c r="BF151" s="408" t="s">
        <v>1751</v>
      </c>
      <c r="BG151" s="408" t="s">
        <v>1751</v>
      </c>
      <c r="BH151" s="408" t="s">
        <v>1751</v>
      </c>
      <c r="BI151" s="408" t="s">
        <v>1751</v>
      </c>
      <c r="BJ151" s="408" t="s">
        <v>1751</v>
      </c>
      <c r="BK151" s="408" t="s">
        <v>1751</v>
      </c>
      <c r="BL151" s="408" t="s">
        <v>1751</v>
      </c>
      <c r="BM151" s="408" t="s">
        <v>1751</v>
      </c>
      <c r="BN151" s="408" t="s">
        <v>1751</v>
      </c>
      <c r="BO151" s="408" t="s">
        <v>1751</v>
      </c>
      <c r="BP151" s="408" t="s">
        <v>1751</v>
      </c>
      <c r="BQ151" s="408" t="s">
        <v>1751</v>
      </c>
      <c r="BR151" s="408" t="s">
        <v>1751</v>
      </c>
      <c r="BS151" s="408" t="s">
        <v>1751</v>
      </c>
      <c r="BT151" s="408" t="s">
        <v>1751</v>
      </c>
    </row>
    <row r="152" spans="1:72" s="408" customFormat="1" x14ac:dyDescent="0.3">
      <c r="A152" s="408">
        <v>502</v>
      </c>
      <c r="B152" s="409">
        <v>502</v>
      </c>
      <c r="C152" s="408">
        <v>502</v>
      </c>
      <c r="D152" s="408" t="s">
        <v>186</v>
      </c>
      <c r="E152" s="408" t="s">
        <v>469</v>
      </c>
      <c r="F152" s="408">
        <v>2662963</v>
      </c>
      <c r="G152" s="408" t="s">
        <v>1764</v>
      </c>
      <c r="H152" s="408">
        <v>255376</v>
      </c>
      <c r="I152" s="408">
        <v>22952586</v>
      </c>
      <c r="J152" s="408" t="s">
        <v>1764</v>
      </c>
      <c r="K152" s="408">
        <v>375366</v>
      </c>
      <c r="L152" s="408">
        <v>4502107</v>
      </c>
      <c r="M152" s="408">
        <v>147625</v>
      </c>
      <c r="N152" s="408">
        <v>73205077</v>
      </c>
      <c r="O152" s="408" t="s">
        <v>1751</v>
      </c>
      <c r="P152" s="408">
        <v>7953986</v>
      </c>
      <c r="Q152" s="408" t="s">
        <v>1751</v>
      </c>
      <c r="R152" s="408">
        <v>11303654</v>
      </c>
      <c r="S152" s="408">
        <v>79444309</v>
      </c>
      <c r="T152" s="408" t="s">
        <v>1751</v>
      </c>
      <c r="U152" s="408">
        <v>143895</v>
      </c>
      <c r="V152" s="408">
        <v>1275388</v>
      </c>
      <c r="W152" s="408">
        <v>386189</v>
      </c>
      <c r="X152" s="408">
        <v>82707</v>
      </c>
      <c r="Y152" s="408">
        <v>35965</v>
      </c>
      <c r="Z152" s="408">
        <v>5624529</v>
      </c>
      <c r="AA152" s="408" t="s">
        <v>1751</v>
      </c>
      <c r="AB152" s="408" t="s">
        <v>1751</v>
      </c>
      <c r="AC152" s="408">
        <v>14017</v>
      </c>
      <c r="AD152" s="408">
        <v>1538160</v>
      </c>
      <c r="AE152" s="408">
        <v>1545392</v>
      </c>
      <c r="AF152" s="408">
        <v>104973</v>
      </c>
      <c r="AG152" s="408" t="s">
        <v>1751</v>
      </c>
      <c r="AH152" s="408" t="s">
        <v>1751</v>
      </c>
      <c r="AI152" s="408">
        <v>1773669</v>
      </c>
      <c r="AJ152" s="408">
        <v>2717080</v>
      </c>
      <c r="AK152" s="408">
        <v>443957</v>
      </c>
      <c r="AL152" s="408" t="s">
        <v>1751</v>
      </c>
      <c r="AM152" s="408" t="s">
        <v>1751</v>
      </c>
      <c r="AN152" s="408" t="s">
        <v>1751</v>
      </c>
      <c r="AO152" s="408">
        <v>1023640</v>
      </c>
      <c r="AP152" s="408">
        <v>1949827</v>
      </c>
      <c r="AQ152" s="408">
        <v>120652</v>
      </c>
      <c r="AR152" s="408" t="s">
        <v>1751</v>
      </c>
      <c r="AS152" s="408">
        <v>235994</v>
      </c>
      <c r="AT152" s="408">
        <v>774403</v>
      </c>
      <c r="AU152" s="408">
        <v>361314</v>
      </c>
      <c r="AV152" s="408">
        <v>1266783</v>
      </c>
      <c r="AW152" s="408" t="s">
        <v>1751</v>
      </c>
      <c r="AX152" s="408">
        <v>829077</v>
      </c>
      <c r="AY152" s="408">
        <v>496268</v>
      </c>
      <c r="AZ152" s="408">
        <v>284010</v>
      </c>
      <c r="BA152" s="408">
        <v>74051</v>
      </c>
      <c r="BB152" s="408" t="s">
        <v>1751</v>
      </c>
      <c r="BC152" s="408" t="s">
        <v>1751</v>
      </c>
      <c r="BD152" s="408">
        <v>523734</v>
      </c>
      <c r="BE152" s="408" t="s">
        <v>1751</v>
      </c>
      <c r="BF152" s="408" t="s">
        <v>1751</v>
      </c>
      <c r="BG152" s="408">
        <v>19212421</v>
      </c>
      <c r="BH152" s="408">
        <v>863419</v>
      </c>
      <c r="BI152" s="408">
        <v>2175737</v>
      </c>
      <c r="BJ152" s="408">
        <v>516464</v>
      </c>
      <c r="BK152" s="408">
        <v>105708</v>
      </c>
      <c r="BL152" s="408">
        <v>644343</v>
      </c>
      <c r="BM152" s="408">
        <v>55408</v>
      </c>
      <c r="BN152" s="408">
        <v>186672</v>
      </c>
      <c r="BO152" s="408">
        <v>213467</v>
      </c>
      <c r="BP152" s="408">
        <v>1025407</v>
      </c>
      <c r="BQ152" s="408">
        <v>2808980</v>
      </c>
      <c r="BR152" s="408">
        <v>81494378</v>
      </c>
      <c r="BS152" s="408">
        <v>1310894</v>
      </c>
      <c r="BT152" s="408">
        <v>916054</v>
      </c>
    </row>
    <row r="153" spans="1:72" s="408" customFormat="1" x14ac:dyDescent="0.3">
      <c r="A153" s="408">
        <v>503</v>
      </c>
      <c r="B153" s="409">
        <v>503</v>
      </c>
      <c r="C153" s="408">
        <v>503</v>
      </c>
      <c r="D153" s="408" t="s">
        <v>187</v>
      </c>
      <c r="E153" s="408" t="s">
        <v>470</v>
      </c>
      <c r="F153" s="408">
        <v>112587</v>
      </c>
      <c r="G153" s="408">
        <v>0</v>
      </c>
      <c r="H153" s="408">
        <v>6414</v>
      </c>
      <c r="I153" s="408">
        <v>1328716</v>
      </c>
      <c r="J153" s="408">
        <v>0</v>
      </c>
      <c r="K153" s="408">
        <v>76334</v>
      </c>
      <c r="L153" s="408">
        <v>315712</v>
      </c>
      <c r="M153" s="408">
        <v>0</v>
      </c>
      <c r="N153" s="408">
        <v>6681133</v>
      </c>
      <c r="O153" s="408">
        <v>0</v>
      </c>
      <c r="P153" s="408">
        <v>422163</v>
      </c>
      <c r="Q153" s="408">
        <v>0</v>
      </c>
      <c r="R153" s="408">
        <v>623998</v>
      </c>
      <c r="S153" s="408">
        <v>3931535</v>
      </c>
      <c r="T153" s="408">
        <v>0</v>
      </c>
      <c r="U153" s="408">
        <v>0</v>
      </c>
      <c r="V153" s="408">
        <v>12769</v>
      </c>
      <c r="W153" s="408">
        <v>107932</v>
      </c>
      <c r="X153" s="408">
        <v>26019</v>
      </c>
      <c r="Y153" s="408">
        <v>0</v>
      </c>
      <c r="Z153" s="408">
        <v>222753</v>
      </c>
      <c r="AA153" s="408">
        <v>0</v>
      </c>
      <c r="AB153" s="408">
        <v>0</v>
      </c>
      <c r="AC153" s="408">
        <v>0</v>
      </c>
      <c r="AD153" s="408">
        <v>0</v>
      </c>
      <c r="AE153" s="408">
        <v>44614</v>
      </c>
      <c r="AF153" s="408">
        <v>0</v>
      </c>
      <c r="AG153" s="408">
        <v>0</v>
      </c>
      <c r="AH153" s="408">
        <v>0</v>
      </c>
      <c r="AI153" s="408">
        <v>374211</v>
      </c>
      <c r="AJ153" s="408">
        <v>239517</v>
      </c>
      <c r="AK153" s="408">
        <v>241081</v>
      </c>
      <c r="AL153" s="408">
        <v>0</v>
      </c>
      <c r="AM153" s="408">
        <v>0</v>
      </c>
      <c r="AN153" s="408">
        <v>0</v>
      </c>
      <c r="AO153" s="408">
        <v>246432</v>
      </c>
      <c r="AP153" s="408">
        <v>0</v>
      </c>
      <c r="AQ153" s="408">
        <v>188940</v>
      </c>
      <c r="AR153" s="408">
        <v>0</v>
      </c>
      <c r="AS153" s="408">
        <v>64955</v>
      </c>
      <c r="AT153" s="408">
        <v>127564</v>
      </c>
      <c r="AU153" s="408">
        <v>0</v>
      </c>
      <c r="AV153" s="408">
        <v>0</v>
      </c>
      <c r="AW153" s="408">
        <v>0</v>
      </c>
      <c r="AX153" s="408">
        <v>174154</v>
      </c>
      <c r="AY153" s="408">
        <v>85793</v>
      </c>
      <c r="AZ153" s="408">
        <v>2111197</v>
      </c>
      <c r="BA153" s="408">
        <v>0</v>
      </c>
      <c r="BB153" s="408">
        <v>0</v>
      </c>
      <c r="BC153" s="408">
        <v>0</v>
      </c>
      <c r="BD153" s="408">
        <v>87355</v>
      </c>
      <c r="BE153" s="408">
        <v>0</v>
      </c>
      <c r="BF153" s="408">
        <v>13869</v>
      </c>
      <c r="BG153" s="408">
        <v>308389</v>
      </c>
      <c r="BH153" s="408">
        <v>47487</v>
      </c>
      <c r="BI153" s="408">
        <v>32858</v>
      </c>
      <c r="BJ153" s="408">
        <v>292567</v>
      </c>
      <c r="BK153" s="408">
        <v>21886</v>
      </c>
      <c r="BL153" s="408">
        <v>34095</v>
      </c>
      <c r="BM153" s="408">
        <v>0</v>
      </c>
      <c r="BN153" s="408">
        <v>0</v>
      </c>
      <c r="BO153" s="408">
        <v>375307</v>
      </c>
      <c r="BP153" s="408">
        <v>18191</v>
      </c>
      <c r="BQ153" s="408">
        <v>101048</v>
      </c>
      <c r="BR153" s="408">
        <v>551118</v>
      </c>
      <c r="BS153" s="408">
        <v>99112</v>
      </c>
      <c r="BT153" s="408">
        <v>7000</v>
      </c>
    </row>
    <row r="154" spans="1:72" s="408" customFormat="1" x14ac:dyDescent="0.3">
      <c r="A154" s="408">
        <v>504</v>
      </c>
      <c r="B154" s="409">
        <v>504</v>
      </c>
      <c r="C154" s="408">
        <v>504</v>
      </c>
      <c r="D154" s="408" t="s">
        <v>191</v>
      </c>
      <c r="E154" s="408" t="s">
        <v>471</v>
      </c>
      <c r="F154" s="408">
        <v>257312</v>
      </c>
      <c r="G154" s="408">
        <v>151106</v>
      </c>
      <c r="H154" s="408">
        <v>29713</v>
      </c>
      <c r="I154" s="408">
        <v>949797</v>
      </c>
      <c r="J154" s="408">
        <v>17019</v>
      </c>
      <c r="K154" s="408">
        <v>74968</v>
      </c>
      <c r="L154" s="408">
        <v>234563</v>
      </c>
      <c r="M154" s="408">
        <v>97119</v>
      </c>
      <c r="N154" s="408">
        <v>2928654</v>
      </c>
      <c r="O154" s="408">
        <v>0</v>
      </c>
      <c r="P154" s="408">
        <v>526949</v>
      </c>
      <c r="Q154" s="408">
        <v>54705</v>
      </c>
      <c r="R154" s="408">
        <v>850045</v>
      </c>
      <c r="S154" s="408">
        <v>2442062</v>
      </c>
      <c r="T154" s="408">
        <v>0</v>
      </c>
      <c r="U154" s="408">
        <v>187159</v>
      </c>
      <c r="V154" s="408">
        <v>8066499</v>
      </c>
      <c r="W154" s="408">
        <v>93572</v>
      </c>
      <c r="X154" s="408">
        <v>172917</v>
      </c>
      <c r="Y154" s="408">
        <v>10835</v>
      </c>
      <c r="Z154" s="408">
        <v>621900</v>
      </c>
      <c r="AA154" s="408">
        <v>0</v>
      </c>
      <c r="AB154" s="408">
        <v>0</v>
      </c>
      <c r="AC154" s="408">
        <v>187734</v>
      </c>
      <c r="AD154" s="408">
        <v>2506889</v>
      </c>
      <c r="AE154" s="408">
        <v>69720</v>
      </c>
      <c r="AF154" s="408">
        <v>7704</v>
      </c>
      <c r="AG154" s="408">
        <v>66151</v>
      </c>
      <c r="AH154" s="408">
        <v>2491</v>
      </c>
      <c r="AI154" s="408">
        <v>847214</v>
      </c>
      <c r="AJ154" s="408">
        <v>521182</v>
      </c>
      <c r="AK154" s="408">
        <v>82114</v>
      </c>
      <c r="AL154" s="408">
        <v>0</v>
      </c>
      <c r="AM154" s="408">
        <v>0</v>
      </c>
      <c r="AN154" s="408">
        <v>7695</v>
      </c>
      <c r="AO154" s="408">
        <v>389735</v>
      </c>
      <c r="AP154" s="408">
        <v>61896</v>
      </c>
      <c r="AQ154" s="408">
        <v>301087</v>
      </c>
      <c r="AR154" s="408">
        <v>6910</v>
      </c>
      <c r="AS154" s="408">
        <v>117986</v>
      </c>
      <c r="AT154" s="408">
        <v>53390</v>
      </c>
      <c r="AU154" s="408">
        <v>62549</v>
      </c>
      <c r="AV154" s="408">
        <v>142813</v>
      </c>
      <c r="AW154" s="408">
        <v>0</v>
      </c>
      <c r="AX154" s="408">
        <v>155394</v>
      </c>
      <c r="AY154" s="408">
        <v>521288</v>
      </c>
      <c r="AZ154" s="408">
        <v>334749</v>
      </c>
      <c r="BA154" s="408">
        <v>0</v>
      </c>
      <c r="BB154" s="408">
        <v>21133</v>
      </c>
      <c r="BC154" s="408">
        <v>1276774</v>
      </c>
      <c r="BD154" s="408">
        <v>276051</v>
      </c>
      <c r="BE154" s="408">
        <v>62122</v>
      </c>
      <c r="BF154" s="408">
        <v>154752</v>
      </c>
      <c r="BG154" s="408">
        <v>982547</v>
      </c>
      <c r="BH154" s="408">
        <v>37599</v>
      </c>
      <c r="BI154" s="408">
        <v>154842</v>
      </c>
      <c r="BJ154" s="408">
        <v>342673</v>
      </c>
      <c r="BK154" s="408">
        <v>50166</v>
      </c>
      <c r="BL154" s="408">
        <v>99311</v>
      </c>
      <c r="BM154" s="408">
        <v>14795</v>
      </c>
      <c r="BN154" s="408">
        <v>34041</v>
      </c>
      <c r="BO154" s="408">
        <v>183294</v>
      </c>
      <c r="BP154" s="408">
        <v>45502</v>
      </c>
      <c r="BQ154" s="408">
        <v>112281</v>
      </c>
      <c r="BR154" s="408">
        <v>3794200</v>
      </c>
      <c r="BS154" s="408">
        <v>290091</v>
      </c>
      <c r="BT154" s="408">
        <v>815234</v>
      </c>
    </row>
    <row r="155" spans="1:72" s="408" customFormat="1" x14ac:dyDescent="0.3">
      <c r="A155" s="408">
        <v>505</v>
      </c>
      <c r="B155" s="409">
        <v>505</v>
      </c>
      <c r="C155" s="408">
        <v>505</v>
      </c>
      <c r="D155" s="408" t="s">
        <v>192</v>
      </c>
      <c r="E155" s="408" t="s">
        <v>472</v>
      </c>
      <c r="F155" s="408">
        <v>2847</v>
      </c>
      <c r="G155" s="408">
        <v>0</v>
      </c>
      <c r="H155" s="408">
        <v>15000</v>
      </c>
      <c r="I155" s="408">
        <v>0</v>
      </c>
      <c r="J155" s="408">
        <v>0</v>
      </c>
      <c r="K155" s="408">
        <v>0</v>
      </c>
      <c r="L155" s="408">
        <v>0</v>
      </c>
      <c r="M155" s="408">
        <v>0</v>
      </c>
      <c r="N155" s="408">
        <v>57686761</v>
      </c>
      <c r="O155" s="408">
        <v>0</v>
      </c>
      <c r="P155" s="408">
        <v>56518</v>
      </c>
      <c r="Q155" s="408">
        <v>0</v>
      </c>
      <c r="R155" s="408">
        <v>649934</v>
      </c>
      <c r="S155" s="408">
        <v>4682230</v>
      </c>
      <c r="T155" s="408">
        <v>0</v>
      </c>
      <c r="U155" s="408">
        <v>0</v>
      </c>
      <c r="V155" s="408">
        <v>0</v>
      </c>
      <c r="W155" s="408">
        <v>0</v>
      </c>
      <c r="X155" s="408">
        <v>0</v>
      </c>
      <c r="Y155" s="408">
        <v>0</v>
      </c>
      <c r="Z155" s="408">
        <v>1212828</v>
      </c>
      <c r="AA155" s="408">
        <v>0</v>
      </c>
      <c r="AB155" s="408">
        <v>0</v>
      </c>
      <c r="AC155" s="408">
        <v>0</v>
      </c>
      <c r="AD155" s="408">
        <v>137</v>
      </c>
      <c r="AE155" s="408">
        <v>38431</v>
      </c>
      <c r="AF155" s="408">
        <v>0</v>
      </c>
      <c r="AG155" s="408">
        <v>0</v>
      </c>
      <c r="AH155" s="408">
        <v>0</v>
      </c>
      <c r="AI155" s="408">
        <v>4113</v>
      </c>
      <c r="AJ155" s="408">
        <v>0</v>
      </c>
      <c r="AK155" s="408">
        <v>0</v>
      </c>
      <c r="AL155" s="408">
        <v>0</v>
      </c>
      <c r="AM155" s="408">
        <v>0</v>
      </c>
      <c r="AN155" s="408">
        <v>0</v>
      </c>
      <c r="AO155" s="408">
        <v>243043</v>
      </c>
      <c r="AP155" s="408">
        <v>770000</v>
      </c>
      <c r="AQ155" s="408">
        <v>117321</v>
      </c>
      <c r="AR155" s="408">
        <v>0</v>
      </c>
      <c r="AS155" s="408">
        <v>0</v>
      </c>
      <c r="AT155" s="408">
        <v>0</v>
      </c>
      <c r="AU155" s="408">
        <v>0</v>
      </c>
      <c r="AV155" s="408">
        <v>0</v>
      </c>
      <c r="AW155" s="408">
        <v>0</v>
      </c>
      <c r="AX155" s="408">
        <v>1476379</v>
      </c>
      <c r="AY155" s="408">
        <v>0</v>
      </c>
      <c r="AZ155" s="408">
        <v>123199</v>
      </c>
      <c r="BA155" s="408">
        <v>203737</v>
      </c>
      <c r="BB155" s="408">
        <v>0</v>
      </c>
      <c r="BC155" s="408">
        <v>11788</v>
      </c>
      <c r="BD155" s="408">
        <v>226305</v>
      </c>
      <c r="BE155" s="408">
        <v>0</v>
      </c>
      <c r="BF155" s="408">
        <v>0</v>
      </c>
      <c r="BG155" s="408">
        <v>0</v>
      </c>
      <c r="BH155" s="408">
        <v>0</v>
      </c>
      <c r="BI155" s="408">
        <v>5830</v>
      </c>
      <c r="BJ155" s="408">
        <v>193002</v>
      </c>
      <c r="BK155" s="408">
        <v>0</v>
      </c>
      <c r="BL155" s="408">
        <v>38493</v>
      </c>
      <c r="BM155" s="408">
        <v>0</v>
      </c>
      <c r="BN155" s="408">
        <v>0</v>
      </c>
      <c r="BO155" s="408">
        <v>0</v>
      </c>
      <c r="BP155" s="408">
        <v>0</v>
      </c>
      <c r="BQ155" s="408">
        <v>158771</v>
      </c>
      <c r="BR155" s="408">
        <v>0</v>
      </c>
      <c r="BS155" s="408">
        <v>76629</v>
      </c>
      <c r="BT155" s="408">
        <v>6067782</v>
      </c>
    </row>
    <row r="156" spans="1:72" s="408" customFormat="1" x14ac:dyDescent="0.3">
      <c r="A156" s="408">
        <v>506</v>
      </c>
      <c r="B156" s="409">
        <v>506</v>
      </c>
      <c r="C156" s="408">
        <v>506</v>
      </c>
      <c r="D156" s="408" t="s">
        <v>198</v>
      </c>
      <c r="E156" s="408" t="s">
        <v>473</v>
      </c>
      <c r="F156" s="408">
        <v>3968039</v>
      </c>
      <c r="G156" s="408">
        <v>613058</v>
      </c>
      <c r="H156" s="408">
        <v>2565501</v>
      </c>
      <c r="I156" s="408">
        <v>7705865</v>
      </c>
      <c r="J156" s="408">
        <v>487436</v>
      </c>
      <c r="K156" s="408">
        <v>984609</v>
      </c>
      <c r="L156" s="408">
        <v>4461720</v>
      </c>
      <c r="M156" s="408">
        <v>224344</v>
      </c>
      <c r="N156" s="408">
        <v>41049993</v>
      </c>
      <c r="O156" s="408">
        <v>84639</v>
      </c>
      <c r="P156" s="408">
        <v>9061044</v>
      </c>
      <c r="Q156" s="408">
        <v>1165928</v>
      </c>
      <c r="R156" s="408">
        <v>17149543</v>
      </c>
      <c r="S156" s="408">
        <v>73793793</v>
      </c>
      <c r="T156" s="408" t="s">
        <v>1751</v>
      </c>
      <c r="U156" s="408">
        <v>1003157</v>
      </c>
      <c r="V156" s="408">
        <v>4009141</v>
      </c>
      <c r="W156" s="408">
        <v>1042475</v>
      </c>
      <c r="X156" s="408">
        <v>331576</v>
      </c>
      <c r="Y156" s="408">
        <v>343731</v>
      </c>
      <c r="Z156" s="408">
        <v>1185911</v>
      </c>
      <c r="AA156" s="408" t="s">
        <v>1751</v>
      </c>
      <c r="AB156" s="408" t="s">
        <v>1751</v>
      </c>
      <c r="AC156" s="408">
        <v>561740</v>
      </c>
      <c r="AD156" s="408">
        <v>6359646</v>
      </c>
      <c r="AE156" s="408">
        <v>2426509</v>
      </c>
      <c r="AF156" s="408">
        <v>57584</v>
      </c>
      <c r="AG156" s="408">
        <v>314974</v>
      </c>
      <c r="AH156" s="408">
        <v>157353</v>
      </c>
      <c r="AI156" s="408">
        <v>3773562</v>
      </c>
      <c r="AJ156" s="408">
        <v>7702917</v>
      </c>
      <c r="AK156" s="408">
        <v>955045</v>
      </c>
      <c r="AL156" s="408" t="s">
        <v>1751</v>
      </c>
      <c r="AM156" s="408" t="s">
        <v>1751</v>
      </c>
      <c r="AN156" s="408">
        <v>91793</v>
      </c>
      <c r="AO156" s="408">
        <v>1533717</v>
      </c>
      <c r="AP156" s="408">
        <v>2588238</v>
      </c>
      <c r="AQ156" s="408">
        <v>1729715</v>
      </c>
      <c r="AR156" s="408">
        <v>334385</v>
      </c>
      <c r="AS156" s="408">
        <v>1481775</v>
      </c>
      <c r="AT156" s="408">
        <v>1092867</v>
      </c>
      <c r="AU156" s="408">
        <v>3178810</v>
      </c>
      <c r="AV156" s="408">
        <v>2407227</v>
      </c>
      <c r="AW156" s="408" t="s">
        <v>1751</v>
      </c>
      <c r="AX156" s="408">
        <v>4522227</v>
      </c>
      <c r="AY156" s="408">
        <v>1106461</v>
      </c>
      <c r="AZ156" s="408">
        <v>5154823</v>
      </c>
      <c r="BA156" s="408">
        <v>242491</v>
      </c>
      <c r="BB156" s="408">
        <v>464340</v>
      </c>
      <c r="BC156" s="408">
        <v>1273560</v>
      </c>
      <c r="BD156" s="408">
        <v>804716</v>
      </c>
      <c r="BE156" s="408">
        <v>663844</v>
      </c>
      <c r="BF156" s="408">
        <v>344794</v>
      </c>
      <c r="BG156" s="408">
        <v>12249704</v>
      </c>
      <c r="BH156" s="408">
        <v>782430</v>
      </c>
      <c r="BI156" s="408">
        <v>238672</v>
      </c>
      <c r="BJ156" s="408">
        <v>3062340</v>
      </c>
      <c r="BK156" s="408">
        <v>462239</v>
      </c>
      <c r="BL156" s="408">
        <v>858752</v>
      </c>
      <c r="BM156" s="408">
        <v>620310</v>
      </c>
      <c r="BN156" s="408">
        <v>1248138</v>
      </c>
      <c r="BO156" s="408">
        <v>2496122</v>
      </c>
      <c r="BP156" s="408">
        <v>699368</v>
      </c>
      <c r="BQ156" s="408">
        <v>3455580</v>
      </c>
      <c r="BR156" s="408">
        <v>25337617</v>
      </c>
      <c r="BS156" s="408">
        <v>1202479</v>
      </c>
      <c r="BT156" s="408">
        <v>7469341</v>
      </c>
    </row>
    <row r="157" spans="1:72" s="408" customFormat="1" x14ac:dyDescent="0.3">
      <c r="A157" s="408">
        <v>507</v>
      </c>
      <c r="B157" s="409">
        <v>507</v>
      </c>
      <c r="C157" s="408">
        <v>507</v>
      </c>
      <c r="D157" s="408" t="s">
        <v>216</v>
      </c>
      <c r="E157" s="408" t="s">
        <v>474</v>
      </c>
      <c r="F157" s="408">
        <v>0</v>
      </c>
      <c r="G157" s="408">
        <v>0</v>
      </c>
      <c r="H157" s="408">
        <v>0</v>
      </c>
      <c r="I157" s="408">
        <v>0</v>
      </c>
      <c r="J157" s="408">
        <v>0</v>
      </c>
      <c r="K157" s="408">
        <v>0</v>
      </c>
      <c r="L157" s="408">
        <v>0</v>
      </c>
      <c r="M157" s="408">
        <v>0</v>
      </c>
      <c r="N157" s="408">
        <v>0</v>
      </c>
      <c r="O157" s="408">
        <v>0</v>
      </c>
      <c r="P157" s="408">
        <v>0</v>
      </c>
      <c r="Q157" s="408">
        <v>0</v>
      </c>
      <c r="R157" s="408">
        <v>0</v>
      </c>
      <c r="S157" s="408">
        <v>0</v>
      </c>
      <c r="T157" s="408">
        <v>0</v>
      </c>
      <c r="U157" s="408">
        <v>0</v>
      </c>
      <c r="V157" s="408">
        <v>0</v>
      </c>
      <c r="W157" s="408">
        <v>0</v>
      </c>
      <c r="X157" s="408">
        <v>0</v>
      </c>
      <c r="Y157" s="408">
        <v>0</v>
      </c>
      <c r="Z157" s="408">
        <v>0</v>
      </c>
      <c r="AA157" s="408">
        <v>0</v>
      </c>
      <c r="AB157" s="408">
        <v>0</v>
      </c>
      <c r="AC157" s="408">
        <v>0</v>
      </c>
      <c r="AD157" s="408">
        <v>0</v>
      </c>
      <c r="AE157" s="408">
        <v>0</v>
      </c>
      <c r="AF157" s="408">
        <v>-11765</v>
      </c>
      <c r="AG157" s="408">
        <v>-1</v>
      </c>
      <c r="AH157" s="408">
        <v>0</v>
      </c>
      <c r="AI157" s="408">
        <v>0</v>
      </c>
      <c r="AJ157" s="408">
        <v>0</v>
      </c>
      <c r="AK157" s="408">
        <v>0</v>
      </c>
      <c r="AL157" s="408">
        <v>0</v>
      </c>
      <c r="AM157" s="408">
        <v>0</v>
      </c>
      <c r="AN157" s="408">
        <v>0</v>
      </c>
      <c r="AO157" s="408">
        <v>0</v>
      </c>
      <c r="AP157" s="408">
        <v>-1</v>
      </c>
      <c r="AQ157" s="408">
        <v>0</v>
      </c>
      <c r="AR157" s="408">
        <v>0</v>
      </c>
      <c r="AS157" s="408">
        <v>0</v>
      </c>
      <c r="AT157" s="408">
        <v>1</v>
      </c>
      <c r="AU157" s="408">
        <v>0</v>
      </c>
      <c r="AV157" s="408">
        <v>0</v>
      </c>
      <c r="AW157" s="408">
        <v>0</v>
      </c>
      <c r="AX157" s="408">
        <v>0</v>
      </c>
      <c r="AY157" s="408">
        <v>0</v>
      </c>
      <c r="AZ157" s="408">
        <v>0</v>
      </c>
      <c r="BA157" s="408">
        <v>0</v>
      </c>
      <c r="BB157" s="408">
        <v>0</v>
      </c>
      <c r="BC157" s="408">
        <v>0</v>
      </c>
      <c r="BD157" s="408">
        <v>0</v>
      </c>
      <c r="BE157" s="408">
        <v>0</v>
      </c>
      <c r="BF157" s="408">
        <v>0</v>
      </c>
      <c r="BG157" s="408">
        <v>0</v>
      </c>
      <c r="BH157" s="408">
        <v>0</v>
      </c>
      <c r="BI157" s="408">
        <v>0</v>
      </c>
      <c r="BJ157" s="408">
        <v>0</v>
      </c>
      <c r="BK157" s="408">
        <v>0</v>
      </c>
      <c r="BL157" s="408">
        <v>0</v>
      </c>
      <c r="BM157" s="408">
        <v>0</v>
      </c>
      <c r="BN157" s="408">
        <v>0</v>
      </c>
      <c r="BO157" s="408">
        <v>0</v>
      </c>
      <c r="BP157" s="408">
        <v>0</v>
      </c>
      <c r="BQ157" s="408">
        <v>-185836</v>
      </c>
      <c r="BR157" s="408">
        <v>0</v>
      </c>
      <c r="BS157" s="408">
        <v>-1</v>
      </c>
      <c r="BT157" s="408">
        <v>0</v>
      </c>
    </row>
    <row r="158" spans="1:72" s="408" customFormat="1" x14ac:dyDescent="0.3">
      <c r="A158" s="408">
        <v>508</v>
      </c>
      <c r="B158" s="409">
        <v>508</v>
      </c>
      <c r="C158" s="408">
        <v>508</v>
      </c>
      <c r="D158" s="408" t="s">
        <v>213</v>
      </c>
      <c r="E158" s="408" t="s">
        <v>475</v>
      </c>
      <c r="F158" s="408">
        <v>0</v>
      </c>
      <c r="G158" s="408">
        <v>0</v>
      </c>
      <c r="H158" s="408">
        <v>0</v>
      </c>
      <c r="I158" s="408">
        <v>0</v>
      </c>
      <c r="J158" s="408">
        <v>0</v>
      </c>
      <c r="K158" s="408">
        <v>0</v>
      </c>
      <c r="L158" s="408">
        <v>0</v>
      </c>
      <c r="M158" s="408">
        <v>0</v>
      </c>
      <c r="N158" s="408">
        <v>0</v>
      </c>
      <c r="O158" s="408">
        <v>0</v>
      </c>
      <c r="P158" s="408">
        <v>0</v>
      </c>
      <c r="Q158" s="408">
        <v>0</v>
      </c>
      <c r="R158" s="408">
        <v>0</v>
      </c>
      <c r="S158" s="408">
        <v>0</v>
      </c>
      <c r="T158" s="408">
        <v>0</v>
      </c>
      <c r="U158" s="408">
        <v>0</v>
      </c>
      <c r="V158" s="408">
        <v>0</v>
      </c>
      <c r="W158" s="408">
        <v>0</v>
      </c>
      <c r="X158" s="408">
        <v>0</v>
      </c>
      <c r="Y158" s="408">
        <v>0</v>
      </c>
      <c r="Z158" s="408">
        <v>0</v>
      </c>
      <c r="AA158" s="408">
        <v>0</v>
      </c>
      <c r="AB158" s="408">
        <v>0</v>
      </c>
      <c r="AC158" s="408">
        <v>0</v>
      </c>
      <c r="AD158" s="408">
        <v>0</v>
      </c>
      <c r="AE158" s="408">
        <v>0</v>
      </c>
      <c r="AF158" s="408">
        <v>0</v>
      </c>
      <c r="AG158" s="408">
        <v>0</v>
      </c>
      <c r="AH158" s="408">
        <v>0</v>
      </c>
      <c r="AI158" s="408">
        <v>0</v>
      </c>
      <c r="AJ158" s="408">
        <v>0</v>
      </c>
      <c r="AK158" s="408">
        <v>0</v>
      </c>
      <c r="AL158" s="408">
        <v>0</v>
      </c>
      <c r="AM158" s="408">
        <v>0</v>
      </c>
      <c r="AN158" s="408">
        <v>0</v>
      </c>
      <c r="AO158" s="408">
        <v>0</v>
      </c>
      <c r="AP158" s="408">
        <v>0</v>
      </c>
      <c r="AQ158" s="408">
        <v>0</v>
      </c>
      <c r="AR158" s="408">
        <v>0</v>
      </c>
      <c r="AS158" s="408">
        <v>0</v>
      </c>
      <c r="AT158" s="408">
        <v>0</v>
      </c>
      <c r="AU158" s="408">
        <v>0</v>
      </c>
      <c r="AV158" s="408">
        <v>0</v>
      </c>
      <c r="AW158" s="408">
        <v>0</v>
      </c>
      <c r="AX158" s="408">
        <v>0</v>
      </c>
      <c r="AY158" s="408">
        <v>0</v>
      </c>
      <c r="AZ158" s="408">
        <v>0</v>
      </c>
      <c r="BA158" s="408">
        <v>0</v>
      </c>
      <c r="BB158" s="408">
        <v>0</v>
      </c>
      <c r="BC158" s="408">
        <v>0</v>
      </c>
      <c r="BD158" s="408">
        <v>0</v>
      </c>
      <c r="BE158" s="408">
        <v>0</v>
      </c>
      <c r="BF158" s="408">
        <v>0</v>
      </c>
      <c r="BG158" s="408">
        <v>0</v>
      </c>
      <c r="BH158" s="408">
        <v>0</v>
      </c>
      <c r="BI158" s="408">
        <v>0</v>
      </c>
      <c r="BJ158" s="408">
        <v>0</v>
      </c>
      <c r="BK158" s="408">
        <v>0</v>
      </c>
      <c r="BL158" s="408">
        <v>0</v>
      </c>
      <c r="BM158" s="408">
        <v>0</v>
      </c>
      <c r="BN158" s="408">
        <v>0</v>
      </c>
      <c r="BO158" s="408">
        <v>0</v>
      </c>
      <c r="BP158" s="408">
        <v>0</v>
      </c>
      <c r="BQ158" s="408">
        <v>0</v>
      </c>
      <c r="BR158" s="408">
        <v>0</v>
      </c>
      <c r="BS158" s="408">
        <v>0</v>
      </c>
      <c r="BT158" s="408">
        <v>0</v>
      </c>
    </row>
    <row r="159" spans="1:72" s="408" customFormat="1" x14ac:dyDescent="0.3">
      <c r="A159" s="408">
        <v>509</v>
      </c>
      <c r="B159" s="409">
        <v>509</v>
      </c>
      <c r="C159" s="408">
        <v>509</v>
      </c>
      <c r="D159" s="408" t="s">
        <v>214</v>
      </c>
      <c r="E159" s="408" t="s">
        <v>476</v>
      </c>
      <c r="F159" s="408">
        <v>0</v>
      </c>
      <c r="G159" s="408">
        <v>0</v>
      </c>
      <c r="H159" s="408">
        <v>0</v>
      </c>
      <c r="I159" s="408">
        <v>0</v>
      </c>
      <c r="J159" s="408">
        <v>0</v>
      </c>
      <c r="K159" s="408">
        <v>0</v>
      </c>
      <c r="L159" s="408">
        <v>0</v>
      </c>
      <c r="M159" s="408">
        <v>0</v>
      </c>
      <c r="N159" s="408">
        <v>0</v>
      </c>
      <c r="O159" s="408">
        <v>0</v>
      </c>
      <c r="P159" s="408">
        <v>0</v>
      </c>
      <c r="Q159" s="408">
        <v>0</v>
      </c>
      <c r="R159" s="408">
        <v>0</v>
      </c>
      <c r="S159" s="408">
        <v>22175550</v>
      </c>
      <c r="T159" s="408">
        <v>0</v>
      </c>
      <c r="U159" s="408">
        <v>0</v>
      </c>
      <c r="V159" s="408">
        <v>0</v>
      </c>
      <c r="W159" s="408">
        <v>0</v>
      </c>
      <c r="X159" s="408">
        <v>0</v>
      </c>
      <c r="Y159" s="408">
        <v>0</v>
      </c>
      <c r="Z159" s="408">
        <v>0</v>
      </c>
      <c r="AA159" s="408">
        <v>0</v>
      </c>
      <c r="AB159" s="408">
        <v>0</v>
      </c>
      <c r="AC159" s="408">
        <v>0</v>
      </c>
      <c r="AD159" s="408">
        <v>0</v>
      </c>
      <c r="AE159" s="408">
        <v>0</v>
      </c>
      <c r="AF159" s="408">
        <v>0</v>
      </c>
      <c r="AG159" s="408">
        <v>0</v>
      </c>
      <c r="AH159" s="408">
        <v>0</v>
      </c>
      <c r="AI159" s="408">
        <v>0</v>
      </c>
      <c r="AJ159" s="408">
        <v>0</v>
      </c>
      <c r="AK159" s="408">
        <v>0</v>
      </c>
      <c r="AL159" s="408">
        <v>0</v>
      </c>
      <c r="AM159" s="408">
        <v>0</v>
      </c>
      <c r="AN159" s="408">
        <v>0</v>
      </c>
      <c r="AO159" s="408">
        <v>0</v>
      </c>
      <c r="AP159" s="408">
        <v>0</v>
      </c>
      <c r="AQ159" s="408">
        <v>0</v>
      </c>
      <c r="AR159" s="408">
        <v>0</v>
      </c>
      <c r="AS159" s="408">
        <v>0</v>
      </c>
      <c r="AT159" s="408">
        <v>0</v>
      </c>
      <c r="AU159" s="408">
        <v>0</v>
      </c>
      <c r="AV159" s="408">
        <v>0</v>
      </c>
      <c r="AW159" s="408">
        <v>0</v>
      </c>
      <c r="AX159" s="408">
        <v>0</v>
      </c>
      <c r="AY159" s="408">
        <v>0</v>
      </c>
      <c r="AZ159" s="408">
        <v>0</v>
      </c>
      <c r="BA159" s="408">
        <v>0</v>
      </c>
      <c r="BB159" s="408">
        <v>0</v>
      </c>
      <c r="BC159" s="408">
        <v>0</v>
      </c>
      <c r="BD159" s="408">
        <v>0</v>
      </c>
      <c r="BE159" s="408">
        <v>0</v>
      </c>
      <c r="BF159" s="408">
        <v>0</v>
      </c>
      <c r="BG159" s="408">
        <v>0</v>
      </c>
      <c r="BH159" s="408">
        <v>0</v>
      </c>
      <c r="BI159" s="408">
        <v>0</v>
      </c>
      <c r="BJ159" s="408">
        <v>0</v>
      </c>
      <c r="BK159" s="408">
        <v>0</v>
      </c>
      <c r="BL159" s="408">
        <v>0</v>
      </c>
      <c r="BM159" s="408">
        <v>0</v>
      </c>
      <c r="BN159" s="408">
        <v>0</v>
      </c>
      <c r="BO159" s="408">
        <v>0</v>
      </c>
      <c r="BP159" s="408">
        <v>0</v>
      </c>
      <c r="BQ159" s="408">
        <v>0</v>
      </c>
      <c r="BR159" s="408">
        <v>0</v>
      </c>
      <c r="BS159" s="408">
        <v>0</v>
      </c>
      <c r="BT159" s="408">
        <v>0</v>
      </c>
    </row>
    <row r="160" spans="1:72" s="408" customFormat="1" x14ac:dyDescent="0.3">
      <c r="A160" s="408">
        <v>510</v>
      </c>
      <c r="B160" s="409">
        <v>510</v>
      </c>
      <c r="C160" s="408">
        <v>510</v>
      </c>
      <c r="D160" s="408" t="s">
        <v>220</v>
      </c>
      <c r="E160" s="408" t="s">
        <v>477</v>
      </c>
      <c r="F160" s="408">
        <v>3638</v>
      </c>
      <c r="G160" s="408">
        <v>0</v>
      </c>
      <c r="H160" s="408">
        <v>0</v>
      </c>
      <c r="I160" s="408">
        <v>334044</v>
      </c>
      <c r="J160" s="408">
        <v>0</v>
      </c>
      <c r="K160" s="408">
        <v>34344</v>
      </c>
      <c r="L160" s="408">
        <v>0</v>
      </c>
      <c r="M160" s="408">
        <v>218</v>
      </c>
      <c r="N160" s="408">
        <v>285734</v>
      </c>
      <c r="O160" s="408">
        <v>0</v>
      </c>
      <c r="P160" s="408">
        <v>0</v>
      </c>
      <c r="Q160" s="408">
        <v>0</v>
      </c>
      <c r="R160" s="408">
        <v>982740</v>
      </c>
      <c r="S160" s="408">
        <v>11319</v>
      </c>
      <c r="T160" s="408">
        <v>0</v>
      </c>
      <c r="U160" s="408">
        <v>0</v>
      </c>
      <c r="V160" s="408">
        <v>28787</v>
      </c>
      <c r="W160" s="408">
        <v>0</v>
      </c>
      <c r="X160" s="408">
        <v>0</v>
      </c>
      <c r="Y160" s="408">
        <v>0</v>
      </c>
      <c r="Z160" s="408">
        <v>36402</v>
      </c>
      <c r="AA160" s="408">
        <v>0</v>
      </c>
      <c r="AB160" s="408">
        <v>0</v>
      </c>
      <c r="AC160" s="408">
        <v>0</v>
      </c>
      <c r="AD160" s="408">
        <v>261067</v>
      </c>
      <c r="AE160" s="408">
        <v>55418</v>
      </c>
      <c r="AF160" s="408">
        <v>0</v>
      </c>
      <c r="AG160" s="408">
        <v>0</v>
      </c>
      <c r="AH160" s="408">
        <v>0</v>
      </c>
      <c r="AI160" s="408">
        <v>0</v>
      </c>
      <c r="AJ160" s="408">
        <v>18947</v>
      </c>
      <c r="AK160" s="408">
        <v>0</v>
      </c>
      <c r="AL160" s="408">
        <v>0</v>
      </c>
      <c r="AM160" s="408">
        <v>0</v>
      </c>
      <c r="AN160" s="408">
        <v>0</v>
      </c>
      <c r="AO160" s="408">
        <v>179223</v>
      </c>
      <c r="AP160" s="408">
        <v>0</v>
      </c>
      <c r="AQ160" s="408">
        <v>54551</v>
      </c>
      <c r="AR160" s="408">
        <v>0</v>
      </c>
      <c r="AS160" s="408">
        <v>9081</v>
      </c>
      <c r="AT160" s="408">
        <v>7813</v>
      </c>
      <c r="AU160" s="408">
        <v>11100</v>
      </c>
      <c r="AV160" s="408">
        <v>39490</v>
      </c>
      <c r="AW160" s="408">
        <v>0</v>
      </c>
      <c r="AX160" s="408">
        <v>71403</v>
      </c>
      <c r="AY160" s="408">
        <v>4000</v>
      </c>
      <c r="AZ160" s="408">
        <v>114795</v>
      </c>
      <c r="BA160" s="408">
        <v>0</v>
      </c>
      <c r="BB160" s="408">
        <v>0</v>
      </c>
      <c r="BC160" s="408">
        <v>0</v>
      </c>
      <c r="BD160" s="408">
        <v>2002</v>
      </c>
      <c r="BE160" s="408">
        <v>0</v>
      </c>
      <c r="BF160" s="408">
        <v>0</v>
      </c>
      <c r="BG160" s="408">
        <v>1021830</v>
      </c>
      <c r="BH160" s="408">
        <v>0</v>
      </c>
      <c r="BI160" s="408">
        <v>0</v>
      </c>
      <c r="BJ160" s="408">
        <v>0</v>
      </c>
      <c r="BK160" s="408">
        <v>0</v>
      </c>
      <c r="BL160" s="408">
        <v>1762</v>
      </c>
      <c r="BM160" s="408">
        <v>0</v>
      </c>
      <c r="BN160" s="408">
        <v>0</v>
      </c>
      <c r="BO160" s="408">
        <v>63953</v>
      </c>
      <c r="BP160" s="408">
        <v>0</v>
      </c>
      <c r="BQ160" s="408">
        <v>0</v>
      </c>
      <c r="BR160" s="408">
        <v>1389582</v>
      </c>
      <c r="BS160" s="408">
        <v>70170</v>
      </c>
      <c r="BT160" s="408">
        <v>0</v>
      </c>
    </row>
    <row r="161" spans="1:72" s="408" customFormat="1" x14ac:dyDescent="0.3">
      <c r="A161" s="408">
        <v>511</v>
      </c>
      <c r="B161" s="409">
        <v>511</v>
      </c>
      <c r="C161" s="408">
        <v>511</v>
      </c>
      <c r="D161" s="408" t="s">
        <v>225</v>
      </c>
      <c r="E161" s="408" t="s">
        <v>478</v>
      </c>
      <c r="F161" s="408">
        <v>0</v>
      </c>
      <c r="G161" s="408">
        <v>0</v>
      </c>
      <c r="H161" s="408">
        <v>0</v>
      </c>
      <c r="I161" s="408">
        <v>2249190</v>
      </c>
      <c r="J161" s="408">
        <v>0</v>
      </c>
      <c r="K161" s="408">
        <v>0</v>
      </c>
      <c r="L161" s="408">
        <v>0</v>
      </c>
      <c r="M161" s="408">
        <v>0</v>
      </c>
      <c r="N161" s="408">
        <v>1673020</v>
      </c>
      <c r="O161" s="408">
        <v>0</v>
      </c>
      <c r="P161" s="408">
        <v>0</v>
      </c>
      <c r="Q161" s="408">
        <v>0</v>
      </c>
      <c r="R161" s="408">
        <v>0</v>
      </c>
      <c r="S161" s="408">
        <v>0</v>
      </c>
      <c r="T161" s="408">
        <v>0</v>
      </c>
      <c r="U161" s="408">
        <v>0</v>
      </c>
      <c r="V161" s="408">
        <v>0</v>
      </c>
      <c r="W161" s="408">
        <v>0</v>
      </c>
      <c r="X161" s="408">
        <v>0</v>
      </c>
      <c r="Y161" s="408">
        <v>0</v>
      </c>
      <c r="Z161" s="408">
        <v>107437</v>
      </c>
      <c r="AA161" s="408">
        <v>0</v>
      </c>
      <c r="AB161" s="408">
        <v>0</v>
      </c>
      <c r="AC161" s="408">
        <v>0</v>
      </c>
      <c r="AD161" s="408">
        <v>0</v>
      </c>
      <c r="AE161" s="408">
        <v>0</v>
      </c>
      <c r="AF161" s="408">
        <v>0</v>
      </c>
      <c r="AG161" s="408">
        <v>0</v>
      </c>
      <c r="AH161" s="408">
        <v>0</v>
      </c>
      <c r="AI161" s="408">
        <v>0</v>
      </c>
      <c r="AJ161" s="408">
        <v>0</v>
      </c>
      <c r="AK161" s="408">
        <v>0</v>
      </c>
      <c r="AL161" s="408">
        <v>0</v>
      </c>
      <c r="AM161" s="408">
        <v>0</v>
      </c>
      <c r="AN161" s="408">
        <v>0</v>
      </c>
      <c r="AO161" s="408">
        <v>135453</v>
      </c>
      <c r="AP161" s="408">
        <v>0</v>
      </c>
      <c r="AQ161" s="408">
        <v>0</v>
      </c>
      <c r="AR161" s="408">
        <v>0</v>
      </c>
      <c r="AS161" s="408">
        <v>0</v>
      </c>
      <c r="AT161" s="408">
        <v>0</v>
      </c>
      <c r="AU161" s="408">
        <v>0</v>
      </c>
      <c r="AV161" s="408">
        <v>0</v>
      </c>
      <c r="AW161" s="408">
        <v>0</v>
      </c>
      <c r="AX161" s="408">
        <v>0</v>
      </c>
      <c r="AY161" s="408">
        <v>0</v>
      </c>
      <c r="AZ161" s="408">
        <v>0</v>
      </c>
      <c r="BA161" s="408">
        <v>0</v>
      </c>
      <c r="BB161" s="408">
        <v>0</v>
      </c>
      <c r="BC161" s="408">
        <v>0</v>
      </c>
      <c r="BD161" s="408">
        <v>0</v>
      </c>
      <c r="BE161" s="408">
        <v>0</v>
      </c>
      <c r="BF161" s="408">
        <v>0</v>
      </c>
      <c r="BG161" s="408">
        <v>0</v>
      </c>
      <c r="BH161" s="408">
        <v>0</v>
      </c>
      <c r="BI161" s="408">
        <v>0</v>
      </c>
      <c r="BJ161" s="408">
        <v>0</v>
      </c>
      <c r="BK161" s="408">
        <v>0</v>
      </c>
      <c r="BL161" s="408">
        <v>0</v>
      </c>
      <c r="BM161" s="408">
        <v>0</v>
      </c>
      <c r="BN161" s="408">
        <v>0</v>
      </c>
      <c r="BO161" s="408">
        <v>0</v>
      </c>
      <c r="BP161" s="408">
        <v>0</v>
      </c>
      <c r="BQ161" s="408">
        <v>0</v>
      </c>
      <c r="BR161" s="408">
        <v>0</v>
      </c>
      <c r="BS161" s="408">
        <v>0</v>
      </c>
      <c r="BT161" s="408">
        <v>0</v>
      </c>
    </row>
    <row r="162" spans="1:72" s="408" customFormat="1" x14ac:dyDescent="0.3">
      <c r="A162" s="408">
        <v>512</v>
      </c>
      <c r="B162" s="409">
        <v>512</v>
      </c>
      <c r="C162" s="408">
        <v>512</v>
      </c>
      <c r="D162" s="408" t="s">
        <v>252</v>
      </c>
      <c r="E162" s="408" t="s">
        <v>479</v>
      </c>
      <c r="F162" s="408">
        <v>0</v>
      </c>
      <c r="G162" s="408">
        <v>0</v>
      </c>
      <c r="H162" s="408">
        <v>0</v>
      </c>
      <c r="I162" s="408">
        <v>0</v>
      </c>
      <c r="J162" s="408">
        <v>0</v>
      </c>
      <c r="K162" s="408">
        <v>0</v>
      </c>
      <c r="L162" s="408">
        <v>0</v>
      </c>
      <c r="M162" s="408">
        <v>0</v>
      </c>
      <c r="N162" s="408">
        <v>624030</v>
      </c>
      <c r="O162" s="408">
        <v>0</v>
      </c>
      <c r="P162" s="408">
        <v>547181</v>
      </c>
      <c r="Q162" s="408">
        <v>0</v>
      </c>
      <c r="R162" s="408">
        <v>0</v>
      </c>
      <c r="S162" s="408">
        <v>14533491</v>
      </c>
      <c r="T162" s="408">
        <v>0</v>
      </c>
      <c r="U162" s="408">
        <v>3875</v>
      </c>
      <c r="V162" s="408">
        <v>0</v>
      </c>
      <c r="W162" s="408">
        <v>0</v>
      </c>
      <c r="X162" s="408">
        <v>395530</v>
      </c>
      <c r="Y162" s="408">
        <v>0</v>
      </c>
      <c r="Z162" s="408">
        <v>0</v>
      </c>
      <c r="AA162" s="408">
        <v>0</v>
      </c>
      <c r="AB162" s="408">
        <v>0</v>
      </c>
      <c r="AC162" s="408">
        <v>0</v>
      </c>
      <c r="AD162" s="408">
        <v>0</v>
      </c>
      <c r="AE162" s="408">
        <v>0</v>
      </c>
      <c r="AF162" s="408">
        <v>0</v>
      </c>
      <c r="AG162" s="408">
        <v>0</v>
      </c>
      <c r="AH162" s="408">
        <v>0</v>
      </c>
      <c r="AI162" s="408">
        <v>0</v>
      </c>
      <c r="AJ162" s="408">
        <v>0</v>
      </c>
      <c r="AK162" s="408">
        <v>0</v>
      </c>
      <c r="AL162" s="408">
        <v>0</v>
      </c>
      <c r="AM162" s="408">
        <v>0</v>
      </c>
      <c r="AN162" s="408">
        <v>0</v>
      </c>
      <c r="AO162" s="408">
        <v>26751</v>
      </c>
      <c r="AP162" s="408">
        <v>0</v>
      </c>
      <c r="AQ162" s="408">
        <v>0</v>
      </c>
      <c r="AR162" s="408">
        <v>0</v>
      </c>
      <c r="AS162" s="408">
        <v>0</v>
      </c>
      <c r="AT162" s="408">
        <v>0</v>
      </c>
      <c r="AU162" s="408">
        <v>0</v>
      </c>
      <c r="AV162" s="408">
        <v>0</v>
      </c>
      <c r="AW162" s="408">
        <v>0</v>
      </c>
      <c r="AX162" s="408">
        <v>101432</v>
      </c>
      <c r="AY162" s="408">
        <v>0</v>
      </c>
      <c r="AZ162" s="408">
        <v>0</v>
      </c>
      <c r="BA162" s="408">
        <v>0</v>
      </c>
      <c r="BB162" s="408">
        <v>0</v>
      </c>
      <c r="BC162" s="408">
        <v>0</v>
      </c>
      <c r="BD162" s="408">
        <v>0</v>
      </c>
      <c r="BE162" s="408">
        <v>0</v>
      </c>
      <c r="BF162" s="408">
        <v>0</v>
      </c>
      <c r="BG162" s="408">
        <v>0</v>
      </c>
      <c r="BH162" s="408">
        <v>0</v>
      </c>
      <c r="BI162" s="408">
        <v>0</v>
      </c>
      <c r="BJ162" s="408">
        <v>269789</v>
      </c>
      <c r="BK162" s="408">
        <v>0</v>
      </c>
      <c r="BL162" s="408">
        <v>0</v>
      </c>
      <c r="BM162" s="408">
        <v>0</v>
      </c>
      <c r="BN162" s="408">
        <v>0</v>
      </c>
      <c r="BO162" s="408">
        <v>0</v>
      </c>
      <c r="BP162" s="408">
        <v>0</v>
      </c>
      <c r="BQ162" s="408">
        <v>0</v>
      </c>
      <c r="BR162" s="408">
        <v>0</v>
      </c>
      <c r="BS162" s="408">
        <v>0</v>
      </c>
      <c r="BT162" s="408">
        <v>0</v>
      </c>
    </row>
    <row r="163" spans="1:72" s="408" customFormat="1" x14ac:dyDescent="0.3">
      <c r="A163" s="408">
        <v>513</v>
      </c>
      <c r="B163" s="409">
        <v>513</v>
      </c>
      <c r="C163" s="408">
        <v>513</v>
      </c>
      <c r="D163" s="408" t="s">
        <v>263</v>
      </c>
      <c r="E163" s="408" t="s">
        <v>480</v>
      </c>
      <c r="F163" s="408">
        <v>0</v>
      </c>
      <c r="G163" s="408">
        <v>0</v>
      </c>
      <c r="H163" s="408">
        <v>0</v>
      </c>
      <c r="I163" s="408">
        <v>25000</v>
      </c>
      <c r="J163" s="408">
        <v>0</v>
      </c>
      <c r="K163" s="408">
        <v>0</v>
      </c>
      <c r="L163" s="408">
        <v>0</v>
      </c>
      <c r="M163" s="408">
        <v>0</v>
      </c>
      <c r="N163" s="408">
        <v>0</v>
      </c>
      <c r="O163" s="408">
        <v>0</v>
      </c>
      <c r="P163" s="408">
        <v>0</v>
      </c>
      <c r="Q163" s="408">
        <v>0</v>
      </c>
      <c r="R163" s="408">
        <v>0</v>
      </c>
      <c r="S163" s="408">
        <v>0</v>
      </c>
      <c r="T163" s="408">
        <v>0</v>
      </c>
      <c r="U163" s="408">
        <v>0</v>
      </c>
      <c r="V163" s="408">
        <v>0</v>
      </c>
      <c r="W163" s="408">
        <v>0</v>
      </c>
      <c r="X163" s="408">
        <v>0</v>
      </c>
      <c r="Y163" s="408">
        <v>0</v>
      </c>
      <c r="Z163" s="408">
        <v>0</v>
      </c>
      <c r="AA163" s="408">
        <v>0</v>
      </c>
      <c r="AB163" s="408">
        <v>0</v>
      </c>
      <c r="AC163" s="408">
        <v>0</v>
      </c>
      <c r="AD163" s="408">
        <v>0</v>
      </c>
      <c r="AE163" s="408">
        <v>0</v>
      </c>
      <c r="AF163" s="408">
        <v>0</v>
      </c>
      <c r="AG163" s="408">
        <v>0</v>
      </c>
      <c r="AH163" s="408">
        <v>0</v>
      </c>
      <c r="AI163" s="408">
        <v>0</v>
      </c>
      <c r="AJ163" s="408">
        <v>0</v>
      </c>
      <c r="AK163" s="408">
        <v>0</v>
      </c>
      <c r="AL163" s="408">
        <v>0</v>
      </c>
      <c r="AM163" s="408">
        <v>0</v>
      </c>
      <c r="AN163" s="408">
        <v>0</v>
      </c>
      <c r="AO163" s="408">
        <v>0</v>
      </c>
      <c r="AP163" s="408">
        <v>0</v>
      </c>
      <c r="AQ163" s="408">
        <v>0</v>
      </c>
      <c r="AR163" s="408">
        <v>0</v>
      </c>
      <c r="AS163" s="408">
        <v>0</v>
      </c>
      <c r="AT163" s="408">
        <v>0</v>
      </c>
      <c r="AU163" s="408">
        <v>0</v>
      </c>
      <c r="AV163" s="408">
        <v>0</v>
      </c>
      <c r="AW163" s="408">
        <v>0</v>
      </c>
      <c r="AX163" s="408">
        <v>0</v>
      </c>
      <c r="AY163" s="408">
        <v>0</v>
      </c>
      <c r="AZ163" s="408">
        <v>0</v>
      </c>
      <c r="BA163" s="408">
        <v>0</v>
      </c>
      <c r="BB163" s="408">
        <v>0</v>
      </c>
      <c r="BC163" s="408">
        <v>0</v>
      </c>
      <c r="BD163" s="408">
        <v>0</v>
      </c>
      <c r="BE163" s="408">
        <v>0</v>
      </c>
      <c r="BF163" s="408">
        <v>0</v>
      </c>
      <c r="BG163" s="408">
        <v>0</v>
      </c>
      <c r="BH163" s="408">
        <v>0</v>
      </c>
      <c r="BI163" s="408">
        <v>0</v>
      </c>
      <c r="BJ163" s="408">
        <v>0</v>
      </c>
      <c r="BK163" s="408">
        <v>0</v>
      </c>
      <c r="BL163" s="408">
        <v>0</v>
      </c>
      <c r="BM163" s="408">
        <v>0</v>
      </c>
      <c r="BN163" s="408">
        <v>0</v>
      </c>
      <c r="BO163" s="408">
        <v>0</v>
      </c>
      <c r="BP163" s="408">
        <v>0</v>
      </c>
      <c r="BQ163" s="408">
        <v>0</v>
      </c>
      <c r="BR163" s="408">
        <v>0</v>
      </c>
      <c r="BS163" s="408">
        <v>0</v>
      </c>
      <c r="BT163" s="408">
        <v>0</v>
      </c>
    </row>
    <row r="164" spans="1:72" s="408" customFormat="1" x14ac:dyDescent="0.3">
      <c r="A164" s="408">
        <v>514</v>
      </c>
      <c r="B164" s="409">
        <v>514</v>
      </c>
      <c r="C164" s="408">
        <v>514</v>
      </c>
      <c r="D164" s="408" t="s">
        <v>264</v>
      </c>
      <c r="E164" s="408" t="s">
        <v>481</v>
      </c>
      <c r="F164" s="408">
        <v>0</v>
      </c>
      <c r="G164" s="408">
        <v>0</v>
      </c>
      <c r="H164" s="408">
        <v>0</v>
      </c>
      <c r="I164" s="408">
        <v>489360</v>
      </c>
      <c r="J164" s="408">
        <v>0</v>
      </c>
      <c r="K164" s="408">
        <v>0</v>
      </c>
      <c r="L164" s="408">
        <v>0</v>
      </c>
      <c r="M164" s="408">
        <v>0</v>
      </c>
      <c r="N164" s="408">
        <v>0</v>
      </c>
      <c r="O164" s="408">
        <v>0</v>
      </c>
      <c r="P164" s="408">
        <v>0</v>
      </c>
      <c r="Q164" s="408">
        <v>0</v>
      </c>
      <c r="R164" s="408">
        <v>0</v>
      </c>
      <c r="S164" s="408">
        <v>0</v>
      </c>
      <c r="T164" s="408">
        <v>0</v>
      </c>
      <c r="U164" s="408">
        <v>0</v>
      </c>
      <c r="V164" s="408">
        <v>0</v>
      </c>
      <c r="W164" s="408">
        <v>0</v>
      </c>
      <c r="X164" s="408">
        <v>0</v>
      </c>
      <c r="Y164" s="408">
        <v>0</v>
      </c>
      <c r="Z164" s="408">
        <v>653593</v>
      </c>
      <c r="AA164" s="408">
        <v>0</v>
      </c>
      <c r="AB164" s="408">
        <v>0</v>
      </c>
      <c r="AC164" s="408">
        <v>0</v>
      </c>
      <c r="AD164" s="408">
        <v>0</v>
      </c>
      <c r="AE164" s="408">
        <v>0</v>
      </c>
      <c r="AF164" s="408">
        <v>0</v>
      </c>
      <c r="AG164" s="408">
        <v>0</v>
      </c>
      <c r="AH164" s="408">
        <v>0</v>
      </c>
      <c r="AI164" s="408">
        <v>0</v>
      </c>
      <c r="AJ164" s="408">
        <v>0</v>
      </c>
      <c r="AK164" s="408">
        <v>0</v>
      </c>
      <c r="AL164" s="408">
        <v>0</v>
      </c>
      <c r="AM164" s="408">
        <v>0</v>
      </c>
      <c r="AN164" s="408">
        <v>0</v>
      </c>
      <c r="AO164" s="408">
        <v>0</v>
      </c>
      <c r="AP164" s="408">
        <v>0</v>
      </c>
      <c r="AQ164" s="408">
        <v>0</v>
      </c>
      <c r="AR164" s="408">
        <v>0</v>
      </c>
      <c r="AS164" s="408">
        <v>0</v>
      </c>
      <c r="AT164" s="408">
        <v>0</v>
      </c>
      <c r="AU164" s="408">
        <v>0</v>
      </c>
      <c r="AV164" s="408">
        <v>0</v>
      </c>
      <c r="AW164" s="408">
        <v>0</v>
      </c>
      <c r="AX164" s="408">
        <v>0</v>
      </c>
      <c r="AY164" s="408">
        <v>0</v>
      </c>
      <c r="AZ164" s="408">
        <v>0</v>
      </c>
      <c r="BA164" s="408">
        <v>0</v>
      </c>
      <c r="BB164" s="408">
        <v>0</v>
      </c>
      <c r="BC164" s="408">
        <v>0</v>
      </c>
      <c r="BD164" s="408">
        <v>0</v>
      </c>
      <c r="BE164" s="408">
        <v>0</v>
      </c>
      <c r="BF164" s="408">
        <v>0</v>
      </c>
      <c r="BG164" s="408">
        <v>0</v>
      </c>
      <c r="BH164" s="408">
        <v>0</v>
      </c>
      <c r="BI164" s="408">
        <v>7500</v>
      </c>
      <c r="BJ164" s="408">
        <v>0</v>
      </c>
      <c r="BK164" s="408">
        <v>0</v>
      </c>
      <c r="BL164" s="408">
        <v>0</v>
      </c>
      <c r="BM164" s="408">
        <v>0</v>
      </c>
      <c r="BN164" s="408">
        <v>0</v>
      </c>
      <c r="BO164" s="408">
        <v>0</v>
      </c>
      <c r="BP164" s="408">
        <v>0</v>
      </c>
      <c r="BQ164" s="408">
        <v>0</v>
      </c>
      <c r="BR164" s="408">
        <v>0</v>
      </c>
      <c r="BS164" s="408">
        <v>0</v>
      </c>
      <c r="BT164" s="408">
        <v>0</v>
      </c>
    </row>
    <row r="165" spans="1:72" s="408" customFormat="1" x14ac:dyDescent="0.3">
      <c r="A165" s="408">
        <v>515</v>
      </c>
      <c r="B165" s="409">
        <v>515</v>
      </c>
      <c r="C165" s="408">
        <v>515</v>
      </c>
      <c r="D165" s="408" t="s">
        <v>277</v>
      </c>
      <c r="E165" s="408" t="s">
        <v>482</v>
      </c>
      <c r="F165" s="408">
        <v>0</v>
      </c>
      <c r="G165" s="408">
        <v>16757106</v>
      </c>
      <c r="H165" s="408">
        <v>5305</v>
      </c>
      <c r="I165" s="408">
        <v>52483211</v>
      </c>
      <c r="J165" s="408">
        <v>0</v>
      </c>
      <c r="K165" s="408">
        <v>0</v>
      </c>
      <c r="L165" s="408">
        <v>0</v>
      </c>
      <c r="M165" s="408">
        <v>6867</v>
      </c>
      <c r="N165" s="408">
        <v>8343274</v>
      </c>
      <c r="O165" s="408">
        <v>0</v>
      </c>
      <c r="P165" s="408">
        <v>0</v>
      </c>
      <c r="Q165" s="408">
        <v>0</v>
      </c>
      <c r="R165" s="408">
        <v>31311731</v>
      </c>
      <c r="S165" s="408">
        <v>69150196</v>
      </c>
      <c r="T165" s="408">
        <v>0</v>
      </c>
      <c r="U165" s="408">
        <v>0</v>
      </c>
      <c r="V165" s="408">
        <v>0</v>
      </c>
      <c r="W165" s="408">
        <v>0</v>
      </c>
      <c r="X165" s="408">
        <v>0</v>
      </c>
      <c r="Y165" s="408">
        <v>0</v>
      </c>
      <c r="Z165" s="408">
        <v>0</v>
      </c>
      <c r="AA165" s="408">
        <v>0</v>
      </c>
      <c r="AB165" s="408">
        <v>0</v>
      </c>
      <c r="AC165" s="408">
        <v>0</v>
      </c>
      <c r="AD165" s="408">
        <v>768567</v>
      </c>
      <c r="AE165" s="408">
        <v>0</v>
      </c>
      <c r="AF165" s="408">
        <v>0</v>
      </c>
      <c r="AG165" s="408">
        <v>0</v>
      </c>
      <c r="AH165" s="408">
        <v>0</v>
      </c>
      <c r="AI165" s="408">
        <v>1361814</v>
      </c>
      <c r="AJ165" s="408">
        <v>95712</v>
      </c>
      <c r="AK165" s="408">
        <v>0</v>
      </c>
      <c r="AL165" s="408">
        <v>0</v>
      </c>
      <c r="AM165" s="408">
        <v>0</v>
      </c>
      <c r="AN165" s="408">
        <v>0</v>
      </c>
      <c r="AO165" s="408">
        <v>7635979</v>
      </c>
      <c r="AP165" s="408">
        <v>0</v>
      </c>
      <c r="AQ165" s="408">
        <v>0</v>
      </c>
      <c r="AR165" s="408">
        <v>0</v>
      </c>
      <c r="AS165" s="408">
        <v>0</v>
      </c>
      <c r="AT165" s="408">
        <v>0</v>
      </c>
      <c r="AU165" s="408">
        <v>0</v>
      </c>
      <c r="AV165" s="408">
        <v>0</v>
      </c>
      <c r="AW165" s="408">
        <v>0</v>
      </c>
      <c r="AX165" s="408">
        <v>656480</v>
      </c>
      <c r="AY165" s="408">
        <v>0</v>
      </c>
      <c r="AZ165" s="408">
        <v>0</v>
      </c>
      <c r="BA165" s="408">
        <v>426809</v>
      </c>
      <c r="BB165" s="408">
        <v>0</v>
      </c>
      <c r="BC165" s="408">
        <v>0</v>
      </c>
      <c r="BD165" s="408">
        <v>1013232</v>
      </c>
      <c r="BE165" s="408">
        <v>0</v>
      </c>
      <c r="BF165" s="408">
        <v>0</v>
      </c>
      <c r="BG165" s="408">
        <v>0</v>
      </c>
      <c r="BH165" s="408">
        <v>0</v>
      </c>
      <c r="BI165" s="408">
        <v>0</v>
      </c>
      <c r="BJ165" s="408">
        <v>0</v>
      </c>
      <c r="BK165" s="408">
        <v>0</v>
      </c>
      <c r="BL165" s="408">
        <v>841854</v>
      </c>
      <c r="BM165" s="408">
        <v>0</v>
      </c>
      <c r="BN165" s="408">
        <v>0</v>
      </c>
      <c r="BO165" s="408">
        <v>0</v>
      </c>
      <c r="BP165" s="408">
        <v>149131</v>
      </c>
      <c r="BQ165" s="408">
        <v>0</v>
      </c>
      <c r="BR165" s="408">
        <v>124099362</v>
      </c>
      <c r="BS165" s="408">
        <v>0</v>
      </c>
      <c r="BT165" s="408">
        <v>0</v>
      </c>
    </row>
    <row r="166" spans="1:72" s="408" customFormat="1" x14ac:dyDescent="0.3">
      <c r="A166" s="408">
        <v>516</v>
      </c>
      <c r="B166" s="409">
        <v>516</v>
      </c>
      <c r="C166" s="408">
        <v>516</v>
      </c>
      <c r="D166" s="408" t="s">
        <v>278</v>
      </c>
      <c r="E166" s="408" t="s">
        <v>483</v>
      </c>
      <c r="F166" s="408">
        <v>10793764</v>
      </c>
      <c r="G166" s="408">
        <v>18446996</v>
      </c>
      <c r="H166" s="408">
        <v>5794656</v>
      </c>
      <c r="I166" s="408">
        <v>40774704</v>
      </c>
      <c r="J166" s="408">
        <v>0</v>
      </c>
      <c r="K166" s="408">
        <v>22077783</v>
      </c>
      <c r="L166" s="408">
        <v>15213748</v>
      </c>
      <c r="M166" s="408">
        <v>3384698</v>
      </c>
      <c r="N166" s="408">
        <v>273523905</v>
      </c>
      <c r="O166" s="408">
        <v>0</v>
      </c>
      <c r="P166" s="408">
        <v>25470567</v>
      </c>
      <c r="Q166" s="408">
        <v>0</v>
      </c>
      <c r="R166" s="408">
        <v>48783942</v>
      </c>
      <c r="S166" s="408">
        <v>183806639</v>
      </c>
      <c r="T166" s="408">
        <v>0</v>
      </c>
      <c r="U166" s="408">
        <v>2213142</v>
      </c>
      <c r="V166" s="408">
        <v>6999526</v>
      </c>
      <c r="W166" s="408">
        <v>8057014</v>
      </c>
      <c r="X166" s="408">
        <v>1371627</v>
      </c>
      <c r="Y166" s="408">
        <v>692337</v>
      </c>
      <c r="Z166" s="408">
        <v>17649600</v>
      </c>
      <c r="AA166" s="408">
        <v>0</v>
      </c>
      <c r="AB166" s="408">
        <v>0</v>
      </c>
      <c r="AC166" s="408">
        <v>7530191</v>
      </c>
      <c r="AD166" s="408">
        <v>13882642</v>
      </c>
      <c r="AE166" s="408">
        <v>6560228</v>
      </c>
      <c r="AF166" s="408">
        <v>2395084</v>
      </c>
      <c r="AG166" s="408">
        <v>0</v>
      </c>
      <c r="AH166" s="408">
        <v>0</v>
      </c>
      <c r="AI166" s="408">
        <v>37946123</v>
      </c>
      <c r="AJ166" s="408">
        <v>20734713</v>
      </c>
      <c r="AK166" s="408">
        <v>11245260</v>
      </c>
      <c r="AL166" s="408">
        <v>0</v>
      </c>
      <c r="AM166" s="408">
        <v>0</v>
      </c>
      <c r="AN166" s="408">
        <v>0</v>
      </c>
      <c r="AO166" s="408">
        <v>8329677</v>
      </c>
      <c r="AP166" s="408">
        <v>3313403</v>
      </c>
      <c r="AQ166" s="408">
        <v>24346150</v>
      </c>
      <c r="AR166" s="408">
        <v>0</v>
      </c>
      <c r="AS166" s="408">
        <v>23421606</v>
      </c>
      <c r="AT166" s="408">
        <v>11858289</v>
      </c>
      <c r="AU166" s="408">
        <v>4791369</v>
      </c>
      <c r="AV166" s="408">
        <v>8683669</v>
      </c>
      <c r="AW166" s="408">
        <v>0</v>
      </c>
      <c r="AX166" s="408">
        <v>6381238</v>
      </c>
      <c r="AY166" s="408">
        <v>10928742</v>
      </c>
      <c r="AZ166" s="408">
        <v>23103021</v>
      </c>
      <c r="BA166" s="408">
        <v>1577714</v>
      </c>
      <c r="BB166" s="408">
        <v>0</v>
      </c>
      <c r="BC166" s="408">
        <v>0</v>
      </c>
      <c r="BD166" s="408">
        <v>7869718</v>
      </c>
      <c r="BE166" s="408">
        <v>0</v>
      </c>
      <c r="BF166" s="408">
        <v>6670491</v>
      </c>
      <c r="BG166" s="408">
        <v>77060711</v>
      </c>
      <c r="BH166" s="408">
        <v>4581025</v>
      </c>
      <c r="BI166" s="408">
        <v>1561413</v>
      </c>
      <c r="BJ166" s="408">
        <v>45410075</v>
      </c>
      <c r="BK166" s="408">
        <v>2317825</v>
      </c>
      <c r="BL166" s="408">
        <v>3218647</v>
      </c>
      <c r="BM166" s="408">
        <v>0</v>
      </c>
      <c r="BN166" s="408">
        <v>3878325</v>
      </c>
      <c r="BO166" s="408">
        <v>14985236</v>
      </c>
      <c r="BP166" s="408">
        <v>5451527</v>
      </c>
      <c r="BQ166" s="408">
        <v>23742921</v>
      </c>
      <c r="BR166" s="408">
        <v>144670190</v>
      </c>
      <c r="BS166" s="408">
        <v>12649286</v>
      </c>
      <c r="BT166" s="408">
        <v>0</v>
      </c>
    </row>
    <row r="167" spans="1:72" s="408" customFormat="1" x14ac:dyDescent="0.3">
      <c r="A167" s="408">
        <v>517</v>
      </c>
      <c r="B167" s="409">
        <v>517</v>
      </c>
      <c r="C167" s="408">
        <v>517</v>
      </c>
      <c r="D167" s="408" t="s">
        <v>279</v>
      </c>
      <c r="E167" s="408" t="s">
        <v>484</v>
      </c>
      <c r="F167" s="408">
        <v>4465104</v>
      </c>
      <c r="G167" s="408">
        <v>0</v>
      </c>
      <c r="H167" s="408">
        <v>0</v>
      </c>
      <c r="I167" s="408">
        <v>0</v>
      </c>
      <c r="J167" s="408">
        <v>0</v>
      </c>
      <c r="K167" s="408">
        <v>0</v>
      </c>
      <c r="L167" s="408">
        <v>2084612</v>
      </c>
      <c r="M167" s="408">
        <v>0</v>
      </c>
      <c r="N167" s="408">
        <v>0</v>
      </c>
      <c r="O167" s="408">
        <v>0</v>
      </c>
      <c r="P167" s="408">
        <v>0</v>
      </c>
      <c r="Q167" s="408">
        <v>0</v>
      </c>
      <c r="R167" s="408">
        <v>0</v>
      </c>
      <c r="S167" s="408">
        <v>0</v>
      </c>
      <c r="T167" s="408">
        <v>0</v>
      </c>
      <c r="U167" s="408">
        <v>0</v>
      </c>
      <c r="V167" s="408">
        <v>0</v>
      </c>
      <c r="W167" s="408">
        <v>0</v>
      </c>
      <c r="X167" s="408">
        <v>0</v>
      </c>
      <c r="Y167" s="408">
        <v>0</v>
      </c>
      <c r="Z167" s="408">
        <v>0</v>
      </c>
      <c r="AA167" s="408">
        <v>0</v>
      </c>
      <c r="AB167" s="408">
        <v>0</v>
      </c>
      <c r="AC167" s="408">
        <v>6250</v>
      </c>
      <c r="AD167" s="408">
        <v>0</v>
      </c>
      <c r="AE167" s="408">
        <v>0</v>
      </c>
      <c r="AF167" s="408">
        <v>0</v>
      </c>
      <c r="AG167" s="408">
        <v>0</v>
      </c>
      <c r="AH167" s="408">
        <v>0</v>
      </c>
      <c r="AI167" s="408">
        <v>0</v>
      </c>
      <c r="AJ167" s="408">
        <v>0</v>
      </c>
      <c r="AK167" s="408">
        <v>0</v>
      </c>
      <c r="AL167" s="408">
        <v>0</v>
      </c>
      <c r="AM167" s="408">
        <v>0</v>
      </c>
      <c r="AN167" s="408">
        <v>0</v>
      </c>
      <c r="AO167" s="408">
        <v>0</v>
      </c>
      <c r="AP167" s="408">
        <v>0</v>
      </c>
      <c r="AQ167" s="408">
        <v>0</v>
      </c>
      <c r="AR167" s="408">
        <v>0</v>
      </c>
      <c r="AS167" s="408">
        <v>0</v>
      </c>
      <c r="AT167" s="408">
        <v>0</v>
      </c>
      <c r="AU167" s="408">
        <v>0</v>
      </c>
      <c r="AV167" s="408">
        <v>0</v>
      </c>
      <c r="AW167" s="408">
        <v>0</v>
      </c>
      <c r="AX167" s="408">
        <v>3583383</v>
      </c>
      <c r="AY167" s="408">
        <v>0</v>
      </c>
      <c r="AZ167" s="408">
        <v>0</v>
      </c>
      <c r="BA167" s="408">
        <v>0</v>
      </c>
      <c r="BB167" s="408">
        <v>0</v>
      </c>
      <c r="BC167" s="408">
        <v>0</v>
      </c>
      <c r="BD167" s="408">
        <v>0</v>
      </c>
      <c r="BE167" s="408">
        <v>0</v>
      </c>
      <c r="BF167" s="408">
        <v>0</v>
      </c>
      <c r="BG167" s="408">
        <v>0</v>
      </c>
      <c r="BH167" s="408">
        <v>0</v>
      </c>
      <c r="BI167" s="408">
        <v>0</v>
      </c>
      <c r="BJ167" s="408">
        <v>0</v>
      </c>
      <c r="BK167" s="408">
        <v>0</v>
      </c>
      <c r="BL167" s="408">
        <v>0</v>
      </c>
      <c r="BM167" s="408">
        <v>0</v>
      </c>
      <c r="BN167" s="408">
        <v>0</v>
      </c>
      <c r="BO167" s="408">
        <v>0</v>
      </c>
      <c r="BP167" s="408">
        <v>0</v>
      </c>
      <c r="BQ167" s="408">
        <v>0</v>
      </c>
      <c r="BR167" s="408">
        <v>0</v>
      </c>
      <c r="BS167" s="408">
        <v>0</v>
      </c>
      <c r="BT167" s="408">
        <v>0</v>
      </c>
    </row>
    <row r="168" spans="1:72" s="408" customFormat="1" x14ac:dyDescent="0.3">
      <c r="A168" s="408">
        <v>518</v>
      </c>
      <c r="B168" s="409">
        <v>518</v>
      </c>
      <c r="C168" s="408">
        <v>518</v>
      </c>
      <c r="D168" s="408" t="s">
        <v>280</v>
      </c>
      <c r="E168" s="408" t="s">
        <v>485</v>
      </c>
      <c r="F168" s="408">
        <v>2227844</v>
      </c>
      <c r="G168" s="408">
        <v>2499761</v>
      </c>
      <c r="H168" s="408">
        <v>22672</v>
      </c>
      <c r="I168" s="408">
        <v>10298859</v>
      </c>
      <c r="J168" s="408">
        <v>0</v>
      </c>
      <c r="K168" s="408">
        <v>610092</v>
      </c>
      <c r="L168" s="408">
        <v>1402553</v>
      </c>
      <c r="M168" s="408">
        <v>174428</v>
      </c>
      <c r="N168" s="408">
        <v>9444583</v>
      </c>
      <c r="O168" s="408">
        <v>0</v>
      </c>
      <c r="P168" s="408">
        <v>17261981</v>
      </c>
      <c r="Q168" s="408">
        <v>0</v>
      </c>
      <c r="R168" s="408">
        <v>10660619</v>
      </c>
      <c r="S168" s="408">
        <v>22419649</v>
      </c>
      <c r="T168" s="408">
        <v>0</v>
      </c>
      <c r="U168" s="408">
        <v>0</v>
      </c>
      <c r="V168" s="408">
        <v>1011829</v>
      </c>
      <c r="W168" s="408">
        <v>648171</v>
      </c>
      <c r="X168" s="408">
        <v>160375</v>
      </c>
      <c r="Y168" s="408">
        <v>3584</v>
      </c>
      <c r="Z168" s="408">
        <v>2401238</v>
      </c>
      <c r="AA168" s="408">
        <v>0</v>
      </c>
      <c r="AB168" s="408">
        <v>0</v>
      </c>
      <c r="AC168" s="408">
        <v>24013</v>
      </c>
      <c r="AD168" s="408">
        <v>768612</v>
      </c>
      <c r="AE168" s="408">
        <v>766138</v>
      </c>
      <c r="AF168" s="408">
        <v>146087</v>
      </c>
      <c r="AG168" s="408">
        <v>0</v>
      </c>
      <c r="AH168" s="408">
        <v>0</v>
      </c>
      <c r="AI168" s="408">
        <v>1472424</v>
      </c>
      <c r="AJ168" s="408">
        <v>857100</v>
      </c>
      <c r="AK168" s="408">
        <v>608887</v>
      </c>
      <c r="AL168" s="408">
        <v>0</v>
      </c>
      <c r="AM168" s="408">
        <v>0</v>
      </c>
      <c r="AN168" s="408">
        <v>0</v>
      </c>
      <c r="AO168" s="408">
        <v>1262219</v>
      </c>
      <c r="AP168" s="408">
        <v>0</v>
      </c>
      <c r="AQ168" s="408">
        <v>1652867</v>
      </c>
      <c r="AR168" s="408">
        <v>0</v>
      </c>
      <c r="AS168" s="408">
        <v>289842</v>
      </c>
      <c r="AT168" s="408">
        <v>418327</v>
      </c>
      <c r="AU168" s="408">
        <v>87207</v>
      </c>
      <c r="AV168" s="408">
        <v>975544</v>
      </c>
      <c r="AW168" s="408">
        <v>0</v>
      </c>
      <c r="AX168" s="408">
        <v>790703</v>
      </c>
      <c r="AY168" s="408">
        <v>175748</v>
      </c>
      <c r="AZ168" s="408">
        <v>1751532</v>
      </c>
      <c r="BA168" s="408">
        <v>0</v>
      </c>
      <c r="BB168" s="408">
        <v>0</v>
      </c>
      <c r="BC168" s="408">
        <v>0</v>
      </c>
      <c r="BD168" s="408">
        <v>213459</v>
      </c>
      <c r="BE168" s="408">
        <v>0</v>
      </c>
      <c r="BF168" s="408">
        <v>14623</v>
      </c>
      <c r="BG168" s="408">
        <v>5228751</v>
      </c>
      <c r="BH168" s="408">
        <v>403096</v>
      </c>
      <c r="BI168" s="408">
        <v>16279</v>
      </c>
      <c r="BJ168" s="408">
        <v>4133044</v>
      </c>
      <c r="BK168" s="408">
        <v>0</v>
      </c>
      <c r="BL168" s="408">
        <v>42148</v>
      </c>
      <c r="BM168" s="408">
        <v>0</v>
      </c>
      <c r="BN168" s="408">
        <v>2131</v>
      </c>
      <c r="BO168" s="408">
        <v>1571831</v>
      </c>
      <c r="BP168" s="408">
        <v>227455</v>
      </c>
      <c r="BQ168" s="408">
        <v>221547</v>
      </c>
      <c r="BR168" s="408">
        <v>8096145</v>
      </c>
      <c r="BS168" s="408">
        <v>751531</v>
      </c>
      <c r="BT168" s="408">
        <v>0</v>
      </c>
    </row>
    <row r="169" spans="1:72" s="408" customFormat="1" x14ac:dyDescent="0.3">
      <c r="A169" s="408">
        <v>519</v>
      </c>
      <c r="B169" s="409">
        <v>519</v>
      </c>
      <c r="C169" s="408">
        <v>519</v>
      </c>
      <c r="D169" s="408" t="s">
        <v>281</v>
      </c>
      <c r="E169" s="408" t="s">
        <v>486</v>
      </c>
      <c r="F169" s="408">
        <v>0</v>
      </c>
      <c r="G169" s="408">
        <v>418386</v>
      </c>
      <c r="H169" s="408">
        <v>0</v>
      </c>
      <c r="I169" s="408">
        <v>1433085</v>
      </c>
      <c r="J169" s="408">
        <v>0</v>
      </c>
      <c r="K169" s="408">
        <v>0</v>
      </c>
      <c r="L169" s="408">
        <v>0</v>
      </c>
      <c r="M169" s="408">
        <v>90</v>
      </c>
      <c r="N169" s="408">
        <v>266710</v>
      </c>
      <c r="O169" s="408">
        <v>0</v>
      </c>
      <c r="P169" s="408">
        <v>0</v>
      </c>
      <c r="Q169" s="408">
        <v>0</v>
      </c>
      <c r="R169" s="408">
        <v>657303</v>
      </c>
      <c r="S169" s="408">
        <v>1403888</v>
      </c>
      <c r="T169" s="408">
        <v>0</v>
      </c>
      <c r="U169" s="408">
        <v>0</v>
      </c>
      <c r="V169" s="408">
        <v>0</v>
      </c>
      <c r="W169" s="408">
        <v>0</v>
      </c>
      <c r="X169" s="408">
        <v>0</v>
      </c>
      <c r="Y169" s="408">
        <v>0</v>
      </c>
      <c r="Z169" s="408">
        <v>0</v>
      </c>
      <c r="AA169" s="408">
        <v>0</v>
      </c>
      <c r="AB169" s="408">
        <v>0</v>
      </c>
      <c r="AC169" s="408">
        <v>0</v>
      </c>
      <c r="AD169" s="408">
        <v>13800</v>
      </c>
      <c r="AE169" s="408">
        <v>0</v>
      </c>
      <c r="AF169" s="408">
        <v>0</v>
      </c>
      <c r="AG169" s="408">
        <v>0</v>
      </c>
      <c r="AH169" s="408">
        <v>0</v>
      </c>
      <c r="AI169" s="408">
        <v>20389</v>
      </c>
      <c r="AJ169" s="408">
        <v>2360</v>
      </c>
      <c r="AK169" s="408">
        <v>0</v>
      </c>
      <c r="AL169" s="408">
        <v>0</v>
      </c>
      <c r="AM169" s="408">
        <v>0</v>
      </c>
      <c r="AN169" s="408">
        <v>0</v>
      </c>
      <c r="AO169" s="408">
        <v>152620</v>
      </c>
      <c r="AP169" s="408">
        <v>0</v>
      </c>
      <c r="AQ169" s="408">
        <v>0</v>
      </c>
      <c r="AR169" s="408">
        <v>0</v>
      </c>
      <c r="AS169" s="408">
        <v>0</v>
      </c>
      <c r="AT169" s="408">
        <v>0</v>
      </c>
      <c r="AU169" s="408">
        <v>0</v>
      </c>
      <c r="AV169" s="408">
        <v>0</v>
      </c>
      <c r="AW169" s="408">
        <v>0</v>
      </c>
      <c r="AX169" s="408">
        <v>16379</v>
      </c>
      <c r="AY169" s="408">
        <v>0</v>
      </c>
      <c r="AZ169" s="408">
        <v>0</v>
      </c>
      <c r="BA169" s="408">
        <v>8536</v>
      </c>
      <c r="BB169" s="408">
        <v>0</v>
      </c>
      <c r="BC169" s="408">
        <v>0</v>
      </c>
      <c r="BD169" s="408">
        <v>25980</v>
      </c>
      <c r="BE169" s="408">
        <v>0</v>
      </c>
      <c r="BF169" s="408">
        <v>0</v>
      </c>
      <c r="BG169" s="408">
        <v>0</v>
      </c>
      <c r="BH169" s="408">
        <v>0</v>
      </c>
      <c r="BI169" s="408">
        <v>0</v>
      </c>
      <c r="BJ169" s="408">
        <v>0</v>
      </c>
      <c r="BK169" s="408">
        <v>0</v>
      </c>
      <c r="BL169" s="408">
        <v>25637</v>
      </c>
      <c r="BM169" s="408">
        <v>0</v>
      </c>
      <c r="BN169" s="408">
        <v>0</v>
      </c>
      <c r="BO169" s="408">
        <v>0</v>
      </c>
      <c r="BP169" s="408">
        <v>3101</v>
      </c>
      <c r="BQ169" s="408">
        <v>0</v>
      </c>
      <c r="BR169" s="408">
        <v>2740805</v>
      </c>
      <c r="BS169" s="408">
        <v>0</v>
      </c>
      <c r="BT169" s="408">
        <v>0</v>
      </c>
    </row>
    <row r="170" spans="1:72" s="408" customFormat="1" x14ac:dyDescent="0.3">
      <c r="A170" s="408">
        <v>520</v>
      </c>
      <c r="B170" s="409">
        <v>520</v>
      </c>
      <c r="C170" s="408">
        <v>520</v>
      </c>
      <c r="D170" s="408" t="s">
        <v>282</v>
      </c>
      <c r="E170" s="408" t="s">
        <v>487</v>
      </c>
      <c r="F170" s="408">
        <v>253599</v>
      </c>
      <c r="G170" s="408">
        <v>324027</v>
      </c>
      <c r="H170" s="408">
        <v>145421</v>
      </c>
      <c r="I170" s="408">
        <v>724461</v>
      </c>
      <c r="J170" s="408">
        <v>0</v>
      </c>
      <c r="K170" s="408">
        <v>443447</v>
      </c>
      <c r="L170" s="408">
        <v>365274</v>
      </c>
      <c r="M170" s="408">
        <v>71843</v>
      </c>
      <c r="N170" s="408">
        <v>9895131</v>
      </c>
      <c r="O170" s="408">
        <v>0</v>
      </c>
      <c r="P170" s="408">
        <v>541413</v>
      </c>
      <c r="Q170" s="408">
        <v>0</v>
      </c>
      <c r="R170" s="408">
        <v>922930</v>
      </c>
      <c r="S170" s="408">
        <v>3424204</v>
      </c>
      <c r="T170" s="408">
        <v>0</v>
      </c>
      <c r="U170" s="408">
        <v>55328</v>
      </c>
      <c r="V170" s="408">
        <v>115768</v>
      </c>
      <c r="W170" s="408">
        <v>204397</v>
      </c>
      <c r="X170" s="408">
        <v>16336</v>
      </c>
      <c r="Y170" s="408">
        <v>13798</v>
      </c>
      <c r="Z170" s="408">
        <v>358810</v>
      </c>
      <c r="AA170" s="408">
        <v>0</v>
      </c>
      <c r="AB170" s="408">
        <v>0</v>
      </c>
      <c r="AC170" s="408">
        <v>93161</v>
      </c>
      <c r="AD170" s="408">
        <v>75657</v>
      </c>
      <c r="AE170" s="408">
        <v>155184</v>
      </c>
      <c r="AF170" s="408">
        <v>47887</v>
      </c>
      <c r="AG170" s="408">
        <v>0</v>
      </c>
      <c r="AH170" s="408">
        <v>0</v>
      </c>
      <c r="AI170" s="408">
        <v>875472</v>
      </c>
      <c r="AJ170" s="408">
        <v>392484</v>
      </c>
      <c r="AK170" s="408">
        <v>163245</v>
      </c>
      <c r="AL170" s="408">
        <v>0</v>
      </c>
      <c r="AM170" s="408">
        <v>0</v>
      </c>
      <c r="AN170" s="408">
        <v>0</v>
      </c>
      <c r="AO170" s="408">
        <v>154394</v>
      </c>
      <c r="AP170" s="408">
        <v>88739</v>
      </c>
      <c r="AQ170" s="408">
        <v>532480</v>
      </c>
      <c r="AR170" s="408">
        <v>0</v>
      </c>
      <c r="AS170" s="408">
        <v>569172</v>
      </c>
      <c r="AT170" s="408">
        <v>304299</v>
      </c>
      <c r="AU170" s="408">
        <v>166629</v>
      </c>
      <c r="AV170" s="408">
        <v>253965</v>
      </c>
      <c r="AW170" s="408">
        <v>0</v>
      </c>
      <c r="AX170" s="408">
        <v>142976</v>
      </c>
      <c r="AY170" s="408">
        <v>219193</v>
      </c>
      <c r="AZ170" s="408">
        <v>401307</v>
      </c>
      <c r="BA170" s="408">
        <v>63109</v>
      </c>
      <c r="BB170" s="408">
        <v>0</v>
      </c>
      <c r="BC170" s="408">
        <v>0</v>
      </c>
      <c r="BD170" s="408">
        <v>220581</v>
      </c>
      <c r="BE170" s="408">
        <v>0</v>
      </c>
      <c r="BF170" s="408">
        <v>133362</v>
      </c>
      <c r="BG170" s="408">
        <v>1933977</v>
      </c>
      <c r="BH170" s="408">
        <v>89099</v>
      </c>
      <c r="BI170" s="408">
        <v>31228</v>
      </c>
      <c r="BJ170" s="408">
        <v>787525</v>
      </c>
      <c r="BK170" s="408">
        <v>85882</v>
      </c>
      <c r="BL170" s="408">
        <v>79336</v>
      </c>
      <c r="BM170" s="408">
        <v>0</v>
      </c>
      <c r="BN170" s="408">
        <v>56250</v>
      </c>
      <c r="BO170" s="408">
        <v>404165</v>
      </c>
      <c r="BP170" s="408">
        <v>123482</v>
      </c>
      <c r="BQ170" s="408">
        <v>492969</v>
      </c>
      <c r="BR170" s="408">
        <v>3183577</v>
      </c>
      <c r="BS170" s="408">
        <v>280562</v>
      </c>
      <c r="BT170" s="408">
        <v>0</v>
      </c>
    </row>
    <row r="171" spans="1:72" s="408" customFormat="1" x14ac:dyDescent="0.3">
      <c r="A171" s="408">
        <v>521</v>
      </c>
      <c r="B171" s="409">
        <v>521</v>
      </c>
      <c r="C171" s="408">
        <v>521</v>
      </c>
      <c r="D171" s="408" t="s">
        <v>283</v>
      </c>
      <c r="E171" s="408" t="s">
        <v>488</v>
      </c>
      <c r="F171" s="408">
        <v>282812</v>
      </c>
      <c r="G171" s="408">
        <v>0</v>
      </c>
      <c r="H171" s="408">
        <v>0</v>
      </c>
      <c r="I171" s="408">
        <v>0</v>
      </c>
      <c r="J171" s="408">
        <v>0</v>
      </c>
      <c r="K171" s="408">
        <v>0</v>
      </c>
      <c r="L171" s="408">
        <v>51593</v>
      </c>
      <c r="M171" s="408">
        <v>0</v>
      </c>
      <c r="N171" s="408">
        <v>0</v>
      </c>
      <c r="O171" s="408">
        <v>0</v>
      </c>
      <c r="P171" s="408">
        <v>0</v>
      </c>
      <c r="Q171" s="408">
        <v>0</v>
      </c>
      <c r="R171" s="408">
        <v>0</v>
      </c>
      <c r="S171" s="408">
        <v>0</v>
      </c>
      <c r="T171" s="408">
        <v>0</v>
      </c>
      <c r="U171" s="408">
        <v>0</v>
      </c>
      <c r="V171" s="408">
        <v>0</v>
      </c>
      <c r="W171" s="408">
        <v>0</v>
      </c>
      <c r="X171" s="408">
        <v>0</v>
      </c>
      <c r="Y171" s="408">
        <v>0</v>
      </c>
      <c r="Z171" s="408">
        <v>0</v>
      </c>
      <c r="AA171" s="408">
        <v>0</v>
      </c>
      <c r="AB171" s="408">
        <v>0</v>
      </c>
      <c r="AC171" s="408">
        <v>0</v>
      </c>
      <c r="AD171" s="408">
        <v>0</v>
      </c>
      <c r="AE171" s="408">
        <v>0</v>
      </c>
      <c r="AF171" s="408">
        <v>0</v>
      </c>
      <c r="AG171" s="408">
        <v>0</v>
      </c>
      <c r="AH171" s="408">
        <v>0</v>
      </c>
      <c r="AI171" s="408">
        <v>0</v>
      </c>
      <c r="AJ171" s="408">
        <v>0</v>
      </c>
      <c r="AK171" s="408">
        <v>0</v>
      </c>
      <c r="AL171" s="408">
        <v>0</v>
      </c>
      <c r="AM171" s="408">
        <v>0</v>
      </c>
      <c r="AN171" s="408">
        <v>0</v>
      </c>
      <c r="AO171" s="408">
        <v>0</v>
      </c>
      <c r="AP171" s="408">
        <v>0</v>
      </c>
      <c r="AQ171" s="408">
        <v>0</v>
      </c>
      <c r="AR171" s="408">
        <v>0</v>
      </c>
      <c r="AS171" s="408">
        <v>0</v>
      </c>
      <c r="AT171" s="408">
        <v>0</v>
      </c>
      <c r="AU171" s="408">
        <v>0</v>
      </c>
      <c r="AV171" s="408">
        <v>0</v>
      </c>
      <c r="AW171" s="408">
        <v>0</v>
      </c>
      <c r="AX171" s="408">
        <v>93341</v>
      </c>
      <c r="AY171" s="408">
        <v>0</v>
      </c>
      <c r="AZ171" s="408">
        <v>0</v>
      </c>
      <c r="BA171" s="408">
        <v>0</v>
      </c>
      <c r="BB171" s="408">
        <v>0</v>
      </c>
      <c r="BC171" s="408">
        <v>0</v>
      </c>
      <c r="BD171" s="408">
        <v>0</v>
      </c>
      <c r="BE171" s="408">
        <v>0</v>
      </c>
      <c r="BF171" s="408">
        <v>0</v>
      </c>
      <c r="BG171" s="408">
        <v>0</v>
      </c>
      <c r="BH171" s="408">
        <v>0</v>
      </c>
      <c r="BI171" s="408">
        <v>0</v>
      </c>
      <c r="BJ171" s="408">
        <v>0</v>
      </c>
      <c r="BK171" s="408">
        <v>0</v>
      </c>
      <c r="BL171" s="408">
        <v>0</v>
      </c>
      <c r="BM171" s="408">
        <v>0</v>
      </c>
      <c r="BN171" s="408">
        <v>0</v>
      </c>
      <c r="BO171" s="408">
        <v>0</v>
      </c>
      <c r="BP171" s="408">
        <v>0</v>
      </c>
      <c r="BQ171" s="408">
        <v>0</v>
      </c>
      <c r="BR171" s="408">
        <v>0</v>
      </c>
      <c r="BS171" s="408">
        <v>0</v>
      </c>
      <c r="BT171" s="408">
        <v>0</v>
      </c>
    </row>
    <row r="172" spans="1:72" s="408" customFormat="1" x14ac:dyDescent="0.3">
      <c r="A172" s="408">
        <v>522</v>
      </c>
      <c r="B172" s="409">
        <v>522</v>
      </c>
      <c r="C172" s="408">
        <v>522</v>
      </c>
      <c r="D172" s="408" t="s">
        <v>284</v>
      </c>
      <c r="E172" s="408" t="s">
        <v>489</v>
      </c>
      <c r="F172" s="408">
        <v>150638</v>
      </c>
      <c r="G172" s="408">
        <v>119301</v>
      </c>
      <c r="H172" s="408">
        <v>948</v>
      </c>
      <c r="I172" s="408">
        <v>648284</v>
      </c>
      <c r="J172" s="408">
        <v>0</v>
      </c>
      <c r="K172" s="408">
        <v>13687</v>
      </c>
      <c r="L172" s="408">
        <v>99380</v>
      </c>
      <c r="M172" s="408">
        <v>8724</v>
      </c>
      <c r="N172" s="408">
        <v>518447</v>
      </c>
      <c r="O172" s="408">
        <v>0</v>
      </c>
      <c r="P172" s="408">
        <v>538291</v>
      </c>
      <c r="Q172" s="408">
        <v>0</v>
      </c>
      <c r="R172" s="408">
        <v>555820</v>
      </c>
      <c r="S172" s="408">
        <v>1180866</v>
      </c>
      <c r="T172" s="408">
        <v>0</v>
      </c>
      <c r="U172" s="408">
        <v>0</v>
      </c>
      <c r="V172" s="408">
        <v>56222</v>
      </c>
      <c r="W172" s="408">
        <v>37568</v>
      </c>
      <c r="X172" s="408">
        <v>3950</v>
      </c>
      <c r="Y172" s="408">
        <v>43</v>
      </c>
      <c r="Z172" s="408">
        <v>87479</v>
      </c>
      <c r="AA172" s="408">
        <v>0</v>
      </c>
      <c r="AB172" s="408">
        <v>0</v>
      </c>
      <c r="AC172" s="408">
        <v>0</v>
      </c>
      <c r="AD172" s="408">
        <v>283758</v>
      </c>
      <c r="AE172" s="408">
        <v>20701</v>
      </c>
      <c r="AF172" s="408">
        <v>4376</v>
      </c>
      <c r="AG172" s="408">
        <v>0</v>
      </c>
      <c r="AH172" s="408">
        <v>0</v>
      </c>
      <c r="AI172" s="408">
        <v>91061</v>
      </c>
      <c r="AJ172" s="408">
        <v>103030</v>
      </c>
      <c r="AK172" s="408">
        <v>5927</v>
      </c>
      <c r="AL172" s="408">
        <v>0</v>
      </c>
      <c r="AM172" s="408">
        <v>0</v>
      </c>
      <c r="AN172" s="408">
        <v>0</v>
      </c>
      <c r="AO172" s="408">
        <v>58840</v>
      </c>
      <c r="AP172" s="408">
        <v>0</v>
      </c>
      <c r="AQ172" s="408">
        <v>128516</v>
      </c>
      <c r="AR172" s="408">
        <v>0</v>
      </c>
      <c r="AS172" s="408">
        <v>0</v>
      </c>
      <c r="AT172" s="408">
        <v>9954</v>
      </c>
      <c r="AU172" s="408">
        <v>340</v>
      </c>
      <c r="AV172" s="408">
        <v>56670</v>
      </c>
      <c r="AW172" s="408">
        <v>0</v>
      </c>
      <c r="AX172" s="408">
        <v>46886</v>
      </c>
      <c r="AY172" s="408">
        <v>3394</v>
      </c>
      <c r="AZ172" s="408">
        <v>107831</v>
      </c>
      <c r="BA172" s="408">
        <v>0</v>
      </c>
      <c r="BB172" s="408">
        <v>0</v>
      </c>
      <c r="BC172" s="408">
        <v>0</v>
      </c>
      <c r="BD172" s="408">
        <v>26388</v>
      </c>
      <c r="BE172" s="408">
        <v>0</v>
      </c>
      <c r="BF172" s="408">
        <v>37</v>
      </c>
      <c r="BG172" s="408">
        <v>259580</v>
      </c>
      <c r="BH172" s="408">
        <v>19048</v>
      </c>
      <c r="BI172" s="408">
        <v>651</v>
      </c>
      <c r="BJ172" s="408">
        <v>367946</v>
      </c>
      <c r="BK172" s="408">
        <v>0</v>
      </c>
      <c r="BL172" s="408">
        <v>4215</v>
      </c>
      <c r="BM172" s="408">
        <v>0</v>
      </c>
      <c r="BN172" s="408">
        <v>0</v>
      </c>
      <c r="BO172" s="408">
        <v>85569</v>
      </c>
      <c r="BP172" s="408">
        <v>11562</v>
      </c>
      <c r="BQ172" s="408">
        <v>20230</v>
      </c>
      <c r="BR172" s="408">
        <v>513779</v>
      </c>
      <c r="BS172" s="408">
        <v>71210</v>
      </c>
      <c r="BT172" s="408">
        <v>0</v>
      </c>
    </row>
    <row r="173" spans="1:72" s="408" customFormat="1" x14ac:dyDescent="0.3">
      <c r="A173" s="408">
        <v>523</v>
      </c>
      <c r="B173" s="409">
        <v>523</v>
      </c>
      <c r="C173" s="408">
        <v>523</v>
      </c>
      <c r="D173" s="408" t="s">
        <v>285</v>
      </c>
      <c r="E173" s="408" t="s">
        <v>490</v>
      </c>
      <c r="F173" s="408">
        <v>0</v>
      </c>
      <c r="G173" s="408">
        <v>3102359</v>
      </c>
      <c r="H173" s="408">
        <v>0</v>
      </c>
      <c r="I173" s="408">
        <v>26778009</v>
      </c>
      <c r="J173" s="408">
        <v>0</v>
      </c>
      <c r="K173" s="408">
        <v>0</v>
      </c>
      <c r="L173" s="408">
        <v>0</v>
      </c>
      <c r="M173" s="408">
        <v>5164</v>
      </c>
      <c r="N173" s="408">
        <v>1776042</v>
      </c>
      <c r="O173" s="408">
        <v>0</v>
      </c>
      <c r="P173" s="408">
        <v>0</v>
      </c>
      <c r="Q173" s="408">
        <v>0</v>
      </c>
      <c r="R173" s="408">
        <v>19235885</v>
      </c>
      <c r="S173" s="408">
        <v>37484102</v>
      </c>
      <c r="T173" s="408">
        <v>0</v>
      </c>
      <c r="U173" s="408">
        <v>0</v>
      </c>
      <c r="V173" s="408">
        <v>0</v>
      </c>
      <c r="W173" s="408">
        <v>0</v>
      </c>
      <c r="X173" s="408">
        <v>0</v>
      </c>
      <c r="Y173" s="408">
        <v>0</v>
      </c>
      <c r="Z173" s="408">
        <v>0</v>
      </c>
      <c r="AA173" s="408">
        <v>0</v>
      </c>
      <c r="AB173" s="408">
        <v>0</v>
      </c>
      <c r="AC173" s="408">
        <v>0</v>
      </c>
      <c r="AD173" s="408">
        <v>175554</v>
      </c>
      <c r="AE173" s="408">
        <v>0</v>
      </c>
      <c r="AF173" s="408">
        <v>0</v>
      </c>
      <c r="AG173" s="408">
        <v>0</v>
      </c>
      <c r="AH173" s="408">
        <v>0</v>
      </c>
      <c r="AI173" s="408">
        <v>1039830</v>
      </c>
      <c r="AJ173" s="408">
        <v>23588</v>
      </c>
      <c r="AK173" s="408">
        <v>0</v>
      </c>
      <c r="AL173" s="408">
        <v>0</v>
      </c>
      <c r="AM173" s="408">
        <v>0</v>
      </c>
      <c r="AN173" s="408">
        <v>0</v>
      </c>
      <c r="AO173" s="408">
        <v>2711103</v>
      </c>
      <c r="AP173" s="408">
        <v>0</v>
      </c>
      <c r="AQ173" s="408">
        <v>0</v>
      </c>
      <c r="AR173" s="408">
        <v>0</v>
      </c>
      <c r="AS173" s="408">
        <v>0</v>
      </c>
      <c r="AT173" s="408">
        <v>0</v>
      </c>
      <c r="AU173" s="408">
        <v>0</v>
      </c>
      <c r="AV173" s="408">
        <v>0</v>
      </c>
      <c r="AW173" s="408">
        <v>0</v>
      </c>
      <c r="AX173" s="408">
        <v>37838</v>
      </c>
      <c r="AY173" s="408">
        <v>0</v>
      </c>
      <c r="AZ173" s="408">
        <v>0</v>
      </c>
      <c r="BA173" s="408">
        <v>167166</v>
      </c>
      <c r="BB173" s="408">
        <v>0</v>
      </c>
      <c r="BC173" s="408">
        <v>0</v>
      </c>
      <c r="BD173" s="408">
        <v>125571</v>
      </c>
      <c r="BE173" s="408">
        <v>0</v>
      </c>
      <c r="BF173" s="408">
        <v>0</v>
      </c>
      <c r="BG173" s="408">
        <v>0</v>
      </c>
      <c r="BH173" s="408">
        <v>0</v>
      </c>
      <c r="BI173" s="408">
        <v>0</v>
      </c>
      <c r="BJ173" s="408">
        <v>0</v>
      </c>
      <c r="BK173" s="408">
        <v>0</v>
      </c>
      <c r="BL173" s="408">
        <v>667430</v>
      </c>
      <c r="BM173" s="408">
        <v>0</v>
      </c>
      <c r="BN173" s="408">
        <v>0</v>
      </c>
      <c r="BO173" s="408">
        <v>0</v>
      </c>
      <c r="BP173" s="408">
        <v>57866</v>
      </c>
      <c r="BQ173" s="408">
        <v>0</v>
      </c>
      <c r="BR173" s="408">
        <v>82244968</v>
      </c>
      <c r="BS173" s="408">
        <v>0</v>
      </c>
      <c r="BT173" s="408">
        <v>0</v>
      </c>
    </row>
    <row r="174" spans="1:72" s="408" customFormat="1" x14ac:dyDescent="0.3">
      <c r="A174" s="408">
        <v>524</v>
      </c>
      <c r="B174" s="409">
        <v>524</v>
      </c>
      <c r="C174" s="408">
        <v>524</v>
      </c>
      <c r="D174" s="408" t="s">
        <v>286</v>
      </c>
      <c r="E174" s="408" t="s">
        <v>491</v>
      </c>
      <c r="F174" s="408">
        <v>7589333</v>
      </c>
      <c r="G174" s="408">
        <v>7621796</v>
      </c>
      <c r="H174" s="408">
        <v>5305</v>
      </c>
      <c r="I174" s="408">
        <v>24687529</v>
      </c>
      <c r="J174" s="408">
        <v>0</v>
      </c>
      <c r="K174" s="408">
        <v>13236182</v>
      </c>
      <c r="L174" s="408">
        <v>6730794</v>
      </c>
      <c r="M174" s="408">
        <v>1843614</v>
      </c>
      <c r="N174" s="408">
        <v>105062382</v>
      </c>
      <c r="O174" s="408">
        <v>0</v>
      </c>
      <c r="P174" s="408">
        <v>13994346</v>
      </c>
      <c r="Q174" s="408">
        <v>0</v>
      </c>
      <c r="R174" s="408">
        <v>25242369</v>
      </c>
      <c r="S174" s="408">
        <v>76430929</v>
      </c>
      <c r="T174" s="408">
        <v>0</v>
      </c>
      <c r="U174" s="408">
        <v>414964</v>
      </c>
      <c r="V174" s="408">
        <v>5733477</v>
      </c>
      <c r="W174" s="408">
        <v>4288447</v>
      </c>
      <c r="X174" s="408">
        <v>1129639</v>
      </c>
      <c r="Y174" s="408">
        <v>475442</v>
      </c>
      <c r="Z174" s="408">
        <v>6354618</v>
      </c>
      <c r="AA174" s="408">
        <v>0</v>
      </c>
      <c r="AB174" s="408">
        <v>0</v>
      </c>
      <c r="AC174" s="408">
        <v>1965280</v>
      </c>
      <c r="AD174" s="408">
        <v>3277199</v>
      </c>
      <c r="AE174" s="408">
        <v>4092083</v>
      </c>
      <c r="AF174" s="408">
        <v>1311962</v>
      </c>
      <c r="AG174" s="408">
        <v>0</v>
      </c>
      <c r="AH174" s="408">
        <v>0</v>
      </c>
      <c r="AI174" s="408">
        <v>10891519</v>
      </c>
      <c r="AJ174" s="408">
        <v>7746018</v>
      </c>
      <c r="AK174" s="408">
        <v>3819094</v>
      </c>
      <c r="AL174" s="408">
        <v>0</v>
      </c>
      <c r="AM174" s="408">
        <v>0</v>
      </c>
      <c r="AN174" s="408">
        <v>0</v>
      </c>
      <c r="AO174" s="408">
        <v>2846359</v>
      </c>
      <c r="AP174" s="408">
        <v>1365221</v>
      </c>
      <c r="AQ174" s="408">
        <v>10103418</v>
      </c>
      <c r="AR174" s="408">
        <v>0</v>
      </c>
      <c r="AS174" s="408">
        <v>8081389</v>
      </c>
      <c r="AT174" s="408">
        <v>4944349</v>
      </c>
      <c r="AU174" s="408">
        <v>2545693</v>
      </c>
      <c r="AV174" s="408">
        <v>3592373</v>
      </c>
      <c r="AW174" s="408">
        <v>0</v>
      </c>
      <c r="AX174" s="408">
        <v>3509106</v>
      </c>
      <c r="AY174" s="408">
        <v>4617165</v>
      </c>
      <c r="AZ174" s="408">
        <v>9064379</v>
      </c>
      <c r="BA174" s="408">
        <v>724589</v>
      </c>
      <c r="BB174" s="408">
        <v>0</v>
      </c>
      <c r="BC174" s="408">
        <v>0</v>
      </c>
      <c r="BD174" s="408">
        <v>3747090</v>
      </c>
      <c r="BE174" s="408">
        <v>0</v>
      </c>
      <c r="BF174" s="408">
        <v>1570819</v>
      </c>
      <c r="BG174" s="408">
        <v>21967266</v>
      </c>
      <c r="BH174" s="408">
        <v>2310402</v>
      </c>
      <c r="BI174" s="408">
        <v>700524</v>
      </c>
      <c r="BJ174" s="408">
        <v>11109161</v>
      </c>
      <c r="BK174" s="408">
        <v>1469009</v>
      </c>
      <c r="BL174" s="408">
        <v>2330871</v>
      </c>
      <c r="BM174" s="408">
        <v>0</v>
      </c>
      <c r="BN174" s="408">
        <v>666035</v>
      </c>
      <c r="BO174" s="408">
        <v>6793129</v>
      </c>
      <c r="BP174" s="408">
        <v>2826429</v>
      </c>
      <c r="BQ174" s="408">
        <v>7257815</v>
      </c>
      <c r="BR174" s="408">
        <v>58163827</v>
      </c>
      <c r="BS174" s="408">
        <v>4460721</v>
      </c>
      <c r="BT174" s="408">
        <v>0</v>
      </c>
    </row>
    <row r="175" spans="1:72" s="408" customFormat="1" x14ac:dyDescent="0.3">
      <c r="A175" s="408">
        <v>525</v>
      </c>
      <c r="B175" s="409">
        <v>525</v>
      </c>
      <c r="C175" s="408">
        <v>525</v>
      </c>
      <c r="D175" s="408" t="s">
        <v>287</v>
      </c>
      <c r="E175" s="408" t="s">
        <v>492</v>
      </c>
      <c r="F175" s="408">
        <v>1460550</v>
      </c>
      <c r="G175" s="408">
        <v>0</v>
      </c>
      <c r="H175" s="408">
        <v>1704894</v>
      </c>
      <c r="I175" s="408">
        <v>0</v>
      </c>
      <c r="J175" s="408">
        <v>0</v>
      </c>
      <c r="K175" s="408">
        <v>0</v>
      </c>
      <c r="L175" s="408">
        <v>421593</v>
      </c>
      <c r="M175" s="408">
        <v>0</v>
      </c>
      <c r="N175" s="408">
        <v>0</v>
      </c>
      <c r="O175" s="408">
        <v>0</v>
      </c>
      <c r="P175" s="408">
        <v>0</v>
      </c>
      <c r="Q175" s="408">
        <v>0</v>
      </c>
      <c r="R175" s="408">
        <v>0</v>
      </c>
      <c r="S175" s="408">
        <v>0</v>
      </c>
      <c r="T175" s="408">
        <v>0</v>
      </c>
      <c r="U175" s="408">
        <v>0</v>
      </c>
      <c r="V175" s="408">
        <v>0</v>
      </c>
      <c r="W175" s="408">
        <v>0</v>
      </c>
      <c r="X175" s="408">
        <v>0</v>
      </c>
      <c r="Y175" s="408">
        <v>0</v>
      </c>
      <c r="Z175" s="408">
        <v>0</v>
      </c>
      <c r="AA175" s="408">
        <v>0</v>
      </c>
      <c r="AB175" s="408">
        <v>0</v>
      </c>
      <c r="AC175" s="408">
        <v>6251</v>
      </c>
      <c r="AD175" s="408">
        <v>0</v>
      </c>
      <c r="AE175" s="408">
        <v>0</v>
      </c>
      <c r="AF175" s="408">
        <v>0</v>
      </c>
      <c r="AG175" s="408">
        <v>0</v>
      </c>
      <c r="AH175" s="408">
        <v>0</v>
      </c>
      <c r="AI175" s="408">
        <v>0</v>
      </c>
      <c r="AJ175" s="408">
        <v>0</v>
      </c>
      <c r="AK175" s="408">
        <v>0</v>
      </c>
      <c r="AL175" s="408">
        <v>0</v>
      </c>
      <c r="AM175" s="408">
        <v>0</v>
      </c>
      <c r="AN175" s="408">
        <v>0</v>
      </c>
      <c r="AO175" s="408">
        <v>0</v>
      </c>
      <c r="AP175" s="408">
        <v>0</v>
      </c>
      <c r="AQ175" s="408">
        <v>0</v>
      </c>
      <c r="AR175" s="408">
        <v>0</v>
      </c>
      <c r="AS175" s="408">
        <v>0</v>
      </c>
      <c r="AT175" s="408">
        <v>0</v>
      </c>
      <c r="AU175" s="408">
        <v>0</v>
      </c>
      <c r="AV175" s="408">
        <v>0</v>
      </c>
      <c r="AW175" s="408">
        <v>0</v>
      </c>
      <c r="AX175" s="408">
        <v>1279123</v>
      </c>
      <c r="AY175" s="408">
        <v>0</v>
      </c>
      <c r="AZ175" s="408">
        <v>0</v>
      </c>
      <c r="BA175" s="408">
        <v>0</v>
      </c>
      <c r="BB175" s="408">
        <v>0</v>
      </c>
      <c r="BC175" s="408">
        <v>0</v>
      </c>
      <c r="BD175" s="408">
        <v>0</v>
      </c>
      <c r="BE175" s="408">
        <v>0</v>
      </c>
      <c r="BF175" s="408">
        <v>0</v>
      </c>
      <c r="BG175" s="408">
        <v>0</v>
      </c>
      <c r="BH175" s="408">
        <v>0</v>
      </c>
      <c r="BI175" s="408">
        <v>0</v>
      </c>
      <c r="BJ175" s="408">
        <v>0</v>
      </c>
      <c r="BK175" s="408">
        <v>0</v>
      </c>
      <c r="BL175" s="408">
        <v>0</v>
      </c>
      <c r="BM175" s="408">
        <v>0</v>
      </c>
      <c r="BN175" s="408">
        <v>0</v>
      </c>
      <c r="BO175" s="408">
        <v>0</v>
      </c>
      <c r="BP175" s="408">
        <v>0</v>
      </c>
      <c r="BQ175" s="408">
        <v>0</v>
      </c>
      <c r="BR175" s="408">
        <v>0</v>
      </c>
      <c r="BS175" s="408">
        <v>0</v>
      </c>
      <c r="BT175" s="408">
        <v>0</v>
      </c>
    </row>
    <row r="176" spans="1:72" s="408" customFormat="1" x14ac:dyDescent="0.3">
      <c r="A176" s="408">
        <v>526</v>
      </c>
      <c r="B176" s="409">
        <v>526</v>
      </c>
      <c r="C176" s="408">
        <v>526</v>
      </c>
      <c r="D176" s="408" t="s">
        <v>288</v>
      </c>
      <c r="E176" s="408" t="s">
        <v>493</v>
      </c>
      <c r="F176" s="408">
        <v>1195109</v>
      </c>
      <c r="G176" s="408">
        <v>2158592</v>
      </c>
      <c r="H176" s="408">
        <v>21942</v>
      </c>
      <c r="I176" s="408">
        <v>5294959</v>
      </c>
      <c r="J176" s="408">
        <v>0</v>
      </c>
      <c r="K176" s="408">
        <v>416241</v>
      </c>
      <c r="L176" s="408">
        <v>862329</v>
      </c>
      <c r="M176" s="408">
        <v>100843</v>
      </c>
      <c r="N176" s="408">
        <v>7501113</v>
      </c>
      <c r="O176" s="408">
        <v>0</v>
      </c>
      <c r="P176" s="408">
        <v>5792912</v>
      </c>
      <c r="Q176" s="408">
        <v>0</v>
      </c>
      <c r="R176" s="408">
        <v>8172369</v>
      </c>
      <c r="S176" s="408">
        <v>19594561</v>
      </c>
      <c r="T176" s="408">
        <v>0</v>
      </c>
      <c r="U176" s="408">
        <v>0</v>
      </c>
      <c r="V176" s="408">
        <v>708625</v>
      </c>
      <c r="W176" s="408">
        <v>389421</v>
      </c>
      <c r="X176" s="408">
        <v>138569</v>
      </c>
      <c r="Y176" s="408">
        <v>3584</v>
      </c>
      <c r="Z176" s="408">
        <v>1601735</v>
      </c>
      <c r="AA176" s="408">
        <v>0</v>
      </c>
      <c r="AB176" s="408">
        <v>0</v>
      </c>
      <c r="AC176" s="408">
        <v>24018</v>
      </c>
      <c r="AD176" s="408">
        <v>376620</v>
      </c>
      <c r="AE176" s="408">
        <v>656181</v>
      </c>
      <c r="AF176" s="408">
        <v>121599</v>
      </c>
      <c r="AG176" s="408">
        <v>0</v>
      </c>
      <c r="AH176" s="408">
        <v>0</v>
      </c>
      <c r="AI176" s="408">
        <v>845229</v>
      </c>
      <c r="AJ176" s="408">
        <v>395755</v>
      </c>
      <c r="AK176" s="408">
        <v>570501</v>
      </c>
      <c r="AL176" s="408">
        <v>0</v>
      </c>
      <c r="AM176" s="408">
        <v>0</v>
      </c>
      <c r="AN176" s="408">
        <v>0</v>
      </c>
      <c r="AO176" s="408">
        <v>954229</v>
      </c>
      <c r="AP176" s="408">
        <v>0</v>
      </c>
      <c r="AQ176" s="408">
        <v>967795</v>
      </c>
      <c r="AR176" s="408">
        <v>0</v>
      </c>
      <c r="AS176" s="408">
        <v>289842</v>
      </c>
      <c r="AT176" s="408">
        <v>370599</v>
      </c>
      <c r="AU176" s="408">
        <v>84521</v>
      </c>
      <c r="AV176" s="408">
        <v>780330</v>
      </c>
      <c r="AW176" s="408">
        <v>0</v>
      </c>
      <c r="AX176" s="408">
        <v>416651</v>
      </c>
      <c r="AY176" s="408">
        <v>168424</v>
      </c>
      <c r="AZ176" s="408">
        <v>1362905</v>
      </c>
      <c r="BA176" s="408">
        <v>0</v>
      </c>
      <c r="BB176" s="408">
        <v>0</v>
      </c>
      <c r="BC176" s="408">
        <v>0</v>
      </c>
      <c r="BD176" s="408">
        <v>141022</v>
      </c>
      <c r="BE176" s="408">
        <v>0</v>
      </c>
      <c r="BF176" s="408">
        <v>14044</v>
      </c>
      <c r="BG176" s="408">
        <v>4873499</v>
      </c>
      <c r="BH176" s="408">
        <v>288787</v>
      </c>
      <c r="BI176" s="408">
        <v>2279</v>
      </c>
      <c r="BJ176" s="408">
        <v>2878003</v>
      </c>
      <c r="BK176" s="408">
        <v>0</v>
      </c>
      <c r="BL176" s="408">
        <v>30209</v>
      </c>
      <c r="BM176" s="408">
        <v>0</v>
      </c>
      <c r="BN176" s="408">
        <v>2131</v>
      </c>
      <c r="BO176" s="408">
        <v>880420</v>
      </c>
      <c r="BP176" s="408">
        <v>170028</v>
      </c>
      <c r="BQ176" s="408">
        <v>146806</v>
      </c>
      <c r="BR176" s="408">
        <v>5266908</v>
      </c>
      <c r="BS176" s="408">
        <v>584902</v>
      </c>
      <c r="BT176" s="408">
        <v>0</v>
      </c>
    </row>
    <row r="177" spans="1:72" s="408" customFormat="1" x14ac:dyDescent="0.3">
      <c r="A177" s="408">
        <v>527</v>
      </c>
      <c r="B177" s="409">
        <v>527</v>
      </c>
      <c r="C177" s="408">
        <v>527</v>
      </c>
      <c r="D177" s="408" t="s">
        <v>289</v>
      </c>
      <c r="E177" s="408" t="s">
        <v>494</v>
      </c>
      <c r="F177" s="408">
        <v>0</v>
      </c>
      <c r="G177" s="408">
        <v>0</v>
      </c>
      <c r="H177" s="408">
        <v>0</v>
      </c>
      <c r="I177" s="408">
        <v>2805568</v>
      </c>
      <c r="J177" s="408">
        <v>0</v>
      </c>
      <c r="K177" s="408">
        <v>0</v>
      </c>
      <c r="L177" s="408">
        <v>0</v>
      </c>
      <c r="M177" s="408">
        <v>0</v>
      </c>
      <c r="N177" s="408">
        <v>7599902</v>
      </c>
      <c r="O177" s="408">
        <v>0</v>
      </c>
      <c r="P177" s="408">
        <v>0</v>
      </c>
      <c r="Q177" s="408">
        <v>0</v>
      </c>
      <c r="R177" s="408">
        <v>0</v>
      </c>
      <c r="S177" s="408">
        <v>0</v>
      </c>
      <c r="T177" s="408">
        <v>0</v>
      </c>
      <c r="U177" s="408">
        <v>0</v>
      </c>
      <c r="V177" s="408">
        <v>0</v>
      </c>
      <c r="W177" s="408">
        <v>0</v>
      </c>
      <c r="X177" s="408">
        <v>0</v>
      </c>
      <c r="Y177" s="408">
        <v>0</v>
      </c>
      <c r="Z177" s="408">
        <v>52161</v>
      </c>
      <c r="AA177" s="408">
        <v>0</v>
      </c>
      <c r="AB177" s="408">
        <v>0</v>
      </c>
      <c r="AC177" s="408">
        <v>0</v>
      </c>
      <c r="AD177" s="408">
        <v>0</v>
      </c>
      <c r="AE177" s="408">
        <v>0</v>
      </c>
      <c r="AF177" s="408">
        <v>0</v>
      </c>
      <c r="AG177" s="408">
        <v>0</v>
      </c>
      <c r="AH177" s="408">
        <v>0</v>
      </c>
      <c r="AI177" s="408">
        <v>0</v>
      </c>
      <c r="AJ177" s="408">
        <v>0</v>
      </c>
      <c r="AK177" s="408">
        <v>23729</v>
      </c>
      <c r="AL177" s="408">
        <v>0</v>
      </c>
      <c r="AM177" s="408">
        <v>0</v>
      </c>
      <c r="AN177" s="408">
        <v>0</v>
      </c>
      <c r="AO177" s="408">
        <v>0</v>
      </c>
      <c r="AP177" s="408">
        <v>0</v>
      </c>
      <c r="AQ177" s="408">
        <v>0</v>
      </c>
      <c r="AR177" s="408">
        <v>0</v>
      </c>
      <c r="AS177" s="408">
        <v>0</v>
      </c>
      <c r="AT177" s="408">
        <v>0</v>
      </c>
      <c r="AU177" s="408">
        <v>0</v>
      </c>
      <c r="AV177" s="408">
        <v>0</v>
      </c>
      <c r="AW177" s="408">
        <v>0</v>
      </c>
      <c r="AX177" s="408">
        <v>0</v>
      </c>
      <c r="AY177" s="408">
        <v>0</v>
      </c>
      <c r="AZ177" s="408">
        <v>0</v>
      </c>
      <c r="BA177" s="408">
        <v>0</v>
      </c>
      <c r="BB177" s="408">
        <v>0</v>
      </c>
      <c r="BC177" s="408">
        <v>0</v>
      </c>
      <c r="BD177" s="408">
        <v>0</v>
      </c>
      <c r="BE177" s="408">
        <v>0</v>
      </c>
      <c r="BF177" s="408">
        <v>0</v>
      </c>
      <c r="BG177" s="408">
        <v>0</v>
      </c>
      <c r="BH177" s="408">
        <v>0</v>
      </c>
      <c r="BI177" s="408">
        <v>0</v>
      </c>
      <c r="BJ177" s="408">
        <v>0</v>
      </c>
      <c r="BK177" s="408">
        <v>0</v>
      </c>
      <c r="BL177" s="408">
        <v>0</v>
      </c>
      <c r="BM177" s="408">
        <v>0</v>
      </c>
      <c r="BN177" s="408">
        <v>0</v>
      </c>
      <c r="BO177" s="408">
        <v>0</v>
      </c>
      <c r="BP177" s="408">
        <v>0</v>
      </c>
      <c r="BQ177" s="408">
        <v>0</v>
      </c>
      <c r="BR177" s="408">
        <v>0</v>
      </c>
      <c r="BS177" s="408">
        <v>0</v>
      </c>
      <c r="BT177" s="408">
        <v>0</v>
      </c>
    </row>
    <row r="178" spans="1:72" s="408" customFormat="1" x14ac:dyDescent="0.3">
      <c r="A178" s="408">
        <v>528</v>
      </c>
      <c r="B178" s="409">
        <v>528</v>
      </c>
      <c r="C178" s="408">
        <v>528</v>
      </c>
      <c r="D178" s="408" t="s">
        <v>271</v>
      </c>
      <c r="E178" s="408" t="s">
        <v>495</v>
      </c>
      <c r="F178" s="408">
        <v>4509970</v>
      </c>
      <c r="G178" s="408">
        <v>2463227</v>
      </c>
      <c r="H178" s="408">
        <v>206939</v>
      </c>
      <c r="I178" s="408">
        <v>6102345</v>
      </c>
      <c r="J178" s="408">
        <v>40279</v>
      </c>
      <c r="K178" s="408">
        <v>650891</v>
      </c>
      <c r="L178" s="408">
        <v>1738221</v>
      </c>
      <c r="M178" s="408">
        <v>114484</v>
      </c>
      <c r="N178" s="408">
        <v>29974674</v>
      </c>
      <c r="O178" s="408">
        <v>0</v>
      </c>
      <c r="P178" s="408">
        <v>2811070</v>
      </c>
      <c r="Q178" s="408">
        <v>735189</v>
      </c>
      <c r="R178" s="408">
        <v>15721940</v>
      </c>
      <c r="S178" s="408">
        <v>66059499</v>
      </c>
      <c r="T178" s="408">
        <v>0</v>
      </c>
      <c r="U178" s="408">
        <v>44142</v>
      </c>
      <c r="V178" s="408">
        <v>2767229</v>
      </c>
      <c r="W178" s="408">
        <v>201907</v>
      </c>
      <c r="X178" s="408">
        <v>133559</v>
      </c>
      <c r="Y178" s="408">
        <v>52065</v>
      </c>
      <c r="Z178" s="408">
        <v>1144227</v>
      </c>
      <c r="AA178" s="408">
        <v>0</v>
      </c>
      <c r="AB178" s="408">
        <v>0</v>
      </c>
      <c r="AC178" s="408">
        <v>111345</v>
      </c>
      <c r="AD178" s="408">
        <v>8326482</v>
      </c>
      <c r="AE178" s="408">
        <v>1282854</v>
      </c>
      <c r="AF178" s="408">
        <v>109785</v>
      </c>
      <c r="AG178" s="408">
        <v>94525</v>
      </c>
      <c r="AH178" s="408">
        <v>12455</v>
      </c>
      <c r="AI178" s="408">
        <v>3841917</v>
      </c>
      <c r="AJ178" s="408">
        <v>3975612</v>
      </c>
      <c r="AK178" s="408">
        <v>583574</v>
      </c>
      <c r="AL178" s="408">
        <v>0</v>
      </c>
      <c r="AM178" s="408">
        <v>0</v>
      </c>
      <c r="AN178" s="408">
        <v>24556</v>
      </c>
      <c r="AO178" s="408">
        <v>1801031</v>
      </c>
      <c r="AP178" s="408">
        <v>783398</v>
      </c>
      <c r="AQ178" s="408">
        <v>1781601</v>
      </c>
      <c r="AR178" s="408">
        <v>94434</v>
      </c>
      <c r="AS178" s="408">
        <v>353654</v>
      </c>
      <c r="AT178" s="408">
        <v>420622</v>
      </c>
      <c r="AU178" s="408">
        <v>2635046</v>
      </c>
      <c r="AV178" s="408">
        <v>826010</v>
      </c>
      <c r="AW178" s="408">
        <v>0</v>
      </c>
      <c r="AX178" s="408">
        <v>3984646</v>
      </c>
      <c r="AY178" s="408">
        <v>487655</v>
      </c>
      <c r="AZ178" s="408">
        <v>4400706</v>
      </c>
      <c r="BA178" s="408">
        <v>2921</v>
      </c>
      <c r="BB178" s="408">
        <v>36880</v>
      </c>
      <c r="BC178" s="408">
        <v>1105412</v>
      </c>
      <c r="BD178" s="408">
        <v>997021</v>
      </c>
      <c r="BE178" s="408">
        <v>6316</v>
      </c>
      <c r="BF178" s="408">
        <v>91005</v>
      </c>
      <c r="BG178" s="408">
        <v>5854887</v>
      </c>
      <c r="BH178" s="408">
        <v>397187</v>
      </c>
      <c r="BI178" s="408">
        <v>45464</v>
      </c>
      <c r="BJ178" s="408">
        <v>4933703</v>
      </c>
      <c r="BK178" s="408">
        <v>296558</v>
      </c>
      <c r="BL178" s="408">
        <v>403854</v>
      </c>
      <c r="BM178" s="408">
        <v>92248</v>
      </c>
      <c r="BN178" s="408">
        <v>71082</v>
      </c>
      <c r="BO178" s="408">
        <v>551867</v>
      </c>
      <c r="BP178" s="408">
        <v>162169</v>
      </c>
      <c r="BQ178" s="408">
        <v>1332565</v>
      </c>
      <c r="BR178" s="408">
        <v>29080457</v>
      </c>
      <c r="BS178" s="408">
        <v>821486</v>
      </c>
      <c r="BT178" s="408">
        <v>2147322</v>
      </c>
    </row>
    <row r="179" spans="1:72" s="408" customFormat="1" x14ac:dyDescent="0.3">
      <c r="A179" s="408">
        <v>529</v>
      </c>
      <c r="B179" s="409">
        <v>529</v>
      </c>
      <c r="C179" s="408">
        <v>529</v>
      </c>
      <c r="D179" s="408" t="s">
        <v>272</v>
      </c>
      <c r="E179" s="408" t="s">
        <v>496</v>
      </c>
      <c r="F179" s="408">
        <v>317546</v>
      </c>
      <c r="G179" s="408">
        <v>236080</v>
      </c>
      <c r="H179" s="408">
        <v>27269</v>
      </c>
      <c r="I179" s="408">
        <v>840181</v>
      </c>
      <c r="J179" s="408">
        <v>5529</v>
      </c>
      <c r="K179" s="408">
        <v>49858</v>
      </c>
      <c r="L179" s="408">
        <v>272250</v>
      </c>
      <c r="M179" s="408">
        <v>14169</v>
      </c>
      <c r="N179" s="408">
        <v>2692633</v>
      </c>
      <c r="O179" s="408">
        <v>0</v>
      </c>
      <c r="P179" s="408">
        <v>309315</v>
      </c>
      <c r="Q179" s="408">
        <v>102750</v>
      </c>
      <c r="R179" s="408">
        <v>1245290</v>
      </c>
      <c r="S179" s="408">
        <v>3104829</v>
      </c>
      <c r="T179" s="408">
        <v>0</v>
      </c>
      <c r="U179" s="408">
        <v>7195</v>
      </c>
      <c r="V179" s="408">
        <v>58204</v>
      </c>
      <c r="W179" s="408">
        <v>41806</v>
      </c>
      <c r="X179" s="408">
        <v>12254</v>
      </c>
      <c r="Y179" s="408">
        <v>9628</v>
      </c>
      <c r="Z179" s="408">
        <v>171044</v>
      </c>
      <c r="AA179" s="408">
        <v>0</v>
      </c>
      <c r="AB179" s="408">
        <v>0</v>
      </c>
      <c r="AC179" s="408">
        <v>17098</v>
      </c>
      <c r="AD179" s="408">
        <v>0</v>
      </c>
      <c r="AE179" s="408">
        <v>36107</v>
      </c>
      <c r="AF179" s="408">
        <v>3997</v>
      </c>
      <c r="AG179" s="408">
        <v>7920</v>
      </c>
      <c r="AH179" s="408">
        <v>2340</v>
      </c>
      <c r="AI179" s="408">
        <v>190805</v>
      </c>
      <c r="AJ179" s="408">
        <v>78675</v>
      </c>
      <c r="AK179" s="408">
        <v>57328</v>
      </c>
      <c r="AL179" s="408">
        <v>0</v>
      </c>
      <c r="AM179" s="408">
        <v>0</v>
      </c>
      <c r="AN179" s="408">
        <v>3274</v>
      </c>
      <c r="AO179" s="408">
        <v>145726</v>
      </c>
      <c r="AP179" s="408">
        <v>63240</v>
      </c>
      <c r="AQ179" s="408">
        <v>156787</v>
      </c>
      <c r="AR179" s="408">
        <v>12389</v>
      </c>
      <c r="AS179" s="408">
        <v>68711</v>
      </c>
      <c r="AT179" s="408">
        <v>37181</v>
      </c>
      <c r="AU179" s="408">
        <v>94175</v>
      </c>
      <c r="AV179" s="408">
        <v>69216</v>
      </c>
      <c r="AW179" s="408">
        <v>0</v>
      </c>
      <c r="AX179" s="408">
        <v>218540</v>
      </c>
      <c r="AY179" s="408">
        <v>74562</v>
      </c>
      <c r="AZ179" s="408">
        <v>91895</v>
      </c>
      <c r="BA179" s="408">
        <v>129</v>
      </c>
      <c r="BB179" s="408">
        <v>4796</v>
      </c>
      <c r="BC179" s="408">
        <v>134466</v>
      </c>
      <c r="BD179" s="408">
        <v>129363</v>
      </c>
      <c r="BE179" s="408">
        <v>665</v>
      </c>
      <c r="BF179" s="408">
        <v>20642</v>
      </c>
      <c r="BG179" s="408">
        <v>221626</v>
      </c>
      <c r="BH179" s="408">
        <v>44060</v>
      </c>
      <c r="BI179" s="408">
        <v>7342</v>
      </c>
      <c r="BJ179" s="408">
        <v>274799</v>
      </c>
      <c r="BK179" s="408">
        <v>15430</v>
      </c>
      <c r="BL179" s="408">
        <v>64740</v>
      </c>
      <c r="BM179" s="408">
        <v>12973</v>
      </c>
      <c r="BN179" s="408">
        <v>27912</v>
      </c>
      <c r="BO179" s="408">
        <v>37810</v>
      </c>
      <c r="BP179" s="408">
        <v>17005</v>
      </c>
      <c r="BQ179" s="408">
        <v>208394</v>
      </c>
      <c r="BR179" s="408">
        <v>2783043</v>
      </c>
      <c r="BS179" s="408">
        <v>65093</v>
      </c>
      <c r="BT179" s="408">
        <v>213022</v>
      </c>
    </row>
    <row r="180" spans="1:72" s="408" customFormat="1" x14ac:dyDescent="0.3">
      <c r="A180" s="408">
        <v>530</v>
      </c>
      <c r="B180" s="409">
        <v>530</v>
      </c>
      <c r="C180" s="408">
        <v>530</v>
      </c>
      <c r="D180" s="408" t="s">
        <v>273</v>
      </c>
      <c r="E180" s="408" t="s">
        <v>497</v>
      </c>
      <c r="F180" s="408">
        <v>17327</v>
      </c>
      <c r="G180" s="408">
        <v>82000</v>
      </c>
      <c r="H180" s="408">
        <v>1505</v>
      </c>
      <c r="I180" s="408">
        <v>163157</v>
      </c>
      <c r="J180" s="408">
        <v>2312</v>
      </c>
      <c r="K180" s="408">
        <v>44851</v>
      </c>
      <c r="L180" s="408">
        <v>4086</v>
      </c>
      <c r="M180" s="408">
        <v>23803</v>
      </c>
      <c r="N180" s="408">
        <v>42915</v>
      </c>
      <c r="O180" s="408">
        <v>0</v>
      </c>
      <c r="P180" s="408">
        <v>19195</v>
      </c>
      <c r="Q180" s="408">
        <v>1810</v>
      </c>
      <c r="R180" s="408">
        <v>95119</v>
      </c>
      <c r="S180" s="408">
        <v>229950</v>
      </c>
      <c r="T180" s="408">
        <v>0</v>
      </c>
      <c r="U180" s="408">
        <v>4495</v>
      </c>
      <c r="V180" s="408">
        <v>5072</v>
      </c>
      <c r="W180" s="408">
        <v>8515</v>
      </c>
      <c r="X180" s="408">
        <v>22297</v>
      </c>
      <c r="Y180" s="408">
        <v>0</v>
      </c>
      <c r="Z180" s="408">
        <v>23003</v>
      </c>
      <c r="AA180" s="408">
        <v>0</v>
      </c>
      <c r="AB180" s="408">
        <v>0</v>
      </c>
      <c r="AC180" s="408">
        <v>3479</v>
      </c>
      <c r="AD180" s="408">
        <v>38456</v>
      </c>
      <c r="AE180" s="408">
        <v>19537</v>
      </c>
      <c r="AF180" s="408">
        <v>2290</v>
      </c>
      <c r="AG180" s="408">
        <v>6389</v>
      </c>
      <c r="AH180" s="408">
        <v>265</v>
      </c>
      <c r="AI180" s="408">
        <v>96578</v>
      </c>
      <c r="AJ180" s="408">
        <v>48817</v>
      </c>
      <c r="AK180" s="408">
        <v>23336</v>
      </c>
      <c r="AL180" s="408">
        <v>0</v>
      </c>
      <c r="AM180" s="408">
        <v>0</v>
      </c>
      <c r="AN180" s="408">
        <v>1324</v>
      </c>
      <c r="AO180" s="408">
        <v>11594</v>
      </c>
      <c r="AP180" s="408">
        <v>5876</v>
      </c>
      <c r="AQ180" s="408">
        <v>40225</v>
      </c>
      <c r="AR180" s="408">
        <v>471</v>
      </c>
      <c r="AS180" s="408">
        <v>9629</v>
      </c>
      <c r="AT180" s="408">
        <v>13084</v>
      </c>
      <c r="AU180" s="408">
        <v>9081</v>
      </c>
      <c r="AV180" s="408">
        <v>27835</v>
      </c>
      <c r="AW180" s="408">
        <v>0</v>
      </c>
      <c r="AX180" s="408">
        <v>24544</v>
      </c>
      <c r="AY180" s="408">
        <v>59593</v>
      </c>
      <c r="AZ180" s="408">
        <v>61246</v>
      </c>
      <c r="BA180" s="408">
        <v>167</v>
      </c>
      <c r="BB180" s="408">
        <v>1910</v>
      </c>
      <c r="BC180" s="408">
        <v>26767</v>
      </c>
      <c r="BD180" s="408">
        <v>8075</v>
      </c>
      <c r="BE180" s="408">
        <v>144</v>
      </c>
      <c r="BF180" s="408">
        <v>1451</v>
      </c>
      <c r="BG180" s="408">
        <v>34699</v>
      </c>
      <c r="BH180" s="408">
        <v>12313</v>
      </c>
      <c r="BI180" s="408">
        <v>2150</v>
      </c>
      <c r="BJ180" s="408">
        <v>27213</v>
      </c>
      <c r="BK180" s="408">
        <v>14755</v>
      </c>
      <c r="BL180" s="408">
        <v>6459</v>
      </c>
      <c r="BM180" s="408">
        <v>7913</v>
      </c>
      <c r="BN180" s="408">
        <v>3118</v>
      </c>
      <c r="BO180" s="408">
        <v>35770</v>
      </c>
      <c r="BP180" s="408">
        <v>7634</v>
      </c>
      <c r="BQ180" s="408">
        <v>11539</v>
      </c>
      <c r="BR180" s="408">
        <v>550116</v>
      </c>
      <c r="BS180" s="408">
        <v>13536</v>
      </c>
      <c r="BT180" s="408">
        <v>19248</v>
      </c>
    </row>
    <row r="181" spans="1:72" s="408" customFormat="1" x14ac:dyDescent="0.3">
      <c r="A181" s="408">
        <v>531</v>
      </c>
      <c r="B181" s="409">
        <v>531</v>
      </c>
      <c r="C181" s="408">
        <v>531</v>
      </c>
      <c r="D181" s="408" t="s">
        <v>274</v>
      </c>
      <c r="E181" s="408" t="s">
        <v>498</v>
      </c>
      <c r="F181" s="408">
        <v>0</v>
      </c>
      <c r="G181" s="408">
        <v>0</v>
      </c>
      <c r="H181" s="408">
        <v>0</v>
      </c>
      <c r="I181" s="408">
        <v>11057</v>
      </c>
      <c r="J181" s="408">
        <v>0</v>
      </c>
      <c r="K181" s="408">
        <v>161</v>
      </c>
      <c r="L181" s="408">
        <v>0</v>
      </c>
      <c r="M181" s="408">
        <v>0</v>
      </c>
      <c r="N181" s="408">
        <v>21049</v>
      </c>
      <c r="O181" s="408">
        <v>0</v>
      </c>
      <c r="P181" s="408">
        <v>0</v>
      </c>
      <c r="Q181" s="408">
        <v>0</v>
      </c>
      <c r="R181" s="408">
        <v>5550</v>
      </c>
      <c r="S181" s="408">
        <v>0</v>
      </c>
      <c r="T181" s="408">
        <v>0</v>
      </c>
      <c r="U181" s="408">
        <v>0</v>
      </c>
      <c r="V181" s="408">
        <v>0</v>
      </c>
      <c r="W181" s="408">
        <v>0</v>
      </c>
      <c r="X181" s="408">
        <v>0</v>
      </c>
      <c r="Y181" s="408">
        <v>0</v>
      </c>
      <c r="Z181" s="408">
        <v>2435</v>
      </c>
      <c r="AA181" s="408">
        <v>0</v>
      </c>
      <c r="AB181" s="408">
        <v>0</v>
      </c>
      <c r="AC181" s="408">
        <v>0</v>
      </c>
      <c r="AD181" s="408">
        <v>0</v>
      </c>
      <c r="AE181" s="408">
        <v>0</v>
      </c>
      <c r="AF181" s="408">
        <v>0</v>
      </c>
      <c r="AG181" s="408">
        <v>0</v>
      </c>
      <c r="AH181" s="408">
        <v>0</v>
      </c>
      <c r="AI181" s="408">
        <v>0</v>
      </c>
      <c r="AJ181" s="408">
        <v>0</v>
      </c>
      <c r="AK181" s="408">
        <v>0</v>
      </c>
      <c r="AL181" s="408">
        <v>0</v>
      </c>
      <c r="AM181" s="408">
        <v>0</v>
      </c>
      <c r="AN181" s="408">
        <v>0</v>
      </c>
      <c r="AO181" s="408">
        <v>0</v>
      </c>
      <c r="AP181" s="408">
        <v>0</v>
      </c>
      <c r="AQ181" s="408">
        <v>919</v>
      </c>
      <c r="AR181" s="408">
        <v>0</v>
      </c>
      <c r="AS181" s="408">
        <v>0</v>
      </c>
      <c r="AT181" s="408">
        <v>0</v>
      </c>
      <c r="AU181" s="408">
        <v>11</v>
      </c>
      <c r="AV181" s="408">
        <v>0</v>
      </c>
      <c r="AW181" s="408">
        <v>0</v>
      </c>
      <c r="AX181" s="408">
        <v>0</v>
      </c>
      <c r="AY181" s="408">
        <v>0</v>
      </c>
      <c r="AZ181" s="408">
        <v>0</v>
      </c>
      <c r="BA181" s="408">
        <v>0</v>
      </c>
      <c r="BB181" s="408">
        <v>0</v>
      </c>
      <c r="BC181" s="408">
        <v>0</v>
      </c>
      <c r="BD181" s="408">
        <v>0</v>
      </c>
      <c r="BE181" s="408">
        <v>0</v>
      </c>
      <c r="BF181" s="408">
        <v>0</v>
      </c>
      <c r="BG181" s="408">
        <v>2024</v>
      </c>
      <c r="BH181" s="408">
        <v>0</v>
      </c>
      <c r="BI181" s="408">
        <v>0</v>
      </c>
      <c r="BJ181" s="408">
        <v>0</v>
      </c>
      <c r="BK181" s="408">
        <v>0</v>
      </c>
      <c r="BL181" s="408">
        <v>799</v>
      </c>
      <c r="BM181" s="408">
        <v>0</v>
      </c>
      <c r="BN181" s="408">
        <v>0</v>
      </c>
      <c r="BO181" s="408">
        <v>0</v>
      </c>
      <c r="BP181" s="408">
        <v>137</v>
      </c>
      <c r="BQ181" s="408">
        <v>0</v>
      </c>
      <c r="BR181" s="408">
        <v>28779</v>
      </c>
      <c r="BS181" s="408">
        <v>0</v>
      </c>
      <c r="BT181" s="408">
        <v>0</v>
      </c>
    </row>
    <row r="182" spans="1:72" s="408" customFormat="1" x14ac:dyDescent="0.3">
      <c r="A182" s="408">
        <v>532</v>
      </c>
      <c r="B182" s="409">
        <v>532</v>
      </c>
      <c r="C182" s="408">
        <v>532</v>
      </c>
      <c r="D182" s="408" t="s">
        <v>568</v>
      </c>
      <c r="E182" s="408" t="s">
        <v>499</v>
      </c>
      <c r="F182" s="408">
        <v>9296825</v>
      </c>
      <c r="G182" s="408">
        <v>4876235</v>
      </c>
      <c r="H182" s="408">
        <v>428782</v>
      </c>
      <c r="I182" s="408">
        <v>15684265</v>
      </c>
      <c r="J182" s="408">
        <v>110588</v>
      </c>
      <c r="K182" s="408">
        <v>1334395</v>
      </c>
      <c r="L182" s="408">
        <v>4304101</v>
      </c>
      <c r="M182" s="408">
        <v>429678</v>
      </c>
      <c r="N182" s="408">
        <v>61025003</v>
      </c>
      <c r="O182" s="408">
        <v>21297</v>
      </c>
      <c r="P182" s="408">
        <v>7821073</v>
      </c>
      <c r="Q182" s="408">
        <v>1115450</v>
      </c>
      <c r="R182" s="408">
        <v>30883310</v>
      </c>
      <c r="S182" s="408">
        <v>114636814</v>
      </c>
      <c r="T182" s="408">
        <v>0</v>
      </c>
      <c r="U182" s="408">
        <v>410399</v>
      </c>
      <c r="V182" s="408">
        <v>6997881</v>
      </c>
      <c r="W182" s="408">
        <v>832328</v>
      </c>
      <c r="X182" s="408">
        <v>472460</v>
      </c>
      <c r="Y182" s="408">
        <v>124863</v>
      </c>
      <c r="Z182" s="408">
        <v>5011623</v>
      </c>
      <c r="AA182" s="408">
        <v>0</v>
      </c>
      <c r="AB182" s="408">
        <v>0</v>
      </c>
      <c r="AC182" s="408">
        <v>404383</v>
      </c>
      <c r="AD182" s="408">
        <v>12042351</v>
      </c>
      <c r="AE182" s="408">
        <v>2155238</v>
      </c>
      <c r="AF182" s="408">
        <v>220881</v>
      </c>
      <c r="AG182" s="408">
        <v>230737</v>
      </c>
      <c r="AH182" s="408">
        <v>53771</v>
      </c>
      <c r="AI182" s="408">
        <v>10086421</v>
      </c>
      <c r="AJ182" s="408">
        <v>7235482</v>
      </c>
      <c r="AK182" s="408">
        <v>1645470</v>
      </c>
      <c r="AL182" s="408">
        <v>0</v>
      </c>
      <c r="AM182" s="408">
        <v>0</v>
      </c>
      <c r="AN182" s="408">
        <v>68418</v>
      </c>
      <c r="AO182" s="408">
        <v>4266292</v>
      </c>
      <c r="AP182" s="408">
        <v>1761617</v>
      </c>
      <c r="AQ182" s="408">
        <v>5053731</v>
      </c>
      <c r="AR182" s="408">
        <v>178437</v>
      </c>
      <c r="AS182" s="408">
        <v>827409</v>
      </c>
      <c r="AT182" s="408">
        <v>1071317</v>
      </c>
      <c r="AU182" s="408">
        <v>4535064</v>
      </c>
      <c r="AV182" s="408">
        <v>1845960</v>
      </c>
      <c r="AW182" s="408">
        <v>0</v>
      </c>
      <c r="AX182" s="408">
        <v>8722405</v>
      </c>
      <c r="AY182" s="408">
        <v>1318644</v>
      </c>
      <c r="AZ182" s="408">
        <v>9014937</v>
      </c>
      <c r="BA182" s="408">
        <v>41705</v>
      </c>
      <c r="BB182" s="408">
        <v>131017</v>
      </c>
      <c r="BC182" s="408">
        <v>6166902</v>
      </c>
      <c r="BD182" s="408">
        <v>2653293</v>
      </c>
      <c r="BE182" s="408">
        <v>294192</v>
      </c>
      <c r="BF182" s="408">
        <v>461896</v>
      </c>
      <c r="BG182" s="408">
        <v>16043426</v>
      </c>
      <c r="BH182" s="408">
        <v>685446</v>
      </c>
      <c r="BI182" s="408">
        <v>185557</v>
      </c>
      <c r="BJ182" s="408">
        <v>8637753</v>
      </c>
      <c r="BK182" s="408">
        <v>654543</v>
      </c>
      <c r="BL182" s="408">
        <v>945683</v>
      </c>
      <c r="BM182" s="408">
        <v>291753</v>
      </c>
      <c r="BN182" s="408">
        <v>391770</v>
      </c>
      <c r="BO182" s="408">
        <v>1766124</v>
      </c>
      <c r="BP182" s="408">
        <v>458356</v>
      </c>
      <c r="BQ182" s="408">
        <v>4893470</v>
      </c>
      <c r="BR182" s="408">
        <v>56832515</v>
      </c>
      <c r="BS182" s="408">
        <v>1921174</v>
      </c>
      <c r="BT182" s="408">
        <v>6259755</v>
      </c>
    </row>
    <row r="183" spans="1:72" s="408" customFormat="1" x14ac:dyDescent="0.3">
      <c r="A183" s="408">
        <v>533</v>
      </c>
      <c r="B183" s="409">
        <v>533</v>
      </c>
      <c r="C183" s="408">
        <v>533</v>
      </c>
      <c r="D183" s="408" t="s">
        <v>569</v>
      </c>
      <c r="E183" s="408" t="s">
        <v>500</v>
      </c>
      <c r="F183" s="408">
        <v>335132</v>
      </c>
      <c r="G183" s="408">
        <v>0</v>
      </c>
      <c r="H183" s="408">
        <v>0</v>
      </c>
      <c r="I183" s="408">
        <v>439885</v>
      </c>
      <c r="J183" s="408">
        <v>0</v>
      </c>
      <c r="K183" s="408">
        <v>0</v>
      </c>
      <c r="L183" s="408">
        <v>0</v>
      </c>
      <c r="M183" s="408">
        <v>0</v>
      </c>
      <c r="N183" s="408">
        <v>2954826</v>
      </c>
      <c r="O183" s="408">
        <v>0</v>
      </c>
      <c r="P183" s="408">
        <v>0</v>
      </c>
      <c r="Q183" s="408">
        <v>0</v>
      </c>
      <c r="R183" s="408">
        <v>921938</v>
      </c>
      <c r="S183" s="408">
        <v>22445994</v>
      </c>
      <c r="T183" s="408">
        <v>0</v>
      </c>
      <c r="U183" s="408">
        <v>0</v>
      </c>
      <c r="V183" s="408">
        <v>0</v>
      </c>
      <c r="W183" s="408">
        <v>0</v>
      </c>
      <c r="X183" s="408">
        <v>0</v>
      </c>
      <c r="Y183" s="408">
        <v>0</v>
      </c>
      <c r="Z183" s="408">
        <v>0</v>
      </c>
      <c r="AA183" s="408">
        <v>0</v>
      </c>
      <c r="AB183" s="408">
        <v>0</v>
      </c>
      <c r="AC183" s="408">
        <v>0</v>
      </c>
      <c r="AD183" s="408">
        <v>0</v>
      </c>
      <c r="AE183" s="408">
        <v>100000</v>
      </c>
      <c r="AF183" s="408">
        <v>0</v>
      </c>
      <c r="AG183" s="408">
        <v>0</v>
      </c>
      <c r="AH183" s="408">
        <v>0</v>
      </c>
      <c r="AI183" s="408">
        <v>1026596</v>
      </c>
      <c r="AJ183" s="408">
        <v>0</v>
      </c>
      <c r="AK183" s="408">
        <v>0</v>
      </c>
      <c r="AL183" s="408">
        <v>0</v>
      </c>
      <c r="AM183" s="408">
        <v>0</v>
      </c>
      <c r="AN183" s="408">
        <v>0</v>
      </c>
      <c r="AO183" s="408">
        <v>225576</v>
      </c>
      <c r="AP183" s="408">
        <v>0</v>
      </c>
      <c r="AQ183" s="408">
        <v>590000</v>
      </c>
      <c r="AR183" s="408">
        <v>0</v>
      </c>
      <c r="AS183" s="408">
        <v>0</v>
      </c>
      <c r="AT183" s="408">
        <v>0</v>
      </c>
      <c r="AU183" s="408">
        <v>85005</v>
      </c>
      <c r="AV183" s="408">
        <v>0</v>
      </c>
      <c r="AW183" s="408">
        <v>0</v>
      </c>
      <c r="AX183" s="408">
        <v>43270</v>
      </c>
      <c r="AY183" s="408">
        <v>123514</v>
      </c>
      <c r="AZ183" s="408">
        <v>201000</v>
      </c>
      <c r="BA183" s="408">
        <v>130000</v>
      </c>
      <c r="BB183" s="408">
        <v>0</v>
      </c>
      <c r="BC183" s="408">
        <v>0</v>
      </c>
      <c r="BD183" s="408">
        <v>0</v>
      </c>
      <c r="BE183" s="408">
        <v>0</v>
      </c>
      <c r="BF183" s="408">
        <v>0</v>
      </c>
      <c r="BG183" s="408">
        <v>601050</v>
      </c>
      <c r="BH183" s="408">
        <v>0</v>
      </c>
      <c r="BI183" s="408">
        <v>0</v>
      </c>
      <c r="BJ183" s="408">
        <v>395113</v>
      </c>
      <c r="BK183" s="408">
        <v>0</v>
      </c>
      <c r="BL183" s="408">
        <v>24352</v>
      </c>
      <c r="BM183" s="408">
        <v>0</v>
      </c>
      <c r="BN183" s="408">
        <v>0</v>
      </c>
      <c r="BO183" s="408">
        <v>0</v>
      </c>
      <c r="BP183" s="408">
        <v>0</v>
      </c>
      <c r="BQ183" s="408">
        <v>298582</v>
      </c>
      <c r="BR183" s="408">
        <v>1900272</v>
      </c>
      <c r="BS183" s="408">
        <v>0</v>
      </c>
      <c r="BT183" s="408">
        <v>0</v>
      </c>
    </row>
    <row r="184" spans="1:72" s="408" customFormat="1" x14ac:dyDescent="0.3">
      <c r="A184" s="408">
        <v>534</v>
      </c>
      <c r="B184" s="409"/>
      <c r="C184" s="408">
        <v>534</v>
      </c>
      <c r="D184" s="408" t="s">
        <v>275</v>
      </c>
      <c r="E184" s="408" t="s">
        <v>501</v>
      </c>
    </row>
    <row r="185" spans="1:72" s="408" customFormat="1" x14ac:dyDescent="0.3">
      <c r="A185" s="408">
        <v>535</v>
      </c>
      <c r="B185" s="409">
        <v>535</v>
      </c>
      <c r="C185" s="408">
        <v>535</v>
      </c>
      <c r="D185" s="408" t="s">
        <v>253</v>
      </c>
      <c r="E185" s="408" t="s">
        <v>502</v>
      </c>
      <c r="F185" s="408">
        <v>0</v>
      </c>
      <c r="G185" s="408">
        <v>0</v>
      </c>
      <c r="H185" s="408">
        <v>0</v>
      </c>
      <c r="I185" s="408">
        <v>0</v>
      </c>
      <c r="J185" s="408">
        <v>0</v>
      </c>
      <c r="K185" s="408">
        <v>0</v>
      </c>
      <c r="L185" s="408">
        <v>0</v>
      </c>
      <c r="M185" s="408">
        <v>0</v>
      </c>
      <c r="N185" s="408">
        <v>52861674</v>
      </c>
      <c r="O185" s="408">
        <v>0</v>
      </c>
      <c r="P185" s="408">
        <v>0</v>
      </c>
      <c r="Q185" s="408">
        <v>0</v>
      </c>
      <c r="R185" s="408">
        <v>125833</v>
      </c>
      <c r="S185" s="408">
        <v>0</v>
      </c>
      <c r="T185" s="408">
        <v>0</v>
      </c>
      <c r="U185" s="408">
        <v>0</v>
      </c>
      <c r="V185" s="408">
        <v>0</v>
      </c>
      <c r="W185" s="408">
        <v>0</v>
      </c>
      <c r="X185" s="408">
        <v>0</v>
      </c>
      <c r="Y185" s="408">
        <v>0</v>
      </c>
      <c r="Z185" s="408">
        <v>0</v>
      </c>
      <c r="AA185" s="408">
        <v>0</v>
      </c>
      <c r="AB185" s="408">
        <v>0</v>
      </c>
      <c r="AC185" s="408">
        <v>0</v>
      </c>
      <c r="AD185" s="408">
        <v>0</v>
      </c>
      <c r="AE185" s="408">
        <v>0</v>
      </c>
      <c r="AF185" s="408">
        <v>0</v>
      </c>
      <c r="AG185" s="408">
        <v>0</v>
      </c>
      <c r="AH185" s="408">
        <v>0</v>
      </c>
      <c r="AI185" s="408">
        <v>3669176</v>
      </c>
      <c r="AJ185" s="408">
        <v>0</v>
      </c>
      <c r="AK185" s="408">
        <v>0</v>
      </c>
      <c r="AL185" s="408">
        <v>0</v>
      </c>
      <c r="AM185" s="408">
        <v>0</v>
      </c>
      <c r="AN185" s="408">
        <v>1</v>
      </c>
      <c r="AO185" s="408">
        <v>0</v>
      </c>
      <c r="AP185" s="408">
        <v>0</v>
      </c>
      <c r="AQ185" s="408">
        <v>0</v>
      </c>
      <c r="AR185" s="408">
        <v>0</v>
      </c>
      <c r="AS185" s="408">
        <v>0</v>
      </c>
      <c r="AT185" s="408">
        <v>0</v>
      </c>
      <c r="AU185" s="408">
        <v>0</v>
      </c>
      <c r="AV185" s="408">
        <v>0</v>
      </c>
      <c r="AW185" s="408">
        <v>0</v>
      </c>
      <c r="AX185" s="408">
        <v>0</v>
      </c>
      <c r="AY185" s="408">
        <v>0</v>
      </c>
      <c r="AZ185" s="408">
        <v>5347108</v>
      </c>
      <c r="BA185" s="408">
        <v>0</v>
      </c>
      <c r="BB185" s="408">
        <v>0</v>
      </c>
      <c r="BC185" s="408">
        <v>0</v>
      </c>
      <c r="BD185" s="408">
        <v>1</v>
      </c>
      <c r="BE185" s="408">
        <v>0</v>
      </c>
      <c r="BF185" s="408">
        <v>0</v>
      </c>
      <c r="BG185" s="408">
        <v>0</v>
      </c>
      <c r="BH185" s="408">
        <v>0</v>
      </c>
      <c r="BI185" s="408">
        <v>0</v>
      </c>
      <c r="BJ185" s="408">
        <v>285572</v>
      </c>
      <c r="BK185" s="408">
        <v>0</v>
      </c>
      <c r="BL185" s="408">
        <v>0</v>
      </c>
      <c r="BM185" s="408">
        <v>0</v>
      </c>
      <c r="BN185" s="408">
        <v>0</v>
      </c>
      <c r="BO185" s="408">
        <v>0</v>
      </c>
      <c r="BP185" s="408">
        <v>0</v>
      </c>
      <c r="BQ185" s="408">
        <v>0</v>
      </c>
      <c r="BR185" s="408">
        <v>0</v>
      </c>
      <c r="BS185" s="408">
        <v>1600000</v>
      </c>
      <c r="BT185" s="408">
        <v>0</v>
      </c>
    </row>
    <row r="186" spans="1:72" s="408" customFormat="1" x14ac:dyDescent="0.3">
      <c r="A186" s="408">
        <v>536</v>
      </c>
      <c r="B186" s="409">
        <v>536</v>
      </c>
      <c r="C186" s="408">
        <v>536</v>
      </c>
      <c r="D186" s="408" t="s">
        <v>199</v>
      </c>
      <c r="E186" s="408" t="s">
        <v>503</v>
      </c>
      <c r="F186" s="408">
        <v>687898</v>
      </c>
      <c r="G186" s="408">
        <v>323466</v>
      </c>
      <c r="H186" s="408">
        <v>0</v>
      </c>
      <c r="I186" s="408">
        <v>158247</v>
      </c>
      <c r="J186" s="408">
        <v>25527</v>
      </c>
      <c r="K186" s="408">
        <v>369598</v>
      </c>
      <c r="L186" s="408">
        <v>101413</v>
      </c>
      <c r="M186" s="408">
        <v>103700</v>
      </c>
      <c r="N186" s="408">
        <v>1014454</v>
      </c>
      <c r="O186" s="408">
        <v>0</v>
      </c>
      <c r="P186" s="408">
        <v>1244464</v>
      </c>
      <c r="Q186" s="408">
        <v>0</v>
      </c>
      <c r="R186" s="408">
        <v>707724</v>
      </c>
      <c r="S186" s="408">
        <v>841795</v>
      </c>
      <c r="T186" s="408">
        <v>0</v>
      </c>
      <c r="U186" s="408">
        <v>8894</v>
      </c>
      <c r="V186" s="408">
        <v>326125</v>
      </c>
      <c r="W186" s="408">
        <v>71312</v>
      </c>
      <c r="X186" s="408">
        <v>71700</v>
      </c>
      <c r="Y186" s="408">
        <v>0</v>
      </c>
      <c r="Z186" s="408">
        <v>236112</v>
      </c>
      <c r="AA186" s="408">
        <v>0</v>
      </c>
      <c r="AB186" s="408">
        <v>0</v>
      </c>
      <c r="AC186" s="408">
        <v>187635</v>
      </c>
      <c r="AD186" s="408">
        <v>159167</v>
      </c>
      <c r="AE186" s="408">
        <v>0</v>
      </c>
      <c r="AF186" s="408">
        <v>0</v>
      </c>
      <c r="AG186" s="408">
        <v>62115</v>
      </c>
      <c r="AH186" s="408">
        <v>10165</v>
      </c>
      <c r="AI186" s="408">
        <v>20440</v>
      </c>
      <c r="AJ186" s="408">
        <v>0</v>
      </c>
      <c r="AK186" s="408">
        <v>244346</v>
      </c>
      <c r="AL186" s="408">
        <v>0</v>
      </c>
      <c r="AM186" s="408">
        <v>0</v>
      </c>
      <c r="AN186" s="408">
        <v>0</v>
      </c>
      <c r="AO186" s="408">
        <v>77166</v>
      </c>
      <c r="AP186" s="408">
        <v>310334</v>
      </c>
      <c r="AQ186" s="408">
        <v>247563</v>
      </c>
      <c r="AR186" s="408">
        <v>118213</v>
      </c>
      <c r="AS186" s="408">
        <v>46116</v>
      </c>
      <c r="AT186" s="408">
        <v>501</v>
      </c>
      <c r="AU186" s="408">
        <v>0</v>
      </c>
      <c r="AV186" s="408">
        <v>52013</v>
      </c>
      <c r="AW186" s="408">
        <v>0</v>
      </c>
      <c r="AX186" s="408">
        <v>457106</v>
      </c>
      <c r="AY186" s="408">
        <v>51755</v>
      </c>
      <c r="AZ186" s="408">
        <v>255551</v>
      </c>
      <c r="BA186" s="408">
        <v>150834</v>
      </c>
      <c r="BB186" s="408">
        <v>28000</v>
      </c>
      <c r="BC186" s="408">
        <v>626736</v>
      </c>
      <c r="BD186" s="408">
        <v>640453</v>
      </c>
      <c r="BE186" s="408">
        <v>16966</v>
      </c>
      <c r="BF186" s="408">
        <v>37817</v>
      </c>
      <c r="BG186" s="408">
        <v>409725</v>
      </c>
      <c r="BH186" s="408">
        <v>41294</v>
      </c>
      <c r="BI186" s="408">
        <v>52055</v>
      </c>
      <c r="BJ186" s="408">
        <v>370746</v>
      </c>
      <c r="BK186" s="408">
        <v>15488</v>
      </c>
      <c r="BL186" s="408">
        <v>249021</v>
      </c>
      <c r="BM186" s="408">
        <v>9874</v>
      </c>
      <c r="BN186" s="408">
        <v>22113</v>
      </c>
      <c r="BO186" s="408">
        <v>67915</v>
      </c>
      <c r="BP186" s="408">
        <v>81194</v>
      </c>
      <c r="BQ186" s="408">
        <v>0</v>
      </c>
      <c r="BR186" s="408">
        <v>4053965</v>
      </c>
      <c r="BS186" s="408">
        <v>79245</v>
      </c>
      <c r="BT186" s="408">
        <v>532849</v>
      </c>
    </row>
    <row r="187" spans="1:72" s="408" customFormat="1" x14ac:dyDescent="0.3">
      <c r="A187" s="408">
        <v>537</v>
      </c>
      <c r="B187" s="409">
        <v>537</v>
      </c>
      <c r="C187" s="408">
        <v>537</v>
      </c>
      <c r="D187" s="408" t="s">
        <v>295</v>
      </c>
      <c r="E187" s="408" t="s">
        <v>504</v>
      </c>
      <c r="F187" s="408">
        <v>1</v>
      </c>
      <c r="G187" s="408">
        <v>2</v>
      </c>
      <c r="H187" s="408">
        <v>2</v>
      </c>
      <c r="I187" s="408">
        <v>1</v>
      </c>
      <c r="J187" s="408">
        <v>2</v>
      </c>
      <c r="K187" s="408">
        <v>2</v>
      </c>
      <c r="L187" s="408">
        <v>2</v>
      </c>
      <c r="M187" s="408">
        <v>2</v>
      </c>
      <c r="N187" s="408">
        <v>1</v>
      </c>
      <c r="O187" s="408">
        <v>2</v>
      </c>
      <c r="P187" s="408">
        <v>1</v>
      </c>
      <c r="Q187" s="408">
        <v>2</v>
      </c>
      <c r="R187" s="408">
        <v>2</v>
      </c>
      <c r="S187" s="408">
        <v>1</v>
      </c>
      <c r="T187" s="408">
        <v>0</v>
      </c>
      <c r="U187" s="408">
        <v>2</v>
      </c>
      <c r="V187" s="408">
        <v>2</v>
      </c>
      <c r="W187" s="408">
        <v>2</v>
      </c>
      <c r="X187" s="408">
        <v>2</v>
      </c>
      <c r="Y187" s="408">
        <v>2</v>
      </c>
      <c r="Z187" s="408">
        <v>2</v>
      </c>
      <c r="AA187" s="408">
        <v>0</v>
      </c>
      <c r="AB187" s="408">
        <v>0</v>
      </c>
      <c r="AC187" s="408">
        <v>2</v>
      </c>
      <c r="AD187" s="408">
        <v>1</v>
      </c>
      <c r="AE187" s="408">
        <v>1</v>
      </c>
      <c r="AF187" s="408">
        <v>2</v>
      </c>
      <c r="AG187" s="408">
        <v>2</v>
      </c>
      <c r="AH187" s="408">
        <v>2</v>
      </c>
      <c r="AI187" s="408">
        <v>2</v>
      </c>
      <c r="AJ187" s="408">
        <v>2</v>
      </c>
      <c r="AK187" s="408">
        <v>2</v>
      </c>
      <c r="AL187" s="408">
        <v>0</v>
      </c>
      <c r="AM187" s="408">
        <v>0</v>
      </c>
      <c r="AN187" s="408">
        <v>2</v>
      </c>
      <c r="AO187" s="408">
        <v>2</v>
      </c>
      <c r="AP187" s="408">
        <v>2</v>
      </c>
      <c r="AQ187" s="408">
        <v>2</v>
      </c>
      <c r="AR187" s="408">
        <v>2</v>
      </c>
      <c r="AS187" s="408">
        <v>2</v>
      </c>
      <c r="AT187" s="408">
        <v>1</v>
      </c>
      <c r="AU187" s="408">
        <v>1</v>
      </c>
      <c r="AV187" s="408">
        <v>2</v>
      </c>
      <c r="AW187" s="408">
        <v>0</v>
      </c>
      <c r="AX187" s="408">
        <v>1</v>
      </c>
      <c r="AY187" s="408">
        <v>1</v>
      </c>
      <c r="AZ187" s="408">
        <v>1</v>
      </c>
      <c r="BA187" s="408">
        <v>2</v>
      </c>
      <c r="BB187" s="408">
        <v>2</v>
      </c>
      <c r="BC187" s="408">
        <v>2</v>
      </c>
      <c r="BD187" s="408">
        <v>2</v>
      </c>
      <c r="BE187" s="408">
        <v>2</v>
      </c>
      <c r="BF187" s="408">
        <v>2</v>
      </c>
      <c r="BG187" s="408">
        <v>2</v>
      </c>
      <c r="BH187" s="408">
        <v>2</v>
      </c>
      <c r="BI187" s="408">
        <v>2</v>
      </c>
      <c r="BJ187" s="408">
        <v>1</v>
      </c>
      <c r="BK187" s="408">
        <v>2</v>
      </c>
      <c r="BL187" s="408">
        <v>2</v>
      </c>
      <c r="BM187" s="408">
        <v>2</v>
      </c>
      <c r="BN187" s="408">
        <v>2</v>
      </c>
      <c r="BO187" s="408">
        <v>1</v>
      </c>
      <c r="BP187" s="408">
        <v>2</v>
      </c>
      <c r="BQ187" s="408">
        <v>2</v>
      </c>
      <c r="BR187" s="408">
        <v>1</v>
      </c>
      <c r="BS187" s="408">
        <v>2</v>
      </c>
      <c r="BT187" s="408">
        <v>2</v>
      </c>
    </row>
    <row r="188" spans="1:72" s="408" customFormat="1" x14ac:dyDescent="0.3">
      <c r="A188" s="408">
        <v>538</v>
      </c>
      <c r="B188" s="409">
        <v>538</v>
      </c>
      <c r="C188" s="408">
        <v>538</v>
      </c>
      <c r="D188" s="408" t="s">
        <v>294</v>
      </c>
      <c r="E188" s="408" t="s">
        <v>505</v>
      </c>
      <c r="F188" s="408">
        <v>1</v>
      </c>
      <c r="G188" s="408">
        <v>2</v>
      </c>
      <c r="H188" s="408">
        <v>2</v>
      </c>
      <c r="I188" s="408">
        <v>1</v>
      </c>
      <c r="J188" s="408">
        <v>2</v>
      </c>
      <c r="K188" s="408">
        <v>2</v>
      </c>
      <c r="L188" s="408">
        <v>2</v>
      </c>
      <c r="M188" s="408">
        <v>2</v>
      </c>
      <c r="N188" s="408">
        <v>2</v>
      </c>
      <c r="O188" s="408">
        <v>2</v>
      </c>
      <c r="P188" s="408">
        <v>1</v>
      </c>
      <c r="Q188" s="408">
        <v>2</v>
      </c>
      <c r="R188" s="408">
        <v>2</v>
      </c>
      <c r="S188" s="408">
        <v>2</v>
      </c>
      <c r="T188" s="408">
        <v>0</v>
      </c>
      <c r="U188" s="408">
        <v>2</v>
      </c>
      <c r="V188" s="408">
        <v>2</v>
      </c>
      <c r="W188" s="408">
        <v>2</v>
      </c>
      <c r="X188" s="408">
        <v>2</v>
      </c>
      <c r="Y188" s="408">
        <v>2</v>
      </c>
      <c r="Z188" s="408">
        <v>2</v>
      </c>
      <c r="AA188" s="408">
        <v>0</v>
      </c>
      <c r="AB188" s="408">
        <v>0</v>
      </c>
      <c r="AC188" s="408">
        <v>2</v>
      </c>
      <c r="AD188" s="408">
        <v>1</v>
      </c>
      <c r="AE188" s="408">
        <v>1</v>
      </c>
      <c r="AF188" s="408">
        <v>2</v>
      </c>
      <c r="AG188" s="408">
        <v>2</v>
      </c>
      <c r="AH188" s="408">
        <v>2</v>
      </c>
      <c r="AI188" s="408">
        <v>2</v>
      </c>
      <c r="AJ188" s="408">
        <v>1</v>
      </c>
      <c r="AK188" s="408">
        <v>2</v>
      </c>
      <c r="AL188" s="408">
        <v>0</v>
      </c>
      <c r="AM188" s="408">
        <v>0</v>
      </c>
      <c r="AN188" s="408">
        <v>2</v>
      </c>
      <c r="AO188" s="408">
        <v>2</v>
      </c>
      <c r="AP188" s="408">
        <v>2</v>
      </c>
      <c r="AQ188" s="408">
        <v>2</v>
      </c>
      <c r="AR188" s="408">
        <v>2</v>
      </c>
      <c r="AS188" s="408">
        <v>2</v>
      </c>
      <c r="AT188" s="408">
        <v>1</v>
      </c>
      <c r="AU188" s="408">
        <v>2</v>
      </c>
      <c r="AV188" s="408">
        <v>2</v>
      </c>
      <c r="AW188" s="408">
        <v>0</v>
      </c>
      <c r="AX188" s="408">
        <v>2</v>
      </c>
      <c r="AY188" s="408">
        <v>2</v>
      </c>
      <c r="AZ188" s="408">
        <v>1</v>
      </c>
      <c r="BA188" s="408">
        <v>2</v>
      </c>
      <c r="BB188" s="408">
        <v>2</v>
      </c>
      <c r="BC188" s="408">
        <v>2</v>
      </c>
      <c r="BD188" s="408">
        <v>2</v>
      </c>
      <c r="BE188" s="408">
        <v>2</v>
      </c>
      <c r="BF188" s="408">
        <v>1</v>
      </c>
      <c r="BG188" s="408">
        <v>2</v>
      </c>
      <c r="BH188" s="408">
        <v>2</v>
      </c>
      <c r="BI188" s="408">
        <v>2</v>
      </c>
      <c r="BJ188" s="408">
        <v>1</v>
      </c>
      <c r="BK188" s="408">
        <v>2</v>
      </c>
      <c r="BL188" s="408">
        <v>2</v>
      </c>
      <c r="BM188" s="408">
        <v>2</v>
      </c>
      <c r="BN188" s="408">
        <v>2</v>
      </c>
      <c r="BO188" s="408">
        <v>1</v>
      </c>
      <c r="BP188" s="408">
        <v>2</v>
      </c>
      <c r="BQ188" s="408">
        <v>2</v>
      </c>
      <c r="BR188" s="408">
        <v>1</v>
      </c>
      <c r="BS188" s="408">
        <v>2</v>
      </c>
      <c r="BT188" s="408">
        <v>2</v>
      </c>
    </row>
    <row r="189" spans="1:72" s="408" customFormat="1" x14ac:dyDescent="0.3">
      <c r="A189" s="408">
        <v>539</v>
      </c>
      <c r="B189" s="409"/>
      <c r="C189" s="408">
        <v>539</v>
      </c>
      <c r="D189" s="408" t="s">
        <v>1755</v>
      </c>
      <c r="E189" s="408" t="s">
        <v>506</v>
      </c>
    </row>
    <row r="190" spans="1:72" s="408" customFormat="1" x14ac:dyDescent="0.3">
      <c r="A190" s="408">
        <v>540</v>
      </c>
      <c r="B190" s="409">
        <v>540</v>
      </c>
      <c r="C190" s="408">
        <v>540</v>
      </c>
      <c r="D190" s="408" t="s">
        <v>267</v>
      </c>
      <c r="E190" s="408" t="s">
        <v>507</v>
      </c>
      <c r="F190" s="408">
        <v>81823</v>
      </c>
      <c r="G190" s="408">
        <v>0</v>
      </c>
      <c r="H190" s="408">
        <v>504732</v>
      </c>
      <c r="I190" s="408">
        <v>543785</v>
      </c>
      <c r="J190" s="408">
        <v>0</v>
      </c>
      <c r="K190" s="408">
        <v>0</v>
      </c>
      <c r="L190" s="408">
        <v>0</v>
      </c>
      <c r="M190" s="408">
        <v>0</v>
      </c>
      <c r="N190" s="408">
        <v>2370000</v>
      </c>
      <c r="O190" s="408">
        <v>0</v>
      </c>
      <c r="P190" s="408">
        <v>1514072</v>
      </c>
      <c r="Q190" s="408">
        <v>0</v>
      </c>
      <c r="R190" s="408">
        <v>2311236</v>
      </c>
      <c r="S190" s="408">
        <v>1627173</v>
      </c>
      <c r="T190" s="408">
        <v>0</v>
      </c>
      <c r="U190" s="408">
        <v>0</v>
      </c>
      <c r="V190" s="408">
        <v>0</v>
      </c>
      <c r="W190" s="408">
        <v>0</v>
      </c>
      <c r="X190" s="408">
        <v>0</v>
      </c>
      <c r="Y190" s="408">
        <v>0</v>
      </c>
      <c r="Z190" s="408">
        <v>59627</v>
      </c>
      <c r="AA190" s="408">
        <v>0</v>
      </c>
      <c r="AB190" s="408">
        <v>0</v>
      </c>
      <c r="AC190" s="408">
        <v>0</v>
      </c>
      <c r="AD190" s="408">
        <v>362969</v>
      </c>
      <c r="AE190" s="408">
        <v>434820</v>
      </c>
      <c r="AF190" s="408">
        <v>0</v>
      </c>
      <c r="AG190" s="408">
        <v>0</v>
      </c>
      <c r="AH190" s="408">
        <v>9085</v>
      </c>
      <c r="AI190" s="408">
        <v>0</v>
      </c>
      <c r="AJ190" s="408">
        <v>1531254</v>
      </c>
      <c r="AK190" s="408">
        <v>0</v>
      </c>
      <c r="AL190" s="408">
        <v>0</v>
      </c>
      <c r="AM190" s="408">
        <v>0</v>
      </c>
      <c r="AN190" s="408">
        <v>0</v>
      </c>
      <c r="AO190" s="408">
        <v>0</v>
      </c>
      <c r="AP190" s="408">
        <v>0</v>
      </c>
      <c r="AQ190" s="408">
        <v>0</v>
      </c>
      <c r="AR190" s="408">
        <v>0</v>
      </c>
      <c r="AS190" s="408">
        <v>0</v>
      </c>
      <c r="AT190" s="408">
        <v>160000</v>
      </c>
      <c r="AU190" s="408">
        <v>0</v>
      </c>
      <c r="AV190" s="408">
        <v>0</v>
      </c>
      <c r="AW190" s="408">
        <v>0</v>
      </c>
      <c r="AX190" s="408">
        <v>0</v>
      </c>
      <c r="AY190" s="408">
        <v>409846</v>
      </c>
      <c r="AZ190" s="408">
        <v>228000</v>
      </c>
      <c r="BA190" s="408">
        <v>0</v>
      </c>
      <c r="BB190" s="408">
        <v>14975</v>
      </c>
      <c r="BC190" s="408">
        <v>0</v>
      </c>
      <c r="BD190" s="408">
        <v>0</v>
      </c>
      <c r="BE190" s="408">
        <v>0</v>
      </c>
      <c r="BF190" s="408">
        <v>38000</v>
      </c>
      <c r="BG190" s="408">
        <v>1387154</v>
      </c>
      <c r="BH190" s="408">
        <v>0</v>
      </c>
      <c r="BI190" s="408">
        <v>0</v>
      </c>
      <c r="BJ190" s="408">
        <v>603707</v>
      </c>
      <c r="BK190" s="408">
        <v>0</v>
      </c>
      <c r="BL190" s="408">
        <v>0</v>
      </c>
      <c r="BM190" s="408">
        <v>0</v>
      </c>
      <c r="BN190" s="408">
        <v>59002</v>
      </c>
      <c r="BO190" s="408">
        <v>0</v>
      </c>
      <c r="BP190" s="408">
        <v>0</v>
      </c>
      <c r="BQ190" s="408">
        <v>0</v>
      </c>
      <c r="BR190" s="408">
        <v>1636986</v>
      </c>
      <c r="BS190" s="408">
        <v>0</v>
      </c>
      <c r="BT190" s="408">
        <v>369159</v>
      </c>
    </row>
    <row r="191" spans="1:72" s="408" customFormat="1" x14ac:dyDescent="0.3">
      <c r="A191" s="408">
        <v>541</v>
      </c>
      <c r="B191" s="409">
        <v>541</v>
      </c>
      <c r="C191" s="408">
        <v>541</v>
      </c>
      <c r="D191" s="408" t="s">
        <v>555</v>
      </c>
      <c r="E191" s="408" t="s">
        <v>508</v>
      </c>
      <c r="F191" s="408">
        <v>488934</v>
      </c>
      <c r="G191" s="408">
        <v>271442</v>
      </c>
      <c r="H191" s="408">
        <v>-33619</v>
      </c>
      <c r="I191" s="408">
        <v>1442786</v>
      </c>
      <c r="J191" s="408">
        <v>0</v>
      </c>
      <c r="K191" s="408">
        <v>-164044</v>
      </c>
      <c r="L191" s="408">
        <v>41893</v>
      </c>
      <c r="M191" s="408">
        <v>-6745</v>
      </c>
      <c r="N191" s="408">
        <v>2772051</v>
      </c>
      <c r="O191" s="408">
        <v>0</v>
      </c>
      <c r="P191" s="408">
        <v>704736</v>
      </c>
      <c r="Q191" s="408">
        <v>0</v>
      </c>
      <c r="R191" s="408">
        <v>-836336</v>
      </c>
      <c r="S191" s="408">
        <v>13647051</v>
      </c>
      <c r="T191" s="408">
        <v>0</v>
      </c>
      <c r="U191" s="408">
        <v>3117</v>
      </c>
      <c r="V191" s="408">
        <v>399931</v>
      </c>
      <c r="W191" s="408">
        <v>83524</v>
      </c>
      <c r="X191" s="408">
        <v>15013</v>
      </c>
      <c r="Y191" s="408">
        <v>-13789</v>
      </c>
      <c r="Z191" s="408">
        <v>46841</v>
      </c>
      <c r="AA191" s="408">
        <v>0</v>
      </c>
      <c r="AB191" s="408">
        <v>0</v>
      </c>
      <c r="AC191" s="408">
        <v>-58127</v>
      </c>
      <c r="AD191" s="408">
        <v>-193141</v>
      </c>
      <c r="AE191" s="408">
        <v>283380</v>
      </c>
      <c r="AF191" s="408">
        <v>-18410</v>
      </c>
      <c r="AG191" s="408">
        <v>0</v>
      </c>
      <c r="AH191" s="408">
        <v>0</v>
      </c>
      <c r="AI191" s="408">
        <v>1157767</v>
      </c>
      <c r="AJ191" s="408">
        <v>111975</v>
      </c>
      <c r="AK191" s="408">
        <v>-55849</v>
      </c>
      <c r="AL191" s="408">
        <v>0</v>
      </c>
      <c r="AM191" s="408">
        <v>0</v>
      </c>
      <c r="AN191" s="408">
        <v>0</v>
      </c>
      <c r="AO191" s="408">
        <v>-472476</v>
      </c>
      <c r="AP191" s="408">
        <v>314211</v>
      </c>
      <c r="AQ191" s="408">
        <v>296452</v>
      </c>
      <c r="AR191" s="408">
        <v>0</v>
      </c>
      <c r="AS191" s="408">
        <v>70385</v>
      </c>
      <c r="AT191" s="408">
        <v>47577</v>
      </c>
      <c r="AU191" s="408">
        <v>142112</v>
      </c>
      <c r="AV191" s="408">
        <v>-260676</v>
      </c>
      <c r="AW191" s="408">
        <v>0</v>
      </c>
      <c r="AX191" s="408">
        <v>171390</v>
      </c>
      <c r="AY191" s="408">
        <v>158507</v>
      </c>
      <c r="AZ191" s="408">
        <v>-12428</v>
      </c>
      <c r="BA191" s="408">
        <v>-20234</v>
      </c>
      <c r="BB191" s="408">
        <v>0</v>
      </c>
      <c r="BC191" s="408">
        <v>0</v>
      </c>
      <c r="BD191" s="408">
        <v>63496</v>
      </c>
      <c r="BE191" s="408">
        <v>0</v>
      </c>
      <c r="BF191" s="408">
        <v>8837</v>
      </c>
      <c r="BG191" s="408">
        <v>2540491</v>
      </c>
      <c r="BH191" s="408">
        <v>-61665</v>
      </c>
      <c r="BI191" s="408">
        <v>46729</v>
      </c>
      <c r="BJ191" s="408">
        <v>-436319</v>
      </c>
      <c r="BK191" s="408">
        <v>3700</v>
      </c>
      <c r="BL191" s="408">
        <v>17312</v>
      </c>
      <c r="BM191" s="408">
        <v>0</v>
      </c>
      <c r="BN191" s="408">
        <v>30749</v>
      </c>
      <c r="BO191" s="408">
        <v>-364638</v>
      </c>
      <c r="BP191" s="408">
        <v>92659</v>
      </c>
      <c r="BQ191" s="408">
        <v>283268</v>
      </c>
      <c r="BR191" s="408">
        <v>5922182</v>
      </c>
      <c r="BS191" s="408">
        <v>-495239</v>
      </c>
      <c r="BT191" s="408">
        <v>0</v>
      </c>
    </row>
    <row r="192" spans="1:72" s="408" customFormat="1" x14ac:dyDescent="0.3">
      <c r="A192" s="408">
        <v>542</v>
      </c>
      <c r="B192" s="409">
        <v>542</v>
      </c>
      <c r="C192" s="408">
        <v>542</v>
      </c>
      <c r="D192" s="408" t="s">
        <v>266</v>
      </c>
      <c r="E192" s="408" t="s">
        <v>509</v>
      </c>
      <c r="F192" s="408">
        <v>0</v>
      </c>
      <c r="G192" s="408">
        <v>0</v>
      </c>
      <c r="H192" s="408">
        <v>0</v>
      </c>
      <c r="I192" s="408">
        <v>49000</v>
      </c>
      <c r="J192" s="408">
        <v>0</v>
      </c>
      <c r="K192" s="408">
        <v>0</v>
      </c>
      <c r="L192" s="408">
        <v>0</v>
      </c>
      <c r="M192" s="408">
        <v>0</v>
      </c>
      <c r="N192" s="408">
        <v>243289</v>
      </c>
      <c r="O192" s="408">
        <v>0</v>
      </c>
      <c r="P192" s="408">
        <v>548420</v>
      </c>
      <c r="Q192" s="408">
        <v>0</v>
      </c>
      <c r="R192" s="408">
        <v>2283237</v>
      </c>
      <c r="S192" s="408">
        <v>0</v>
      </c>
      <c r="T192" s="408">
        <v>0</v>
      </c>
      <c r="U192" s="408">
        <v>0</v>
      </c>
      <c r="V192" s="408">
        <v>0</v>
      </c>
      <c r="W192" s="408">
        <v>0</v>
      </c>
      <c r="X192" s="408">
        <v>0</v>
      </c>
      <c r="Y192" s="408">
        <v>8000</v>
      </c>
      <c r="Z192" s="408">
        <v>0</v>
      </c>
      <c r="AA192" s="408">
        <v>0</v>
      </c>
      <c r="AB192" s="408">
        <v>0</v>
      </c>
      <c r="AC192" s="408">
        <v>0</v>
      </c>
      <c r="AD192" s="408">
        <v>65246</v>
      </c>
      <c r="AE192" s="408">
        <v>0</v>
      </c>
      <c r="AF192" s="408">
        <v>0</v>
      </c>
      <c r="AG192" s="408">
        <v>0</v>
      </c>
      <c r="AH192" s="408">
        <v>0</v>
      </c>
      <c r="AI192" s="408">
        <v>0</v>
      </c>
      <c r="AJ192" s="408">
        <v>416843</v>
      </c>
      <c r="AK192" s="408">
        <v>0</v>
      </c>
      <c r="AL192" s="408">
        <v>0</v>
      </c>
      <c r="AM192" s="408">
        <v>0</v>
      </c>
      <c r="AN192" s="408">
        <v>0</v>
      </c>
      <c r="AO192" s="408">
        <v>0</v>
      </c>
      <c r="AP192" s="408">
        <v>0</v>
      </c>
      <c r="AQ192" s="408">
        <v>0</v>
      </c>
      <c r="AR192" s="408">
        <v>0</v>
      </c>
      <c r="AS192" s="408">
        <v>0</v>
      </c>
      <c r="AT192" s="408">
        <v>0</v>
      </c>
      <c r="AU192" s="408">
        <v>0</v>
      </c>
      <c r="AV192" s="408">
        <v>0</v>
      </c>
      <c r="AW192" s="408">
        <v>0</v>
      </c>
      <c r="AX192" s="408">
        <v>0</v>
      </c>
      <c r="AY192" s="408">
        <v>0</v>
      </c>
      <c r="AZ192" s="408">
        <v>0</v>
      </c>
      <c r="BA192" s="408">
        <v>0</v>
      </c>
      <c r="BB192" s="408">
        <v>0</v>
      </c>
      <c r="BC192" s="408">
        <v>0</v>
      </c>
      <c r="BD192" s="408">
        <v>0</v>
      </c>
      <c r="BE192" s="408">
        <v>0</v>
      </c>
      <c r="BF192" s="408">
        <v>0</v>
      </c>
      <c r="BG192" s="408">
        <v>81294</v>
      </c>
      <c r="BH192" s="408">
        <v>58233</v>
      </c>
      <c r="BI192" s="408">
        <v>0</v>
      </c>
      <c r="BJ192" s="408">
        <v>0</v>
      </c>
      <c r="BK192" s="408">
        <v>0</v>
      </c>
      <c r="BL192" s="408">
        <v>0</v>
      </c>
      <c r="BM192" s="408">
        <v>0</v>
      </c>
      <c r="BN192" s="408">
        <v>8803</v>
      </c>
      <c r="BO192" s="408">
        <v>0</v>
      </c>
      <c r="BP192" s="408">
        <v>0</v>
      </c>
      <c r="BQ192" s="408">
        <v>0</v>
      </c>
      <c r="BR192" s="408">
        <v>0</v>
      </c>
      <c r="BS192" s="408">
        <v>0</v>
      </c>
      <c r="BT192" s="408">
        <v>0</v>
      </c>
    </row>
    <row r="193" spans="1:72" s="408" customFormat="1" x14ac:dyDescent="0.3">
      <c r="A193" s="408">
        <v>543</v>
      </c>
      <c r="B193" s="409"/>
      <c r="C193" s="408">
        <v>543</v>
      </c>
      <c r="D193" s="408" t="s">
        <v>1756</v>
      </c>
      <c r="E193" s="408" t="s">
        <v>510</v>
      </c>
    </row>
    <row r="194" spans="1:72" s="408" customFormat="1" x14ac:dyDescent="0.3">
      <c r="A194" s="408">
        <v>544</v>
      </c>
      <c r="B194" s="409">
        <v>544</v>
      </c>
      <c r="C194" s="408">
        <v>544</v>
      </c>
      <c r="D194" s="408" t="s">
        <v>53</v>
      </c>
      <c r="E194" s="408" t="s">
        <v>511</v>
      </c>
      <c r="F194" s="408">
        <v>0</v>
      </c>
      <c r="G194" s="408">
        <v>0</v>
      </c>
      <c r="H194" s="408">
        <v>0</v>
      </c>
      <c r="I194" s="408">
        <v>0</v>
      </c>
      <c r="J194" s="408">
        <v>0</v>
      </c>
      <c r="K194" s="408">
        <v>0</v>
      </c>
      <c r="L194" s="408">
        <v>0</v>
      </c>
      <c r="M194" s="408">
        <v>0</v>
      </c>
      <c r="N194" s="408">
        <v>0</v>
      </c>
      <c r="O194" s="408">
        <v>0</v>
      </c>
      <c r="P194" s="408">
        <v>0</v>
      </c>
      <c r="Q194" s="408">
        <v>0</v>
      </c>
      <c r="R194" s="408">
        <v>0</v>
      </c>
      <c r="S194" s="408">
        <v>0</v>
      </c>
      <c r="T194" s="408">
        <v>0</v>
      </c>
      <c r="U194" s="408">
        <v>0</v>
      </c>
      <c r="V194" s="408">
        <v>0.02</v>
      </c>
      <c r="W194" s="408">
        <v>0</v>
      </c>
      <c r="X194" s="408">
        <v>0</v>
      </c>
      <c r="Y194" s="408">
        <v>0</v>
      </c>
      <c r="Z194" s="408">
        <v>0</v>
      </c>
      <c r="AA194" s="408">
        <v>0</v>
      </c>
      <c r="AB194" s="408">
        <v>0</v>
      </c>
      <c r="AC194" s="408">
        <v>0</v>
      </c>
      <c r="AD194" s="408">
        <v>0</v>
      </c>
      <c r="AE194" s="408">
        <v>0.01</v>
      </c>
      <c r="AF194" s="408">
        <v>0</v>
      </c>
      <c r="AG194" s="408">
        <v>0</v>
      </c>
      <c r="AH194" s="408">
        <v>0</v>
      </c>
      <c r="AI194" s="408">
        <v>0.05</v>
      </c>
      <c r="AJ194" s="408">
        <v>0</v>
      </c>
      <c r="AK194" s="408">
        <v>0</v>
      </c>
      <c r="AL194" s="408">
        <v>0</v>
      </c>
      <c r="AM194" s="408">
        <v>0</v>
      </c>
      <c r="AN194" s="408">
        <v>0</v>
      </c>
      <c r="AO194" s="408">
        <v>0</v>
      </c>
      <c r="AP194" s="408">
        <v>0</v>
      </c>
      <c r="AQ194" s="408">
        <v>0</v>
      </c>
      <c r="AR194" s="408">
        <v>0</v>
      </c>
      <c r="AS194" s="408">
        <v>0</v>
      </c>
      <c r="AT194" s="408">
        <v>0</v>
      </c>
      <c r="AU194" s="408">
        <v>0</v>
      </c>
      <c r="AV194" s="408">
        <v>0</v>
      </c>
      <c r="AW194" s="408">
        <v>0</v>
      </c>
      <c r="AX194" s="408">
        <v>0</v>
      </c>
      <c r="AY194" s="408">
        <v>0</v>
      </c>
      <c r="AZ194" s="408">
        <v>0</v>
      </c>
      <c r="BA194" s="408">
        <v>0</v>
      </c>
      <c r="BB194" s="408">
        <v>0</v>
      </c>
      <c r="BC194" s="408">
        <v>0</v>
      </c>
      <c r="BD194" s="408">
        <v>0</v>
      </c>
      <c r="BE194" s="408">
        <v>0</v>
      </c>
      <c r="BF194" s="408">
        <v>0</v>
      </c>
      <c r="BG194" s="408">
        <v>0</v>
      </c>
      <c r="BH194" s="408">
        <v>0</v>
      </c>
      <c r="BI194" s="408">
        <v>0</v>
      </c>
      <c r="BJ194" s="408">
        <v>0</v>
      </c>
      <c r="BK194" s="408">
        <v>0</v>
      </c>
      <c r="BL194" s="408">
        <v>0</v>
      </c>
      <c r="BM194" s="408">
        <v>0</v>
      </c>
      <c r="BN194" s="408">
        <v>0</v>
      </c>
      <c r="BO194" s="408">
        <v>0</v>
      </c>
      <c r="BP194" s="408">
        <v>0</v>
      </c>
      <c r="BQ194" s="408">
        <v>0</v>
      </c>
      <c r="BR194" s="408">
        <v>0</v>
      </c>
      <c r="BS194" s="408">
        <v>0</v>
      </c>
      <c r="BT194" s="408">
        <v>0</v>
      </c>
    </row>
    <row r="195" spans="1:72" s="408" customFormat="1" x14ac:dyDescent="0.3">
      <c r="A195" s="408">
        <v>545</v>
      </c>
      <c r="B195" s="409">
        <v>545</v>
      </c>
      <c r="C195" s="408">
        <v>545</v>
      </c>
      <c r="D195" s="408" t="s">
        <v>54</v>
      </c>
      <c r="E195" s="408" t="s">
        <v>512</v>
      </c>
      <c r="F195" s="408">
        <v>0</v>
      </c>
      <c r="G195" s="408">
        <v>0</v>
      </c>
      <c r="H195" s="408">
        <v>0</v>
      </c>
      <c r="I195" s="408">
        <v>0</v>
      </c>
      <c r="J195" s="408">
        <v>0</v>
      </c>
      <c r="K195" s="408">
        <v>0</v>
      </c>
      <c r="L195" s="408">
        <v>0</v>
      </c>
      <c r="M195" s="408">
        <v>0</v>
      </c>
      <c r="N195" s="408">
        <v>0</v>
      </c>
      <c r="O195" s="408">
        <v>0</v>
      </c>
      <c r="P195" s="408">
        <v>0</v>
      </c>
      <c r="Q195" s="408">
        <v>0</v>
      </c>
      <c r="R195" s="408">
        <v>0</v>
      </c>
      <c r="S195" s="408">
        <v>0</v>
      </c>
      <c r="T195" s="408">
        <v>0</v>
      </c>
      <c r="U195" s="408">
        <v>0</v>
      </c>
      <c r="V195" s="408">
        <v>0</v>
      </c>
      <c r="W195" s="408">
        <v>0</v>
      </c>
      <c r="X195" s="408">
        <v>0</v>
      </c>
      <c r="Y195" s="408">
        <v>0</v>
      </c>
      <c r="Z195" s="408">
        <v>0</v>
      </c>
      <c r="AA195" s="408">
        <v>0</v>
      </c>
      <c r="AB195" s="408">
        <v>0</v>
      </c>
      <c r="AC195" s="408">
        <v>0.05</v>
      </c>
      <c r="AD195" s="408">
        <v>0</v>
      </c>
      <c r="AE195" s="408">
        <v>0</v>
      </c>
      <c r="AF195" s="408">
        <v>0</v>
      </c>
      <c r="AG195" s="408">
        <v>0</v>
      </c>
      <c r="AH195" s="408">
        <v>0</v>
      </c>
      <c r="AI195" s="408">
        <v>0</v>
      </c>
      <c r="AJ195" s="408">
        <v>0</v>
      </c>
      <c r="AK195" s="408">
        <v>0</v>
      </c>
      <c r="AL195" s="408">
        <v>0</v>
      </c>
      <c r="AM195" s="408">
        <v>0</v>
      </c>
      <c r="AN195" s="408">
        <v>0</v>
      </c>
      <c r="AO195" s="408">
        <v>0</v>
      </c>
      <c r="AP195" s="408">
        <v>0</v>
      </c>
      <c r="AQ195" s="408">
        <v>0</v>
      </c>
      <c r="AR195" s="408">
        <v>0</v>
      </c>
      <c r="AS195" s="408">
        <v>0</v>
      </c>
      <c r="AT195" s="408">
        <v>0</v>
      </c>
      <c r="AU195" s="408">
        <v>0</v>
      </c>
      <c r="AV195" s="408">
        <v>0</v>
      </c>
      <c r="AW195" s="408">
        <v>0</v>
      </c>
      <c r="AX195" s="408">
        <v>0</v>
      </c>
      <c r="AY195" s="408">
        <v>0</v>
      </c>
      <c r="AZ195" s="408">
        <v>0.01</v>
      </c>
      <c r="BA195" s="408">
        <v>0</v>
      </c>
      <c r="BB195" s="408">
        <v>0</v>
      </c>
      <c r="BC195" s="408">
        <v>0</v>
      </c>
      <c r="BD195" s="408">
        <v>0.01</v>
      </c>
      <c r="BE195" s="408">
        <v>0</v>
      </c>
      <c r="BF195" s="408">
        <v>0</v>
      </c>
      <c r="BG195" s="408">
        <v>0</v>
      </c>
      <c r="BH195" s="408">
        <v>0</v>
      </c>
      <c r="BI195" s="408">
        <v>0</v>
      </c>
      <c r="BJ195" s="408">
        <v>0</v>
      </c>
      <c r="BK195" s="408">
        <v>0</v>
      </c>
      <c r="BL195" s="408">
        <v>0</v>
      </c>
      <c r="BM195" s="408">
        <v>0</v>
      </c>
      <c r="BN195" s="408">
        <v>0</v>
      </c>
      <c r="BO195" s="408">
        <v>0</v>
      </c>
      <c r="BP195" s="408">
        <v>0</v>
      </c>
      <c r="BQ195" s="408">
        <v>0</v>
      </c>
      <c r="BR195" s="408">
        <v>0</v>
      </c>
      <c r="BS195" s="408">
        <v>0</v>
      </c>
      <c r="BT195" s="408">
        <v>0</v>
      </c>
    </row>
    <row r="196" spans="1:72" s="408" customFormat="1" x14ac:dyDescent="0.3">
      <c r="A196" s="408">
        <v>546</v>
      </c>
      <c r="B196" s="409"/>
      <c r="C196" s="408">
        <v>546</v>
      </c>
      <c r="D196" s="408" t="e">
        <v>#VALUE!</v>
      </c>
      <c r="E196" s="408" t="s">
        <v>513</v>
      </c>
    </row>
    <row r="197" spans="1:72" s="408" customFormat="1" ht="72" x14ac:dyDescent="0.3">
      <c r="A197" s="408">
        <v>547</v>
      </c>
      <c r="B197" s="409">
        <v>547</v>
      </c>
      <c r="C197" s="408">
        <v>547</v>
      </c>
      <c r="D197" s="1126" t="s">
        <v>1757</v>
      </c>
      <c r="E197" s="408" t="s">
        <v>514</v>
      </c>
      <c r="F197" s="408">
        <v>3</v>
      </c>
      <c r="G197" s="408">
        <v>3</v>
      </c>
      <c r="H197" s="408">
        <v>2</v>
      </c>
      <c r="I197" s="408">
        <v>3</v>
      </c>
      <c r="J197" s="408">
        <v>2</v>
      </c>
      <c r="K197" s="408">
        <v>2</v>
      </c>
      <c r="L197" s="408">
        <v>3</v>
      </c>
      <c r="M197" s="408">
        <v>2</v>
      </c>
      <c r="N197" s="408">
        <v>3</v>
      </c>
      <c r="O197" s="408">
        <v>2</v>
      </c>
      <c r="P197" s="408">
        <v>1</v>
      </c>
      <c r="Q197" s="408">
        <v>2</v>
      </c>
      <c r="R197" s="408">
        <v>3</v>
      </c>
      <c r="S197" s="408">
        <v>3</v>
      </c>
      <c r="T197" s="408">
        <v>0</v>
      </c>
      <c r="U197" s="408">
        <v>2</v>
      </c>
      <c r="V197" s="408">
        <v>3</v>
      </c>
      <c r="W197" s="408">
        <v>2</v>
      </c>
      <c r="X197" s="408">
        <v>2</v>
      </c>
      <c r="Y197" s="408">
        <v>2</v>
      </c>
      <c r="Z197" s="408">
        <v>3</v>
      </c>
      <c r="AA197" s="408">
        <v>0</v>
      </c>
      <c r="AB197" s="408">
        <v>0</v>
      </c>
      <c r="AC197" s="408">
        <v>2</v>
      </c>
      <c r="AD197" s="408">
        <v>2</v>
      </c>
      <c r="AE197" s="408">
        <v>3</v>
      </c>
      <c r="AF197" s="408">
        <v>2</v>
      </c>
      <c r="AG197" s="408">
        <v>2</v>
      </c>
      <c r="AH197" s="408">
        <v>2</v>
      </c>
      <c r="AI197" s="408">
        <v>2</v>
      </c>
      <c r="AJ197" s="408">
        <v>2</v>
      </c>
      <c r="AK197" s="408">
        <v>3</v>
      </c>
      <c r="AL197" s="408">
        <v>0</v>
      </c>
      <c r="AM197" s="408">
        <v>0</v>
      </c>
      <c r="AN197" s="408">
        <v>2</v>
      </c>
      <c r="AO197" s="408">
        <v>3</v>
      </c>
      <c r="AP197" s="408">
        <v>2</v>
      </c>
      <c r="AQ197" s="408">
        <v>3</v>
      </c>
      <c r="AR197" s="408">
        <v>2</v>
      </c>
      <c r="AS197" s="408">
        <v>2</v>
      </c>
      <c r="AT197" s="408">
        <v>2</v>
      </c>
      <c r="AU197" s="408">
        <v>4</v>
      </c>
      <c r="AV197" s="408">
        <v>2</v>
      </c>
      <c r="AW197" s="408">
        <v>0</v>
      </c>
      <c r="AX197" s="408">
        <v>4</v>
      </c>
      <c r="AY197" s="408">
        <v>2</v>
      </c>
      <c r="AZ197" s="408">
        <v>4</v>
      </c>
      <c r="BA197" s="408">
        <v>2</v>
      </c>
      <c r="BB197" s="408">
        <v>2</v>
      </c>
      <c r="BC197" s="408">
        <v>3</v>
      </c>
      <c r="BD197" s="408">
        <v>2</v>
      </c>
      <c r="BE197" s="408">
        <v>2</v>
      </c>
      <c r="BF197" s="408">
        <v>2</v>
      </c>
      <c r="BG197" s="408">
        <v>3</v>
      </c>
      <c r="BH197" s="408">
        <v>2</v>
      </c>
      <c r="BI197" s="408">
        <v>2</v>
      </c>
      <c r="BJ197" s="408">
        <v>3</v>
      </c>
      <c r="BK197" s="408">
        <v>2</v>
      </c>
      <c r="BL197" s="408">
        <v>2</v>
      </c>
      <c r="BM197" s="408">
        <v>2</v>
      </c>
      <c r="BN197" s="408">
        <v>2</v>
      </c>
      <c r="BO197" s="408">
        <v>2</v>
      </c>
      <c r="BP197" s="408">
        <v>2</v>
      </c>
      <c r="BQ197" s="408">
        <v>2</v>
      </c>
      <c r="BR197" s="408">
        <v>3</v>
      </c>
      <c r="BS197" s="408">
        <v>3</v>
      </c>
      <c r="BT197" s="408">
        <v>3</v>
      </c>
    </row>
    <row r="198" spans="1:72" s="408" customFormat="1" x14ac:dyDescent="0.3">
      <c r="A198" s="408">
        <v>548</v>
      </c>
      <c r="B198" s="409"/>
      <c r="C198" s="408">
        <v>548</v>
      </c>
      <c r="D198" s="408" t="s">
        <v>540</v>
      </c>
      <c r="E198" s="408" t="s">
        <v>570</v>
      </c>
      <c r="F198" s="408">
        <v>0</v>
      </c>
      <c r="G198" s="408">
        <v>0</v>
      </c>
      <c r="H198" s="408">
        <v>0</v>
      </c>
      <c r="I198" s="408">
        <v>0</v>
      </c>
      <c r="J198" s="408">
        <v>0</v>
      </c>
      <c r="K198" s="408">
        <v>0</v>
      </c>
      <c r="L198" s="408">
        <v>0</v>
      </c>
      <c r="M198" s="408">
        <v>0</v>
      </c>
      <c r="N198" s="408">
        <v>0</v>
      </c>
      <c r="O198" s="408">
        <v>0</v>
      </c>
      <c r="P198" s="408">
        <v>0</v>
      </c>
      <c r="Q198" s="408">
        <v>0</v>
      </c>
      <c r="R198" s="408">
        <v>0</v>
      </c>
      <c r="S198" s="408">
        <v>0</v>
      </c>
      <c r="T198" s="408">
        <v>0</v>
      </c>
      <c r="U198" s="408">
        <v>0</v>
      </c>
      <c r="V198" s="408">
        <v>0</v>
      </c>
      <c r="W198" s="408">
        <v>0</v>
      </c>
      <c r="X198" s="408">
        <v>0</v>
      </c>
      <c r="Y198" s="408">
        <v>0</v>
      </c>
      <c r="Z198" s="408">
        <v>0</v>
      </c>
      <c r="AA198" s="408">
        <v>0</v>
      </c>
      <c r="AB198" s="408">
        <v>0</v>
      </c>
      <c r="AC198" s="408">
        <v>0</v>
      </c>
      <c r="AD198" s="408">
        <v>0</v>
      </c>
      <c r="AE198" s="408">
        <v>0</v>
      </c>
      <c r="AF198" s="408">
        <v>0</v>
      </c>
      <c r="AG198" s="408">
        <v>0</v>
      </c>
      <c r="AH198" s="408">
        <v>0</v>
      </c>
      <c r="AI198" s="408">
        <v>0</v>
      </c>
      <c r="AJ198" s="408">
        <v>0</v>
      </c>
      <c r="AK198" s="408">
        <v>0</v>
      </c>
      <c r="AL198" s="408">
        <v>0</v>
      </c>
      <c r="AM198" s="408">
        <v>0</v>
      </c>
      <c r="AN198" s="408">
        <v>0</v>
      </c>
      <c r="AO198" s="408">
        <v>0</v>
      </c>
      <c r="AP198" s="408">
        <v>0</v>
      </c>
      <c r="AQ198" s="408">
        <v>0</v>
      </c>
      <c r="AR198" s="408">
        <v>0</v>
      </c>
      <c r="AS198" s="408">
        <v>0</v>
      </c>
      <c r="AT198" s="408">
        <v>0</v>
      </c>
      <c r="AU198" s="408">
        <v>0</v>
      </c>
      <c r="AV198" s="408">
        <v>0</v>
      </c>
      <c r="AW198" s="408">
        <v>0</v>
      </c>
      <c r="AX198" s="408">
        <v>0</v>
      </c>
      <c r="AY198" s="408">
        <v>0</v>
      </c>
      <c r="AZ198" s="408">
        <v>0</v>
      </c>
      <c r="BA198" s="408">
        <v>0</v>
      </c>
      <c r="BB198" s="408">
        <v>0</v>
      </c>
      <c r="BC198" s="408">
        <v>0</v>
      </c>
      <c r="BD198" s="408">
        <v>0</v>
      </c>
      <c r="BE198" s="408">
        <v>0</v>
      </c>
      <c r="BF198" s="408">
        <v>0</v>
      </c>
      <c r="BG198" s="408">
        <v>0</v>
      </c>
      <c r="BH198" s="408">
        <v>0</v>
      </c>
      <c r="BI198" s="408">
        <v>0</v>
      </c>
      <c r="BJ198" s="408">
        <v>0</v>
      </c>
      <c r="BK198" s="408">
        <v>0</v>
      </c>
      <c r="BL198" s="408">
        <v>0</v>
      </c>
      <c r="BM198" s="408">
        <v>0</v>
      </c>
      <c r="BN198" s="408">
        <v>0</v>
      </c>
      <c r="BO198" s="408">
        <v>0</v>
      </c>
      <c r="BP198" s="408">
        <v>0</v>
      </c>
      <c r="BQ198" s="408">
        <v>0</v>
      </c>
      <c r="BR198" s="408">
        <v>0</v>
      </c>
      <c r="BS198" s="408">
        <v>0</v>
      </c>
      <c r="BT198" s="408">
        <v>0</v>
      </c>
    </row>
    <row r="199" spans="1:72" s="408" customFormat="1" x14ac:dyDescent="0.3">
      <c r="A199" s="408">
        <v>549</v>
      </c>
      <c r="B199" s="409"/>
      <c r="C199" s="408">
        <v>549</v>
      </c>
      <c r="D199" s="408" t="s">
        <v>1758</v>
      </c>
      <c r="E199" s="408" t="s">
        <v>571</v>
      </c>
      <c r="F199" s="408">
        <v>0</v>
      </c>
      <c r="G199" s="408">
        <v>0</v>
      </c>
      <c r="H199" s="408">
        <v>0</v>
      </c>
      <c r="I199" s="408">
        <v>0</v>
      </c>
      <c r="J199" s="408">
        <v>0</v>
      </c>
      <c r="K199" s="408">
        <v>0</v>
      </c>
      <c r="L199" s="408">
        <v>0</v>
      </c>
      <c r="M199" s="408">
        <v>0</v>
      </c>
      <c r="N199" s="408">
        <v>0</v>
      </c>
      <c r="O199" s="408">
        <v>0</v>
      </c>
      <c r="P199" s="408">
        <v>0</v>
      </c>
      <c r="Q199" s="408">
        <v>0</v>
      </c>
      <c r="R199" s="408">
        <v>0</v>
      </c>
      <c r="S199" s="408">
        <v>0</v>
      </c>
      <c r="T199" s="408">
        <v>0</v>
      </c>
      <c r="U199" s="408">
        <v>0</v>
      </c>
      <c r="V199" s="408">
        <v>0</v>
      </c>
      <c r="W199" s="408">
        <v>0</v>
      </c>
      <c r="X199" s="408">
        <v>0</v>
      </c>
      <c r="Y199" s="408">
        <v>0</v>
      </c>
      <c r="Z199" s="408">
        <v>0</v>
      </c>
      <c r="AA199" s="408">
        <v>0</v>
      </c>
      <c r="AB199" s="408">
        <v>0</v>
      </c>
      <c r="AC199" s="408">
        <v>0</v>
      </c>
      <c r="AD199" s="408">
        <v>0</v>
      </c>
      <c r="AE199" s="408">
        <v>0</v>
      </c>
      <c r="AF199" s="408">
        <v>0</v>
      </c>
      <c r="AG199" s="408">
        <v>0</v>
      </c>
      <c r="AH199" s="408">
        <v>0</v>
      </c>
      <c r="AI199" s="408">
        <v>0</v>
      </c>
      <c r="AJ199" s="408">
        <v>0</v>
      </c>
      <c r="AK199" s="408">
        <v>0</v>
      </c>
      <c r="AL199" s="408">
        <v>0</v>
      </c>
      <c r="AM199" s="408">
        <v>0</v>
      </c>
      <c r="AN199" s="408">
        <v>0</v>
      </c>
      <c r="AO199" s="408">
        <v>0</v>
      </c>
      <c r="AP199" s="408">
        <v>0</v>
      </c>
      <c r="AQ199" s="408">
        <v>0</v>
      </c>
      <c r="AR199" s="408">
        <v>0</v>
      </c>
      <c r="AS199" s="408">
        <v>0</v>
      </c>
      <c r="AT199" s="408">
        <v>0</v>
      </c>
      <c r="AU199" s="408">
        <v>0</v>
      </c>
      <c r="AV199" s="408">
        <v>0</v>
      </c>
      <c r="AW199" s="408">
        <v>0</v>
      </c>
      <c r="AX199" s="408">
        <v>0</v>
      </c>
      <c r="AY199" s="408">
        <v>0</v>
      </c>
      <c r="AZ199" s="408">
        <v>0</v>
      </c>
      <c r="BA199" s="408">
        <v>0</v>
      </c>
      <c r="BB199" s="408">
        <v>0</v>
      </c>
      <c r="BC199" s="408">
        <v>0</v>
      </c>
      <c r="BD199" s="408">
        <v>0</v>
      </c>
      <c r="BE199" s="408">
        <v>0</v>
      </c>
      <c r="BF199" s="408">
        <v>0</v>
      </c>
      <c r="BG199" s="408">
        <v>0</v>
      </c>
      <c r="BH199" s="408">
        <v>0</v>
      </c>
      <c r="BI199" s="408">
        <v>0</v>
      </c>
      <c r="BJ199" s="408">
        <v>0</v>
      </c>
      <c r="BK199" s="408">
        <v>0</v>
      </c>
      <c r="BL199" s="408">
        <v>0</v>
      </c>
      <c r="BM199" s="408">
        <v>0</v>
      </c>
      <c r="BN199" s="408">
        <v>0</v>
      </c>
      <c r="BO199" s="408">
        <v>0</v>
      </c>
      <c r="BP199" s="408">
        <v>0</v>
      </c>
      <c r="BQ199" s="408">
        <v>0</v>
      </c>
      <c r="BR199" s="408">
        <v>0</v>
      </c>
      <c r="BS199" s="408">
        <v>0</v>
      </c>
      <c r="BT199" s="408">
        <v>0</v>
      </c>
    </row>
    <row r="200" spans="1:72" s="408" customFormat="1" x14ac:dyDescent="0.3">
      <c r="A200" s="408">
        <v>550</v>
      </c>
      <c r="B200" s="409"/>
      <c r="C200" s="408">
        <v>550</v>
      </c>
      <c r="D200" s="408" t="s">
        <v>572</v>
      </c>
      <c r="E200" s="408" t="s">
        <v>573</v>
      </c>
      <c r="F200" s="408">
        <v>0</v>
      </c>
      <c r="G200" s="408">
        <v>0</v>
      </c>
      <c r="H200" s="408">
        <v>0</v>
      </c>
      <c r="I200" s="408">
        <v>0</v>
      </c>
      <c r="J200" s="408">
        <v>0</v>
      </c>
      <c r="K200" s="408">
        <v>0</v>
      </c>
      <c r="L200" s="408">
        <v>0</v>
      </c>
      <c r="M200" s="408">
        <v>0</v>
      </c>
      <c r="N200" s="408">
        <v>0</v>
      </c>
      <c r="O200" s="408">
        <v>0</v>
      </c>
      <c r="P200" s="408">
        <v>0</v>
      </c>
      <c r="Q200" s="408">
        <v>0</v>
      </c>
      <c r="R200" s="408">
        <v>0</v>
      </c>
      <c r="S200" s="408">
        <v>0</v>
      </c>
      <c r="T200" s="408">
        <v>0</v>
      </c>
      <c r="U200" s="408">
        <v>0</v>
      </c>
      <c r="V200" s="408">
        <v>0</v>
      </c>
      <c r="W200" s="408">
        <v>0</v>
      </c>
      <c r="X200" s="408">
        <v>0</v>
      </c>
      <c r="Y200" s="408">
        <v>0</v>
      </c>
      <c r="Z200" s="408">
        <v>0</v>
      </c>
      <c r="AA200" s="408">
        <v>0</v>
      </c>
      <c r="AB200" s="408">
        <v>0</v>
      </c>
      <c r="AC200" s="408">
        <v>0</v>
      </c>
      <c r="AD200" s="408">
        <v>0</v>
      </c>
      <c r="AE200" s="408">
        <v>0</v>
      </c>
      <c r="AF200" s="408">
        <v>0</v>
      </c>
      <c r="AG200" s="408">
        <v>0</v>
      </c>
      <c r="AH200" s="408">
        <v>0</v>
      </c>
      <c r="AI200" s="408">
        <v>0</v>
      </c>
      <c r="AJ200" s="408">
        <v>0</v>
      </c>
      <c r="AK200" s="408">
        <v>0</v>
      </c>
      <c r="AL200" s="408">
        <v>0</v>
      </c>
      <c r="AM200" s="408">
        <v>0</v>
      </c>
      <c r="AN200" s="408">
        <v>0</v>
      </c>
      <c r="AO200" s="408">
        <v>0</v>
      </c>
      <c r="AP200" s="408">
        <v>0</v>
      </c>
      <c r="AQ200" s="408">
        <v>0</v>
      </c>
      <c r="AR200" s="408">
        <v>0</v>
      </c>
      <c r="AS200" s="408">
        <v>0</v>
      </c>
      <c r="AT200" s="408">
        <v>0</v>
      </c>
      <c r="AU200" s="408">
        <v>0</v>
      </c>
      <c r="AV200" s="408">
        <v>0</v>
      </c>
      <c r="AW200" s="408">
        <v>0</v>
      </c>
      <c r="AX200" s="408">
        <v>0</v>
      </c>
      <c r="AY200" s="408">
        <v>0</v>
      </c>
      <c r="AZ200" s="408">
        <v>0</v>
      </c>
      <c r="BA200" s="408">
        <v>0</v>
      </c>
      <c r="BB200" s="408">
        <v>0</v>
      </c>
      <c r="BC200" s="408">
        <v>0</v>
      </c>
      <c r="BD200" s="408">
        <v>0</v>
      </c>
      <c r="BE200" s="408">
        <v>0</v>
      </c>
      <c r="BF200" s="408">
        <v>0</v>
      </c>
      <c r="BG200" s="408">
        <v>0</v>
      </c>
      <c r="BH200" s="408">
        <v>0</v>
      </c>
      <c r="BI200" s="408">
        <v>0</v>
      </c>
      <c r="BJ200" s="408">
        <v>0</v>
      </c>
      <c r="BK200" s="408">
        <v>0</v>
      </c>
      <c r="BL200" s="408">
        <v>0</v>
      </c>
      <c r="BM200" s="408">
        <v>0</v>
      </c>
      <c r="BN200" s="408">
        <v>0</v>
      </c>
      <c r="BO200" s="408">
        <v>0</v>
      </c>
      <c r="BP200" s="408">
        <v>0</v>
      </c>
      <c r="BQ200" s="408">
        <v>0</v>
      </c>
      <c r="BR200" s="408">
        <v>0</v>
      </c>
      <c r="BS200" s="408">
        <v>0</v>
      </c>
      <c r="BT200" s="408">
        <v>0</v>
      </c>
    </row>
    <row r="201" spans="1:72" s="408" customFormat="1" x14ac:dyDescent="0.3">
      <c r="A201" s="408">
        <v>551</v>
      </c>
      <c r="B201" s="409"/>
      <c r="C201" s="408">
        <v>551</v>
      </c>
      <c r="D201" s="408" t="s">
        <v>1759</v>
      </c>
      <c r="E201" s="408" t="s">
        <v>574</v>
      </c>
    </row>
    <row r="202" spans="1:72" s="408" customFormat="1" x14ac:dyDescent="0.3">
      <c r="A202" s="408">
        <v>552</v>
      </c>
      <c r="B202" s="409"/>
      <c r="C202" s="408">
        <v>552</v>
      </c>
      <c r="D202" s="408" t="s">
        <v>542</v>
      </c>
      <c r="E202" s="408" t="s">
        <v>575</v>
      </c>
      <c r="F202" s="408">
        <v>0</v>
      </c>
      <c r="G202" s="408">
        <v>0</v>
      </c>
      <c r="H202" s="408">
        <v>0</v>
      </c>
      <c r="I202" s="408">
        <v>0</v>
      </c>
      <c r="J202" s="408">
        <v>0</v>
      </c>
      <c r="K202" s="408">
        <v>0</v>
      </c>
      <c r="L202" s="408">
        <v>0</v>
      </c>
      <c r="M202" s="408">
        <v>0</v>
      </c>
      <c r="N202" s="408">
        <v>0</v>
      </c>
      <c r="O202" s="408">
        <v>0</v>
      </c>
      <c r="P202" s="408">
        <v>0</v>
      </c>
      <c r="Q202" s="408">
        <v>0</v>
      </c>
      <c r="R202" s="408">
        <v>0</v>
      </c>
      <c r="S202" s="408">
        <v>0</v>
      </c>
      <c r="T202" s="408">
        <v>0</v>
      </c>
      <c r="U202" s="408">
        <v>0</v>
      </c>
      <c r="V202" s="408">
        <v>0</v>
      </c>
      <c r="W202" s="408">
        <v>0</v>
      </c>
      <c r="X202" s="408">
        <v>0</v>
      </c>
      <c r="Y202" s="408">
        <v>0</v>
      </c>
      <c r="Z202" s="408">
        <v>0</v>
      </c>
      <c r="AA202" s="408">
        <v>0</v>
      </c>
      <c r="AB202" s="408">
        <v>0</v>
      </c>
      <c r="AC202" s="408">
        <v>0</v>
      </c>
      <c r="AD202" s="408">
        <v>0</v>
      </c>
      <c r="AE202" s="408">
        <v>0</v>
      </c>
      <c r="AF202" s="408">
        <v>0</v>
      </c>
      <c r="AG202" s="408">
        <v>0</v>
      </c>
      <c r="AH202" s="408">
        <v>0</v>
      </c>
      <c r="AI202" s="408">
        <v>0</v>
      </c>
      <c r="AJ202" s="408">
        <v>0</v>
      </c>
      <c r="AK202" s="408">
        <v>0</v>
      </c>
      <c r="AL202" s="408">
        <v>0</v>
      </c>
      <c r="AM202" s="408">
        <v>0</v>
      </c>
      <c r="AN202" s="408">
        <v>0</v>
      </c>
      <c r="AO202" s="408">
        <v>0</v>
      </c>
      <c r="AP202" s="408">
        <v>0</v>
      </c>
      <c r="AQ202" s="408">
        <v>0</v>
      </c>
      <c r="AR202" s="408">
        <v>0</v>
      </c>
      <c r="AS202" s="408">
        <v>0</v>
      </c>
      <c r="AT202" s="408">
        <v>0</v>
      </c>
      <c r="AU202" s="408">
        <v>0</v>
      </c>
      <c r="AV202" s="408">
        <v>0</v>
      </c>
      <c r="AW202" s="408">
        <v>0</v>
      </c>
      <c r="AX202" s="408">
        <v>0</v>
      </c>
      <c r="AY202" s="408">
        <v>0</v>
      </c>
      <c r="AZ202" s="408">
        <v>0</v>
      </c>
      <c r="BA202" s="408">
        <v>0</v>
      </c>
      <c r="BB202" s="408">
        <v>0</v>
      </c>
      <c r="BC202" s="408">
        <v>0</v>
      </c>
      <c r="BD202" s="408">
        <v>0</v>
      </c>
      <c r="BE202" s="408">
        <v>0</v>
      </c>
      <c r="BF202" s="408">
        <v>0</v>
      </c>
      <c r="BG202" s="408">
        <v>0</v>
      </c>
      <c r="BH202" s="408">
        <v>0</v>
      </c>
      <c r="BI202" s="408">
        <v>0</v>
      </c>
      <c r="BJ202" s="408">
        <v>0</v>
      </c>
      <c r="BK202" s="408">
        <v>0</v>
      </c>
      <c r="BL202" s="408">
        <v>0</v>
      </c>
      <c r="BM202" s="408">
        <v>0</v>
      </c>
      <c r="BN202" s="408">
        <v>0</v>
      </c>
      <c r="BO202" s="408">
        <v>0</v>
      </c>
      <c r="BP202" s="408">
        <v>0</v>
      </c>
      <c r="BQ202" s="408">
        <v>0</v>
      </c>
      <c r="BR202" s="408">
        <v>0</v>
      </c>
      <c r="BS202" s="408">
        <v>0</v>
      </c>
      <c r="BT202" s="408">
        <v>0</v>
      </c>
    </row>
    <row r="203" spans="1:72" s="408" customFormat="1" x14ac:dyDescent="0.3">
      <c r="A203" s="408">
        <v>553</v>
      </c>
      <c r="B203" s="409"/>
      <c r="C203" s="408">
        <v>553</v>
      </c>
      <c r="D203" s="408" t="s">
        <v>576</v>
      </c>
      <c r="E203" s="408" t="s">
        <v>577</v>
      </c>
    </row>
    <row r="204" spans="1:72" s="408" customFormat="1" x14ac:dyDescent="0.3">
      <c r="A204" s="408">
        <v>554</v>
      </c>
      <c r="B204" s="409">
        <v>554</v>
      </c>
      <c r="C204" s="408">
        <v>554</v>
      </c>
      <c r="D204" s="408" t="s">
        <v>578</v>
      </c>
      <c r="E204" s="408" t="s">
        <v>579</v>
      </c>
      <c r="F204" s="408">
        <v>0</v>
      </c>
      <c r="G204" s="408">
        <v>0</v>
      </c>
      <c r="H204" s="408">
        <v>0</v>
      </c>
      <c r="I204" s="408">
        <v>7316603</v>
      </c>
      <c r="J204" s="408">
        <v>0</v>
      </c>
      <c r="K204" s="408">
        <v>0</v>
      </c>
      <c r="L204" s="408">
        <v>0</v>
      </c>
      <c r="M204" s="408">
        <v>0</v>
      </c>
      <c r="N204" s="408">
        <v>1047736</v>
      </c>
      <c r="O204" s="408">
        <v>0</v>
      </c>
      <c r="P204" s="408">
        <v>0</v>
      </c>
      <c r="Q204" s="408">
        <v>0</v>
      </c>
      <c r="R204" s="408">
        <v>398175</v>
      </c>
      <c r="S204" s="408">
        <v>9877875</v>
      </c>
      <c r="T204" s="408">
        <v>0</v>
      </c>
      <c r="U204" s="408">
        <v>0</v>
      </c>
      <c r="V204" s="408">
        <v>0</v>
      </c>
      <c r="W204" s="408">
        <v>0</v>
      </c>
      <c r="X204" s="408">
        <v>0</v>
      </c>
      <c r="Y204" s="408">
        <v>0</v>
      </c>
      <c r="Z204" s="408">
        <v>1932108</v>
      </c>
      <c r="AA204" s="408">
        <v>0</v>
      </c>
      <c r="AB204" s="408">
        <v>0</v>
      </c>
      <c r="AC204" s="408">
        <v>1453283</v>
      </c>
      <c r="AD204" s="408">
        <v>2809883</v>
      </c>
      <c r="AE204" s="408">
        <v>0</v>
      </c>
      <c r="AF204" s="408">
        <v>0</v>
      </c>
      <c r="AG204" s="408">
        <v>0</v>
      </c>
      <c r="AH204" s="408">
        <v>0</v>
      </c>
      <c r="AI204" s="408">
        <v>0</v>
      </c>
      <c r="AJ204" s="408">
        <v>0</v>
      </c>
      <c r="AK204" s="408">
        <v>0</v>
      </c>
      <c r="AL204" s="408">
        <v>0</v>
      </c>
      <c r="AM204" s="408">
        <v>0</v>
      </c>
      <c r="AN204" s="408">
        <v>0</v>
      </c>
      <c r="AO204" s="408">
        <v>0</v>
      </c>
      <c r="AP204" s="408">
        <v>0</v>
      </c>
      <c r="AQ204" s="408">
        <v>2016633</v>
      </c>
      <c r="AR204" s="408">
        <v>0</v>
      </c>
      <c r="AS204" s="408">
        <v>0</v>
      </c>
      <c r="AT204" s="408">
        <v>0</v>
      </c>
      <c r="AU204" s="408">
        <v>0</v>
      </c>
      <c r="AV204" s="408">
        <v>0</v>
      </c>
      <c r="AW204" s="408">
        <v>0</v>
      </c>
      <c r="AX204" s="408">
        <v>0</v>
      </c>
      <c r="AY204" s="408">
        <v>21000</v>
      </c>
      <c r="AZ204" s="408">
        <v>0</v>
      </c>
      <c r="BA204" s="408">
        <v>0</v>
      </c>
      <c r="BB204" s="408">
        <v>0</v>
      </c>
      <c r="BC204" s="408">
        <v>1211682</v>
      </c>
      <c r="BD204" s="408">
        <v>0</v>
      </c>
      <c r="BE204" s="408">
        <v>0</v>
      </c>
      <c r="BF204" s="408">
        <v>0</v>
      </c>
      <c r="BG204" s="408">
        <v>161364</v>
      </c>
      <c r="BH204" s="408">
        <v>0</v>
      </c>
      <c r="BI204" s="408">
        <v>0</v>
      </c>
      <c r="BJ204" s="408">
        <v>105518</v>
      </c>
      <c r="BK204" s="408">
        <v>0</v>
      </c>
      <c r="BL204" s="408">
        <v>0</v>
      </c>
      <c r="BM204" s="408">
        <v>0</v>
      </c>
      <c r="BN204" s="408">
        <v>1082505</v>
      </c>
      <c r="BO204" s="408">
        <v>0</v>
      </c>
      <c r="BP204" s="408">
        <v>0</v>
      </c>
      <c r="BQ204" s="408">
        <v>0</v>
      </c>
      <c r="BR204" s="408">
        <v>2452499</v>
      </c>
      <c r="BS204" s="408">
        <v>0</v>
      </c>
      <c r="BT204" s="408">
        <v>5080320</v>
      </c>
    </row>
    <row r="205" spans="1:72" s="408" customFormat="1" x14ac:dyDescent="0.3">
      <c r="A205" s="408">
        <v>555</v>
      </c>
      <c r="B205" s="409">
        <v>555</v>
      </c>
      <c r="C205" s="408">
        <v>555</v>
      </c>
      <c r="D205" s="408" t="s">
        <v>580</v>
      </c>
      <c r="E205" s="408" t="s">
        <v>581</v>
      </c>
      <c r="F205" s="408">
        <v>0</v>
      </c>
      <c r="G205" s="408">
        <v>0</v>
      </c>
      <c r="H205" s="408">
        <v>0</v>
      </c>
      <c r="I205" s="408">
        <v>4937758</v>
      </c>
      <c r="J205" s="408">
        <v>0</v>
      </c>
      <c r="K205" s="408">
        <v>0</v>
      </c>
      <c r="L205" s="408">
        <v>0</v>
      </c>
      <c r="M205" s="408">
        <v>0</v>
      </c>
      <c r="N205" s="408">
        <v>791413</v>
      </c>
      <c r="O205" s="408">
        <v>0</v>
      </c>
      <c r="P205" s="408">
        <v>0</v>
      </c>
      <c r="Q205" s="408">
        <v>0</v>
      </c>
      <c r="R205" s="408">
        <v>0</v>
      </c>
      <c r="S205" s="408">
        <v>4931301</v>
      </c>
      <c r="T205" s="408">
        <v>0</v>
      </c>
      <c r="U205" s="408">
        <v>0</v>
      </c>
      <c r="V205" s="408">
        <v>0</v>
      </c>
      <c r="W205" s="408">
        <v>0</v>
      </c>
      <c r="X205" s="408">
        <v>0</v>
      </c>
      <c r="Y205" s="408">
        <v>0</v>
      </c>
      <c r="Z205" s="408">
        <v>1070391</v>
      </c>
      <c r="AA205" s="408">
        <v>0</v>
      </c>
      <c r="AB205" s="408">
        <v>0</v>
      </c>
      <c r="AC205" s="408">
        <v>1453283</v>
      </c>
      <c r="AD205" s="408">
        <v>2809505</v>
      </c>
      <c r="AE205" s="408">
        <v>0</v>
      </c>
      <c r="AF205" s="408">
        <v>0</v>
      </c>
      <c r="AG205" s="408">
        <v>0</v>
      </c>
      <c r="AH205" s="408">
        <v>0</v>
      </c>
      <c r="AI205" s="408">
        <v>0</v>
      </c>
      <c r="AJ205" s="408">
        <v>0</v>
      </c>
      <c r="AK205" s="408">
        <v>0</v>
      </c>
      <c r="AL205" s="408">
        <v>0</v>
      </c>
      <c r="AM205" s="408">
        <v>0</v>
      </c>
      <c r="AN205" s="408">
        <v>0</v>
      </c>
      <c r="AO205" s="408">
        <v>0</v>
      </c>
      <c r="AP205" s="408">
        <v>0</v>
      </c>
      <c r="AQ205" s="408">
        <v>1892695</v>
      </c>
      <c r="AR205" s="408">
        <v>0</v>
      </c>
      <c r="AS205" s="408">
        <v>0</v>
      </c>
      <c r="AT205" s="408">
        <v>0</v>
      </c>
      <c r="AU205" s="408">
        <v>0</v>
      </c>
      <c r="AV205" s="408">
        <v>0</v>
      </c>
      <c r="AW205" s="408">
        <v>0</v>
      </c>
      <c r="AX205" s="408">
        <v>0</v>
      </c>
      <c r="AY205" s="408">
        <v>0</v>
      </c>
      <c r="AZ205" s="408">
        <v>0</v>
      </c>
      <c r="BA205" s="408">
        <v>0</v>
      </c>
      <c r="BB205" s="408">
        <v>0</v>
      </c>
      <c r="BC205" s="408">
        <v>1201286</v>
      </c>
      <c r="BD205" s="408">
        <v>0</v>
      </c>
      <c r="BE205" s="408">
        <v>0</v>
      </c>
      <c r="BF205" s="408">
        <v>0</v>
      </c>
      <c r="BG205" s="408">
        <v>0</v>
      </c>
      <c r="BH205" s="408">
        <v>0</v>
      </c>
      <c r="BI205" s="408">
        <v>0</v>
      </c>
      <c r="BJ205" s="408">
        <v>0</v>
      </c>
      <c r="BK205" s="408">
        <v>0</v>
      </c>
      <c r="BL205" s="408">
        <v>0</v>
      </c>
      <c r="BM205" s="408">
        <v>0</v>
      </c>
      <c r="BN205" s="408">
        <v>1082505</v>
      </c>
      <c r="BO205" s="408">
        <v>0</v>
      </c>
      <c r="BP205" s="408">
        <v>0</v>
      </c>
      <c r="BQ205" s="408">
        <v>0</v>
      </c>
      <c r="BR205" s="408">
        <v>1975937</v>
      </c>
      <c r="BS205" s="408">
        <v>0</v>
      </c>
      <c r="BT205" s="408">
        <v>5062874</v>
      </c>
    </row>
    <row r="206" spans="1:72" s="408" customFormat="1" x14ac:dyDescent="0.3">
      <c r="A206" s="408">
        <v>556</v>
      </c>
      <c r="B206" s="409">
        <v>556</v>
      </c>
      <c r="C206" s="408">
        <v>556</v>
      </c>
      <c r="D206" s="408" t="s">
        <v>582</v>
      </c>
      <c r="E206" s="408" t="s">
        <v>583</v>
      </c>
      <c r="F206" s="408">
        <v>0</v>
      </c>
      <c r="G206" s="408">
        <v>0</v>
      </c>
      <c r="H206" s="408">
        <v>0</v>
      </c>
      <c r="I206" s="408">
        <v>1692813</v>
      </c>
      <c r="J206" s="408">
        <v>0</v>
      </c>
      <c r="K206" s="408">
        <v>0</v>
      </c>
      <c r="L206" s="408">
        <v>0</v>
      </c>
      <c r="M206" s="408">
        <v>0</v>
      </c>
      <c r="N206" s="408">
        <v>1404536</v>
      </c>
      <c r="O206" s="408">
        <v>0</v>
      </c>
      <c r="P206" s="408">
        <v>0</v>
      </c>
      <c r="Q206" s="408">
        <v>0</v>
      </c>
      <c r="R206" s="408">
        <v>755849</v>
      </c>
      <c r="S206" s="408">
        <v>4027127</v>
      </c>
      <c r="T206" s="408">
        <v>0</v>
      </c>
      <c r="U206" s="408">
        <v>0</v>
      </c>
      <c r="V206" s="408">
        <v>0</v>
      </c>
      <c r="W206" s="408">
        <v>0</v>
      </c>
      <c r="X206" s="408">
        <v>0</v>
      </c>
      <c r="Y206" s="408">
        <v>0</v>
      </c>
      <c r="Z206" s="408">
        <v>682700</v>
      </c>
      <c r="AA206" s="408">
        <v>0</v>
      </c>
      <c r="AB206" s="408">
        <v>0</v>
      </c>
      <c r="AC206" s="408">
        <v>0</v>
      </c>
      <c r="AD206" s="408">
        <v>1065827</v>
      </c>
      <c r="AE206" s="408">
        <v>0</v>
      </c>
      <c r="AF206" s="408">
        <v>0</v>
      </c>
      <c r="AG206" s="408">
        <v>0</v>
      </c>
      <c r="AH206" s="408">
        <v>0</v>
      </c>
      <c r="AI206" s="408">
        <v>0</v>
      </c>
      <c r="AJ206" s="408">
        <v>0</v>
      </c>
      <c r="AK206" s="408">
        <v>0</v>
      </c>
      <c r="AL206" s="408">
        <v>0</v>
      </c>
      <c r="AM206" s="408">
        <v>0</v>
      </c>
      <c r="AN206" s="408">
        <v>0</v>
      </c>
      <c r="AO206" s="408">
        <v>0</v>
      </c>
      <c r="AP206" s="408">
        <v>0</v>
      </c>
      <c r="AQ206" s="408">
        <v>183840</v>
      </c>
      <c r="AR206" s="408">
        <v>0</v>
      </c>
      <c r="AS206" s="408">
        <v>0</v>
      </c>
      <c r="AT206" s="408">
        <v>0</v>
      </c>
      <c r="AU206" s="408">
        <v>0</v>
      </c>
      <c r="AV206" s="408">
        <v>0</v>
      </c>
      <c r="AW206" s="408">
        <v>0</v>
      </c>
      <c r="AX206" s="408">
        <v>0</v>
      </c>
      <c r="AY206" s="408">
        <v>630501</v>
      </c>
      <c r="AZ206" s="408">
        <v>0</v>
      </c>
      <c r="BA206" s="408">
        <v>0</v>
      </c>
      <c r="BB206" s="408">
        <v>0</v>
      </c>
      <c r="BC206" s="408">
        <v>501181</v>
      </c>
      <c r="BD206" s="408">
        <v>0</v>
      </c>
      <c r="BE206" s="408">
        <v>0</v>
      </c>
      <c r="BF206" s="408">
        <v>0</v>
      </c>
      <c r="BG206" s="408">
        <v>565578</v>
      </c>
      <c r="BH206" s="408">
        <v>0</v>
      </c>
      <c r="BI206" s="408">
        <v>0</v>
      </c>
      <c r="BJ206" s="408">
        <v>945570</v>
      </c>
      <c r="BK206" s="408">
        <v>0</v>
      </c>
      <c r="BL206" s="408">
        <v>0</v>
      </c>
      <c r="BM206" s="408">
        <v>0</v>
      </c>
      <c r="BN206" s="408">
        <v>23611</v>
      </c>
      <c r="BO206" s="408">
        <v>0</v>
      </c>
      <c r="BP206" s="408">
        <v>0</v>
      </c>
      <c r="BQ206" s="408">
        <v>0</v>
      </c>
      <c r="BR206" s="408">
        <v>1764426</v>
      </c>
      <c r="BS206" s="408">
        <v>0</v>
      </c>
      <c r="BT206" s="408">
        <v>241637</v>
      </c>
    </row>
    <row r="207" spans="1:72" s="408" customFormat="1" x14ac:dyDescent="0.3">
      <c r="A207" s="408">
        <v>557</v>
      </c>
      <c r="B207" s="409">
        <v>557</v>
      </c>
      <c r="C207" s="408">
        <v>557</v>
      </c>
      <c r="D207" s="408" t="s">
        <v>584</v>
      </c>
      <c r="E207" s="408" t="s">
        <v>585</v>
      </c>
      <c r="F207" s="408">
        <v>0</v>
      </c>
      <c r="G207" s="408">
        <v>0</v>
      </c>
      <c r="H207" s="408">
        <v>0</v>
      </c>
      <c r="I207" s="408">
        <v>1109439</v>
      </c>
      <c r="J207" s="408">
        <v>0</v>
      </c>
      <c r="K207" s="408">
        <v>0</v>
      </c>
      <c r="L207" s="408">
        <v>0</v>
      </c>
      <c r="M207" s="408">
        <v>0</v>
      </c>
      <c r="N207" s="408">
        <v>1354536</v>
      </c>
      <c r="O207" s="408">
        <v>0</v>
      </c>
      <c r="P207" s="408">
        <v>0</v>
      </c>
      <c r="Q207" s="408">
        <v>0</v>
      </c>
      <c r="R207" s="408">
        <v>726009</v>
      </c>
      <c r="S207" s="408">
        <v>3545996</v>
      </c>
      <c r="T207" s="408">
        <v>0</v>
      </c>
      <c r="U207" s="408">
        <v>0</v>
      </c>
      <c r="V207" s="408">
        <v>0</v>
      </c>
      <c r="W207" s="408">
        <v>0</v>
      </c>
      <c r="X207" s="408">
        <v>0</v>
      </c>
      <c r="Y207" s="408">
        <v>0</v>
      </c>
      <c r="Z207" s="408">
        <v>320800</v>
      </c>
      <c r="AA207" s="408">
        <v>0</v>
      </c>
      <c r="AB207" s="408">
        <v>0</v>
      </c>
      <c r="AC207" s="408">
        <v>0</v>
      </c>
      <c r="AD207" s="408">
        <v>874071</v>
      </c>
      <c r="AE207" s="408">
        <v>0</v>
      </c>
      <c r="AF207" s="408">
        <v>0</v>
      </c>
      <c r="AG207" s="408">
        <v>0</v>
      </c>
      <c r="AH207" s="408">
        <v>0</v>
      </c>
      <c r="AI207" s="408">
        <v>0</v>
      </c>
      <c r="AJ207" s="408">
        <v>0</v>
      </c>
      <c r="AK207" s="408">
        <v>0</v>
      </c>
      <c r="AL207" s="408">
        <v>0</v>
      </c>
      <c r="AM207" s="408">
        <v>0</v>
      </c>
      <c r="AN207" s="408">
        <v>0</v>
      </c>
      <c r="AO207" s="408">
        <v>0</v>
      </c>
      <c r="AP207" s="408">
        <v>0</v>
      </c>
      <c r="AQ207" s="408">
        <v>0</v>
      </c>
      <c r="AR207" s="408">
        <v>0</v>
      </c>
      <c r="AS207" s="408">
        <v>0</v>
      </c>
      <c r="AT207" s="408">
        <v>0</v>
      </c>
      <c r="AU207" s="408">
        <v>0</v>
      </c>
      <c r="AV207" s="408">
        <v>0</v>
      </c>
      <c r="AW207" s="408">
        <v>0</v>
      </c>
      <c r="AX207" s="408">
        <v>0</v>
      </c>
      <c r="AY207" s="408">
        <v>500000</v>
      </c>
      <c r="AZ207" s="408">
        <v>0</v>
      </c>
      <c r="BA207" s="408">
        <v>0</v>
      </c>
      <c r="BB207" s="408">
        <v>0</v>
      </c>
      <c r="BC207" s="408">
        <v>340299</v>
      </c>
      <c r="BD207" s="408">
        <v>0</v>
      </c>
      <c r="BE207" s="408">
        <v>0</v>
      </c>
      <c r="BF207" s="408">
        <v>0</v>
      </c>
      <c r="BG207" s="408">
        <v>565578</v>
      </c>
      <c r="BH207" s="408">
        <v>0</v>
      </c>
      <c r="BI207" s="408">
        <v>0</v>
      </c>
      <c r="BJ207" s="408">
        <v>613333</v>
      </c>
      <c r="BK207" s="408">
        <v>0</v>
      </c>
      <c r="BL207" s="408">
        <v>0</v>
      </c>
      <c r="BM207" s="408">
        <v>0</v>
      </c>
      <c r="BN207" s="408">
        <v>0</v>
      </c>
      <c r="BO207" s="408">
        <v>0</v>
      </c>
      <c r="BP207" s="408">
        <v>0</v>
      </c>
      <c r="BQ207" s="408">
        <v>0</v>
      </c>
      <c r="BR207" s="408">
        <v>1427685</v>
      </c>
      <c r="BS207" s="408">
        <v>0</v>
      </c>
      <c r="BT207" s="408">
        <v>0</v>
      </c>
    </row>
    <row r="208" spans="1:72" s="408" customFormat="1" x14ac:dyDescent="0.3">
      <c r="A208" s="408">
        <v>558</v>
      </c>
      <c r="B208" s="409"/>
      <c r="C208" s="408">
        <v>558</v>
      </c>
      <c r="E208" s="408" t="s">
        <v>586</v>
      </c>
    </row>
    <row r="209" spans="1:5" s="408" customFormat="1" x14ac:dyDescent="0.3">
      <c r="A209" s="408">
        <v>559</v>
      </c>
      <c r="B209" s="409"/>
      <c r="C209" s="408">
        <v>559</v>
      </c>
      <c r="E209" s="408" t="s">
        <v>587</v>
      </c>
    </row>
    <row r="210" spans="1:5" s="408" customFormat="1" x14ac:dyDescent="0.3">
      <c r="A210" s="408">
        <v>560</v>
      </c>
      <c r="B210" s="409"/>
      <c r="C210" s="408">
        <v>560</v>
      </c>
      <c r="E210" s="408" t="s">
        <v>588</v>
      </c>
    </row>
    <row r="211" spans="1:5" s="408" customFormat="1" x14ac:dyDescent="0.3">
      <c r="A211" s="408">
        <v>561</v>
      </c>
      <c r="B211" s="409"/>
      <c r="C211" s="408">
        <v>561</v>
      </c>
      <c r="E211" s="408" t="s">
        <v>589</v>
      </c>
    </row>
    <row r="212" spans="1:5" s="408" customFormat="1" x14ac:dyDescent="0.3">
      <c r="A212" s="408">
        <v>562</v>
      </c>
      <c r="B212" s="409"/>
      <c r="C212" s="408">
        <v>562</v>
      </c>
      <c r="E212" s="408" t="s">
        <v>590</v>
      </c>
    </row>
    <row r="213" spans="1:5" s="408" customFormat="1" x14ac:dyDescent="0.3">
      <c r="A213" s="408">
        <v>563</v>
      </c>
      <c r="B213" s="409"/>
      <c r="C213" s="408">
        <v>563</v>
      </c>
      <c r="E213" s="408" t="s">
        <v>591</v>
      </c>
    </row>
    <row r="214" spans="1:5" s="408" customFormat="1" x14ac:dyDescent="0.3">
      <c r="A214" s="408">
        <v>564</v>
      </c>
      <c r="B214" s="409"/>
      <c r="C214" s="408">
        <v>564</v>
      </c>
      <c r="E214" s="408" t="s">
        <v>592</v>
      </c>
    </row>
    <row r="215" spans="1:5" s="408" customFormat="1" x14ac:dyDescent="0.3">
      <c r="A215" s="408">
        <v>565</v>
      </c>
      <c r="B215" s="409"/>
      <c r="C215" s="408">
        <v>565</v>
      </c>
      <c r="E215" s="408" t="s">
        <v>593</v>
      </c>
    </row>
    <row r="216" spans="1:5" s="408" customFormat="1" x14ac:dyDescent="0.3">
      <c r="A216" s="408">
        <v>566</v>
      </c>
      <c r="B216" s="409"/>
      <c r="C216" s="408">
        <v>566</v>
      </c>
      <c r="E216" s="408" t="s">
        <v>594</v>
      </c>
    </row>
    <row r="217" spans="1:5" s="408" customFormat="1" x14ac:dyDescent="0.3">
      <c r="A217" s="408">
        <v>567</v>
      </c>
      <c r="B217" s="409"/>
      <c r="C217" s="408">
        <v>567</v>
      </c>
      <c r="E217" s="408" t="s">
        <v>595</v>
      </c>
    </row>
    <row r="218" spans="1:5" s="408" customFormat="1" x14ac:dyDescent="0.3">
      <c r="A218" s="408">
        <v>568</v>
      </c>
      <c r="B218" s="409"/>
      <c r="C218" s="408">
        <v>568</v>
      </c>
      <c r="E218" s="408" t="s">
        <v>596</v>
      </c>
    </row>
    <row r="219" spans="1:5" s="408" customFormat="1" x14ac:dyDescent="0.3">
      <c r="A219" s="408">
        <v>569</v>
      </c>
      <c r="B219" s="409"/>
      <c r="C219" s="408">
        <v>569</v>
      </c>
      <c r="E219" s="408" t="s">
        <v>597</v>
      </c>
    </row>
    <row r="220" spans="1:5" s="408" customFormat="1" x14ac:dyDescent="0.3">
      <c r="A220" s="408">
        <v>570</v>
      </c>
      <c r="B220" s="409"/>
      <c r="C220" s="408">
        <v>570</v>
      </c>
      <c r="E220" s="408" t="s">
        <v>598</v>
      </c>
    </row>
    <row r="221" spans="1:5" s="408" customFormat="1" x14ac:dyDescent="0.3">
      <c r="A221" s="408">
        <v>571</v>
      </c>
      <c r="B221" s="409"/>
      <c r="C221" s="408">
        <v>571</v>
      </c>
      <c r="E221" s="408" t="s">
        <v>599</v>
      </c>
    </row>
    <row r="222" spans="1:5" s="408" customFormat="1" x14ac:dyDescent="0.3">
      <c r="A222" s="408">
        <v>572</v>
      </c>
      <c r="B222" s="409"/>
      <c r="C222" s="408">
        <v>572</v>
      </c>
      <c r="E222" s="408" t="s">
        <v>600</v>
      </c>
    </row>
    <row r="223" spans="1:5" s="408" customFormat="1" x14ac:dyDescent="0.3">
      <c r="A223" s="408">
        <v>573</v>
      </c>
      <c r="B223" s="409"/>
      <c r="C223" s="408">
        <v>573</v>
      </c>
      <c r="E223" s="408" t="s">
        <v>601</v>
      </c>
    </row>
    <row r="224" spans="1:5" s="408" customFormat="1" x14ac:dyDescent="0.3">
      <c r="A224" s="408">
        <v>574</v>
      </c>
      <c r="B224" s="409"/>
      <c r="C224" s="408">
        <v>574</v>
      </c>
      <c r="E224" s="408" t="s">
        <v>602</v>
      </c>
    </row>
    <row r="225" spans="1:72" s="408" customFormat="1" x14ac:dyDescent="0.3">
      <c r="A225" s="408">
        <v>575</v>
      </c>
      <c r="B225" s="409">
        <v>575</v>
      </c>
      <c r="C225" s="408">
        <v>575</v>
      </c>
      <c r="D225" s="408" t="s">
        <v>547</v>
      </c>
      <c r="E225" s="408" t="s">
        <v>643</v>
      </c>
      <c r="F225" s="408">
        <v>0</v>
      </c>
      <c r="G225" s="408">
        <v>0</v>
      </c>
      <c r="H225" s="408">
        <v>0</v>
      </c>
      <c r="I225" s="408">
        <v>0</v>
      </c>
      <c r="J225" s="408">
        <v>0</v>
      </c>
      <c r="K225" s="408">
        <v>226273</v>
      </c>
      <c r="L225" s="408">
        <v>0</v>
      </c>
      <c r="M225" s="408">
        <v>9544</v>
      </c>
      <c r="N225" s="408">
        <v>0</v>
      </c>
      <c r="O225" s="408">
        <v>0</v>
      </c>
      <c r="P225" s="408">
        <v>0</v>
      </c>
      <c r="Q225" s="408">
        <v>0</v>
      </c>
      <c r="R225" s="408">
        <v>0</v>
      </c>
      <c r="S225" s="408">
        <v>0</v>
      </c>
      <c r="T225" s="408">
        <v>0</v>
      </c>
      <c r="U225" s="408">
        <v>0</v>
      </c>
      <c r="V225" s="408">
        <v>0</v>
      </c>
      <c r="W225" s="408">
        <v>0</v>
      </c>
      <c r="X225" s="408">
        <v>0</v>
      </c>
      <c r="Y225" s="408">
        <v>3568</v>
      </c>
      <c r="Z225" s="408">
        <v>0</v>
      </c>
      <c r="AA225" s="408">
        <v>0</v>
      </c>
      <c r="AB225" s="408">
        <v>0</v>
      </c>
      <c r="AC225" s="408">
        <v>0</v>
      </c>
      <c r="AD225" s="408">
        <v>0</v>
      </c>
      <c r="AE225" s="408">
        <v>0</v>
      </c>
      <c r="AF225" s="408">
        <v>269669</v>
      </c>
      <c r="AG225" s="408">
        <v>0</v>
      </c>
      <c r="AH225" s="408">
        <v>0</v>
      </c>
      <c r="AI225" s="408">
        <v>0</v>
      </c>
      <c r="AJ225" s="408">
        <v>0</v>
      </c>
      <c r="AK225" s="408">
        <v>59002</v>
      </c>
      <c r="AL225" s="408">
        <v>0</v>
      </c>
      <c r="AM225" s="408">
        <v>0</v>
      </c>
      <c r="AN225" s="408">
        <v>0</v>
      </c>
      <c r="AO225" s="408">
        <v>0</v>
      </c>
      <c r="AP225" s="408">
        <v>0</v>
      </c>
      <c r="AQ225" s="408">
        <v>0</v>
      </c>
      <c r="AR225" s="408">
        <v>0</v>
      </c>
      <c r="AS225" s="408">
        <v>267778</v>
      </c>
      <c r="AT225" s="408">
        <v>0</v>
      </c>
      <c r="AU225" s="408">
        <v>0</v>
      </c>
      <c r="AV225" s="408">
        <v>0</v>
      </c>
      <c r="AW225" s="408">
        <v>0</v>
      </c>
      <c r="AX225" s="408">
        <v>77649</v>
      </c>
      <c r="AY225" s="408">
        <v>0</v>
      </c>
      <c r="AZ225" s="408">
        <v>0</v>
      </c>
      <c r="BA225" s="408">
        <v>0</v>
      </c>
      <c r="BB225" s="408">
        <v>0</v>
      </c>
      <c r="BC225" s="408">
        <v>0</v>
      </c>
      <c r="BD225" s="408">
        <v>0</v>
      </c>
      <c r="BE225" s="408">
        <v>0</v>
      </c>
      <c r="BF225" s="408">
        <v>0</v>
      </c>
      <c r="BG225" s="408">
        <v>0</v>
      </c>
      <c r="BH225" s="408">
        <v>0</v>
      </c>
      <c r="BI225" s="408">
        <v>0</v>
      </c>
      <c r="BJ225" s="408">
        <v>0</v>
      </c>
      <c r="BK225" s="408">
        <v>5916</v>
      </c>
      <c r="BL225" s="408">
        <v>80000</v>
      </c>
      <c r="BM225" s="408">
        <v>0</v>
      </c>
      <c r="BN225" s="408">
        <v>0</v>
      </c>
      <c r="BO225" s="408">
        <v>0</v>
      </c>
      <c r="BP225" s="408">
        <v>25598</v>
      </c>
      <c r="BQ225" s="408">
        <v>0</v>
      </c>
      <c r="BR225" s="408">
        <v>1685794</v>
      </c>
      <c r="BS225" s="408">
        <v>0</v>
      </c>
      <c r="BT225" s="408">
        <v>0</v>
      </c>
    </row>
    <row r="226" spans="1:72" s="408" customFormat="1" x14ac:dyDescent="0.3">
      <c r="A226" s="408">
        <v>576</v>
      </c>
      <c r="B226" s="409">
        <v>576</v>
      </c>
      <c r="C226" s="408">
        <v>576</v>
      </c>
      <c r="D226" s="408" t="s">
        <v>548</v>
      </c>
      <c r="E226" s="408" t="s">
        <v>644</v>
      </c>
      <c r="F226" s="408">
        <v>0</v>
      </c>
      <c r="G226" s="408">
        <v>0</v>
      </c>
      <c r="H226" s="408">
        <v>0</v>
      </c>
      <c r="I226" s="408">
        <v>760973</v>
      </c>
      <c r="J226" s="408">
        <v>0</v>
      </c>
      <c r="K226" s="408">
        <v>0</v>
      </c>
      <c r="L226" s="408">
        <v>0</v>
      </c>
      <c r="M226" s="408">
        <v>0</v>
      </c>
      <c r="N226" s="408">
        <v>0</v>
      </c>
      <c r="O226" s="408">
        <v>0</v>
      </c>
      <c r="P226" s="408">
        <v>0</v>
      </c>
      <c r="Q226" s="408">
        <v>0</v>
      </c>
      <c r="R226" s="408">
        <v>0</v>
      </c>
      <c r="S226" s="408">
        <v>0</v>
      </c>
      <c r="T226" s="408">
        <v>0</v>
      </c>
      <c r="U226" s="408">
        <v>0</v>
      </c>
      <c r="V226" s="408">
        <v>0</v>
      </c>
      <c r="W226" s="408">
        <v>0</v>
      </c>
      <c r="X226" s="408">
        <v>0</v>
      </c>
      <c r="Y226" s="408">
        <v>0</v>
      </c>
      <c r="Z226" s="408">
        <v>0</v>
      </c>
      <c r="AA226" s="408">
        <v>0</v>
      </c>
      <c r="AB226" s="408">
        <v>0</v>
      </c>
      <c r="AC226" s="408">
        <v>0</v>
      </c>
      <c r="AD226" s="408">
        <v>0</v>
      </c>
      <c r="AE226" s="408">
        <v>0</v>
      </c>
      <c r="AF226" s="408">
        <v>0</v>
      </c>
      <c r="AG226" s="408">
        <v>0</v>
      </c>
      <c r="AH226" s="408">
        <v>0</v>
      </c>
      <c r="AI226" s="408">
        <v>0</v>
      </c>
      <c r="AJ226" s="408">
        <v>0</v>
      </c>
      <c r="AK226" s="408">
        <v>0</v>
      </c>
      <c r="AL226" s="408">
        <v>0</v>
      </c>
      <c r="AM226" s="408">
        <v>0</v>
      </c>
      <c r="AN226" s="408">
        <v>0</v>
      </c>
      <c r="AO226" s="408">
        <v>0</v>
      </c>
      <c r="AP226" s="408">
        <v>0</v>
      </c>
      <c r="AQ226" s="408">
        <v>0</v>
      </c>
      <c r="AR226" s="408">
        <v>0</v>
      </c>
      <c r="AS226" s="408">
        <v>0</v>
      </c>
      <c r="AT226" s="408">
        <v>0</v>
      </c>
      <c r="AU226" s="408">
        <v>0</v>
      </c>
      <c r="AV226" s="408">
        <v>0</v>
      </c>
      <c r="AW226" s="408">
        <v>0</v>
      </c>
      <c r="AX226" s="408">
        <v>0</v>
      </c>
      <c r="AY226" s="408">
        <v>0</v>
      </c>
      <c r="AZ226" s="408">
        <v>0</v>
      </c>
      <c r="BA226" s="408">
        <v>0</v>
      </c>
      <c r="BB226" s="408">
        <v>0</v>
      </c>
      <c r="BC226" s="408">
        <v>0</v>
      </c>
      <c r="BD226" s="408">
        <v>0</v>
      </c>
      <c r="BE226" s="408">
        <v>0</v>
      </c>
      <c r="BF226" s="408">
        <v>0</v>
      </c>
      <c r="BG226" s="408">
        <v>60542</v>
      </c>
      <c r="BH226" s="408">
        <v>0</v>
      </c>
      <c r="BI226" s="408">
        <v>0</v>
      </c>
      <c r="BJ226" s="408">
        <v>0</v>
      </c>
      <c r="BK226" s="408">
        <v>0</v>
      </c>
      <c r="BL226" s="408">
        <v>0</v>
      </c>
      <c r="BM226" s="408">
        <v>0</v>
      </c>
      <c r="BN226" s="408">
        <v>0</v>
      </c>
      <c r="BO226" s="408">
        <v>0</v>
      </c>
      <c r="BP226" s="408">
        <v>0</v>
      </c>
      <c r="BQ226" s="408">
        <v>0</v>
      </c>
      <c r="BR226" s="408">
        <v>0</v>
      </c>
      <c r="BS226" s="408">
        <v>0</v>
      </c>
      <c r="BT226" s="408">
        <v>0</v>
      </c>
    </row>
    <row r="227" spans="1:72" s="408" customFormat="1" x14ac:dyDescent="0.3">
      <c r="A227" s="408">
        <v>577</v>
      </c>
      <c r="B227" s="409">
        <v>577</v>
      </c>
      <c r="C227" s="408">
        <v>577</v>
      </c>
      <c r="D227" s="408" t="s">
        <v>645</v>
      </c>
      <c r="E227" s="408" t="s">
        <v>646</v>
      </c>
      <c r="F227" s="408">
        <v>2</v>
      </c>
      <c r="G227" s="408">
        <v>2</v>
      </c>
      <c r="H227" s="408">
        <v>0</v>
      </c>
      <c r="I227" s="408">
        <v>2</v>
      </c>
      <c r="J227" s="408">
        <v>0</v>
      </c>
      <c r="K227" s="408">
        <v>2</v>
      </c>
      <c r="L227" s="408">
        <v>2</v>
      </c>
      <c r="M227" s="408">
        <v>2</v>
      </c>
      <c r="N227" s="408">
        <v>1</v>
      </c>
      <c r="O227" s="408">
        <v>2</v>
      </c>
      <c r="P227" s="408">
        <v>2</v>
      </c>
      <c r="Q227" s="408">
        <v>2</v>
      </c>
      <c r="R227" s="408">
        <v>2</v>
      </c>
      <c r="S227" s="408">
        <v>2</v>
      </c>
      <c r="T227" s="408">
        <v>0</v>
      </c>
      <c r="U227" s="408">
        <v>2</v>
      </c>
      <c r="V227" s="408">
        <v>2</v>
      </c>
      <c r="W227" s="408">
        <v>2</v>
      </c>
      <c r="X227" s="408">
        <v>2</v>
      </c>
      <c r="Y227" s="408">
        <v>0</v>
      </c>
      <c r="Z227" s="408">
        <v>2</v>
      </c>
      <c r="AA227" s="408">
        <v>0</v>
      </c>
      <c r="AB227" s="408">
        <v>0</v>
      </c>
      <c r="AC227" s="408">
        <v>2</v>
      </c>
      <c r="AD227" s="408">
        <v>2</v>
      </c>
      <c r="AE227" s="408">
        <v>2</v>
      </c>
      <c r="AF227" s="408">
        <v>0</v>
      </c>
      <c r="AG227" s="408">
        <v>2</v>
      </c>
      <c r="AH227" s="408">
        <v>2</v>
      </c>
      <c r="AI227" s="408">
        <v>2</v>
      </c>
      <c r="AJ227" s="408">
        <v>2</v>
      </c>
      <c r="AK227" s="408">
        <v>2</v>
      </c>
      <c r="AL227" s="408">
        <v>0</v>
      </c>
      <c r="AM227" s="408">
        <v>0</v>
      </c>
      <c r="AN227" s="408">
        <v>2</v>
      </c>
      <c r="AO227" s="408">
        <v>2</v>
      </c>
      <c r="AP227" s="408">
        <v>2</v>
      </c>
      <c r="AQ227" s="408">
        <v>2</v>
      </c>
      <c r="AR227" s="408">
        <v>2</v>
      </c>
      <c r="AS227" s="408">
        <v>2</v>
      </c>
      <c r="AT227" s="408">
        <v>1</v>
      </c>
      <c r="AU227" s="408">
        <v>1</v>
      </c>
      <c r="AV227" s="408">
        <v>2</v>
      </c>
      <c r="AW227" s="408">
        <v>0</v>
      </c>
      <c r="AX227" s="408">
        <v>2</v>
      </c>
      <c r="AY227" s="408">
        <v>2</v>
      </c>
      <c r="AZ227" s="408">
        <v>2</v>
      </c>
      <c r="BA227" s="408">
        <v>2</v>
      </c>
      <c r="BB227" s="408">
        <v>2</v>
      </c>
      <c r="BC227" s="408">
        <v>2</v>
      </c>
      <c r="BD227" s="408">
        <v>2</v>
      </c>
      <c r="BE227" s="408">
        <v>2</v>
      </c>
      <c r="BF227" s="408">
        <v>2</v>
      </c>
      <c r="BG227" s="408">
        <v>2</v>
      </c>
      <c r="BH227" s="408">
        <v>2</v>
      </c>
      <c r="BI227" s="408">
        <v>2</v>
      </c>
      <c r="BJ227" s="408">
        <v>2</v>
      </c>
      <c r="BK227" s="408">
        <v>2</v>
      </c>
      <c r="BL227" s="408">
        <v>2</v>
      </c>
      <c r="BM227" s="408">
        <v>0</v>
      </c>
      <c r="BN227" s="408">
        <v>2</v>
      </c>
      <c r="BO227" s="408">
        <v>0</v>
      </c>
      <c r="BP227" s="408">
        <v>2</v>
      </c>
      <c r="BQ227" s="408">
        <v>2</v>
      </c>
      <c r="BR227" s="408">
        <v>2</v>
      </c>
      <c r="BS227" s="408">
        <v>2</v>
      </c>
      <c r="BT227" s="408">
        <v>1</v>
      </c>
    </row>
    <row r="228" spans="1:72" s="408" customFormat="1" x14ac:dyDescent="0.3">
      <c r="A228" s="408">
        <v>578</v>
      </c>
      <c r="B228" s="409">
        <v>578</v>
      </c>
      <c r="C228" s="408">
        <v>578</v>
      </c>
      <c r="D228" s="408" t="s">
        <v>647</v>
      </c>
      <c r="E228" s="408" t="s">
        <v>648</v>
      </c>
      <c r="F228" s="408">
        <v>0</v>
      </c>
      <c r="G228" s="408">
        <v>0</v>
      </c>
      <c r="H228" s="408">
        <v>0</v>
      </c>
      <c r="I228" s="408">
        <v>0</v>
      </c>
      <c r="J228" s="408">
        <v>0</v>
      </c>
      <c r="K228" s="408">
        <v>0</v>
      </c>
      <c r="L228" s="408">
        <v>0</v>
      </c>
      <c r="M228" s="408">
        <v>0</v>
      </c>
      <c r="N228" s="408">
        <v>0</v>
      </c>
      <c r="O228" s="408">
        <v>0</v>
      </c>
      <c r="P228" s="408">
        <v>0</v>
      </c>
      <c r="Q228" s="408">
        <v>0</v>
      </c>
      <c r="R228" s="408">
        <v>0</v>
      </c>
      <c r="S228" s="408">
        <v>0</v>
      </c>
      <c r="T228" s="408">
        <v>0</v>
      </c>
      <c r="U228" s="408">
        <v>0</v>
      </c>
      <c r="V228" s="408">
        <v>0</v>
      </c>
      <c r="W228" s="408">
        <v>0</v>
      </c>
      <c r="X228" s="408">
        <v>0</v>
      </c>
      <c r="Y228" s="408">
        <v>0</v>
      </c>
      <c r="Z228" s="408">
        <v>0</v>
      </c>
      <c r="AA228" s="408">
        <v>0</v>
      </c>
      <c r="AB228" s="408">
        <v>0</v>
      </c>
      <c r="AC228" s="408">
        <v>0</v>
      </c>
      <c r="AD228" s="408">
        <v>0</v>
      </c>
      <c r="AE228" s="408">
        <v>0</v>
      </c>
      <c r="AF228" s="408">
        <v>0</v>
      </c>
      <c r="AG228" s="408">
        <v>0</v>
      </c>
      <c r="AH228" s="408">
        <v>0</v>
      </c>
      <c r="AI228" s="408">
        <v>0</v>
      </c>
      <c r="AJ228" s="408">
        <v>0</v>
      </c>
      <c r="AK228" s="408">
        <v>0</v>
      </c>
      <c r="AL228" s="408">
        <v>0</v>
      </c>
      <c r="AM228" s="408">
        <v>0</v>
      </c>
      <c r="AN228" s="408">
        <v>0</v>
      </c>
      <c r="AO228" s="408">
        <v>706753</v>
      </c>
      <c r="AP228" s="408">
        <v>0</v>
      </c>
      <c r="AQ228" s="408">
        <v>0</v>
      </c>
      <c r="AR228" s="408">
        <v>0</v>
      </c>
      <c r="AS228" s="408">
        <v>0</v>
      </c>
      <c r="AT228" s="408">
        <v>0</v>
      </c>
      <c r="AU228" s="408">
        <v>0</v>
      </c>
      <c r="AV228" s="408">
        <v>0</v>
      </c>
      <c r="AW228" s="408">
        <v>0</v>
      </c>
      <c r="AX228" s="408">
        <v>0</v>
      </c>
      <c r="AY228" s="408">
        <v>0</v>
      </c>
      <c r="AZ228" s="408">
        <v>0</v>
      </c>
      <c r="BA228" s="408">
        <v>0</v>
      </c>
      <c r="BB228" s="408">
        <v>0</v>
      </c>
      <c r="BC228" s="408">
        <v>0</v>
      </c>
      <c r="BD228" s="408">
        <v>0</v>
      </c>
      <c r="BE228" s="408">
        <v>0</v>
      </c>
      <c r="BF228" s="408">
        <v>0</v>
      </c>
      <c r="BG228" s="408">
        <v>0</v>
      </c>
      <c r="BH228" s="408">
        <v>0</v>
      </c>
      <c r="BI228" s="408">
        <v>0</v>
      </c>
      <c r="BJ228" s="408">
        <v>0</v>
      </c>
      <c r="BK228" s="408">
        <v>5916</v>
      </c>
      <c r="BL228" s="408">
        <v>80000</v>
      </c>
      <c r="BM228" s="408">
        <v>0</v>
      </c>
      <c r="BN228" s="408">
        <v>0</v>
      </c>
      <c r="BO228" s="408">
        <v>0</v>
      </c>
      <c r="BP228" s="408">
        <v>0</v>
      </c>
      <c r="BQ228" s="408">
        <v>0</v>
      </c>
      <c r="BR228" s="408">
        <v>0</v>
      </c>
      <c r="BS228" s="408">
        <v>0</v>
      </c>
      <c r="BT228" s="408">
        <v>0</v>
      </c>
    </row>
    <row r="229" spans="1:72" s="408" customFormat="1" x14ac:dyDescent="0.3">
      <c r="A229" s="408">
        <v>579</v>
      </c>
      <c r="B229" s="409">
        <v>579</v>
      </c>
      <c r="C229" s="408">
        <v>579</v>
      </c>
      <c r="D229" s="408" t="s">
        <v>649</v>
      </c>
      <c r="E229" s="408" t="s">
        <v>650</v>
      </c>
      <c r="F229" s="408">
        <v>0</v>
      </c>
      <c r="G229" s="408">
        <v>0</v>
      </c>
      <c r="H229" s="408">
        <v>0</v>
      </c>
      <c r="I229" s="408">
        <v>0</v>
      </c>
      <c r="J229" s="408">
        <v>0</v>
      </c>
      <c r="K229" s="408">
        <v>0</v>
      </c>
      <c r="L229" s="408">
        <v>0</v>
      </c>
      <c r="M229" s="408">
        <v>0</v>
      </c>
      <c r="N229" s="408">
        <v>0</v>
      </c>
      <c r="O229" s="408">
        <v>0</v>
      </c>
      <c r="P229" s="408">
        <v>0</v>
      </c>
      <c r="Q229" s="408">
        <v>0</v>
      </c>
      <c r="R229" s="408">
        <v>0</v>
      </c>
      <c r="S229" s="408">
        <v>0</v>
      </c>
      <c r="T229" s="408">
        <v>0</v>
      </c>
      <c r="U229" s="408">
        <v>0</v>
      </c>
      <c r="V229" s="408">
        <v>0</v>
      </c>
      <c r="W229" s="408">
        <v>0</v>
      </c>
      <c r="X229" s="408">
        <v>0</v>
      </c>
      <c r="Y229" s="408">
        <v>0</v>
      </c>
      <c r="Z229" s="408">
        <v>0</v>
      </c>
      <c r="AA229" s="408">
        <v>0</v>
      </c>
      <c r="AB229" s="408">
        <v>0</v>
      </c>
      <c r="AC229" s="408">
        <v>0</v>
      </c>
      <c r="AD229" s="408">
        <v>0</v>
      </c>
      <c r="AE229" s="408">
        <v>0</v>
      </c>
      <c r="AF229" s="408">
        <v>0</v>
      </c>
      <c r="AG229" s="408">
        <v>0</v>
      </c>
      <c r="AH229" s="408">
        <v>0</v>
      </c>
      <c r="AI229" s="408">
        <v>0</v>
      </c>
      <c r="AJ229" s="408">
        <v>0</v>
      </c>
      <c r="AK229" s="408">
        <v>0</v>
      </c>
      <c r="AL229" s="408">
        <v>0</v>
      </c>
      <c r="AM229" s="408">
        <v>0</v>
      </c>
      <c r="AN229" s="408">
        <v>0</v>
      </c>
      <c r="AO229" s="408">
        <v>0</v>
      </c>
      <c r="AP229" s="408">
        <v>0</v>
      </c>
      <c r="AQ229" s="408">
        <v>0</v>
      </c>
      <c r="AR229" s="408">
        <v>0</v>
      </c>
      <c r="AS229" s="408">
        <v>0</v>
      </c>
      <c r="AT229" s="408">
        <v>0</v>
      </c>
      <c r="AU229" s="408">
        <v>0</v>
      </c>
      <c r="AV229" s="408">
        <v>0</v>
      </c>
      <c r="AW229" s="408">
        <v>0</v>
      </c>
      <c r="AX229" s="408">
        <v>0</v>
      </c>
      <c r="AY229" s="408">
        <v>0</v>
      </c>
      <c r="AZ229" s="408">
        <v>0</v>
      </c>
      <c r="BA229" s="408">
        <v>0</v>
      </c>
      <c r="BB229" s="408">
        <v>0</v>
      </c>
      <c r="BC229" s="408">
        <v>0</v>
      </c>
      <c r="BD229" s="408">
        <v>0</v>
      </c>
      <c r="BE229" s="408">
        <v>0</v>
      </c>
      <c r="BF229" s="408">
        <v>0</v>
      </c>
      <c r="BG229" s="408">
        <v>0</v>
      </c>
      <c r="BH229" s="408">
        <v>0</v>
      </c>
      <c r="BI229" s="408">
        <v>0</v>
      </c>
      <c r="BJ229" s="408">
        <v>0</v>
      </c>
      <c r="BK229" s="408">
        <v>0</v>
      </c>
      <c r="BL229" s="408">
        <v>0</v>
      </c>
      <c r="BM229" s="408">
        <v>0</v>
      </c>
      <c r="BN229" s="408">
        <v>0</v>
      </c>
      <c r="BO229" s="408">
        <v>0</v>
      </c>
      <c r="BP229" s="408">
        <v>0</v>
      </c>
      <c r="BQ229" s="408">
        <v>0</v>
      </c>
      <c r="BR229" s="408">
        <v>356294</v>
      </c>
      <c r="BS229" s="408">
        <v>0</v>
      </c>
      <c r="BT229" s="408">
        <v>0</v>
      </c>
    </row>
    <row r="230" spans="1:72" s="408" customFormat="1" x14ac:dyDescent="0.3">
      <c r="A230" s="408">
        <v>580</v>
      </c>
      <c r="B230" s="409">
        <v>580</v>
      </c>
      <c r="C230" s="408">
        <v>580</v>
      </c>
      <c r="D230" s="408" t="s">
        <v>651</v>
      </c>
      <c r="E230" s="408" t="s">
        <v>652</v>
      </c>
      <c r="F230" s="408">
        <v>0</v>
      </c>
      <c r="G230" s="408">
        <v>0</v>
      </c>
      <c r="H230" s="408">
        <v>0</v>
      </c>
      <c r="I230" s="408">
        <v>0</v>
      </c>
      <c r="J230" s="408">
        <v>0</v>
      </c>
      <c r="K230" s="408">
        <v>0</v>
      </c>
      <c r="L230" s="408">
        <v>0</v>
      </c>
      <c r="M230" s="408">
        <v>0</v>
      </c>
      <c r="N230" s="408">
        <v>0</v>
      </c>
      <c r="O230" s="408">
        <v>0</v>
      </c>
      <c r="P230" s="408">
        <v>0</v>
      </c>
      <c r="Q230" s="408">
        <v>0</v>
      </c>
      <c r="R230" s="408">
        <v>0</v>
      </c>
      <c r="S230" s="408">
        <v>0</v>
      </c>
      <c r="T230" s="408">
        <v>0</v>
      </c>
      <c r="U230" s="408">
        <v>0</v>
      </c>
      <c r="V230" s="408">
        <v>0</v>
      </c>
      <c r="W230" s="408">
        <v>0</v>
      </c>
      <c r="X230" s="408">
        <v>0</v>
      </c>
      <c r="Y230" s="408">
        <v>0</v>
      </c>
      <c r="Z230" s="408">
        <v>0</v>
      </c>
      <c r="AA230" s="408">
        <v>0</v>
      </c>
      <c r="AB230" s="408">
        <v>0</v>
      </c>
      <c r="AC230" s="408">
        <v>0</v>
      </c>
      <c r="AD230" s="408">
        <v>0</v>
      </c>
      <c r="AE230" s="408">
        <v>0</v>
      </c>
      <c r="AF230" s="408">
        <v>0</v>
      </c>
      <c r="AG230" s="408">
        <v>0</v>
      </c>
      <c r="AH230" s="408">
        <v>0</v>
      </c>
      <c r="AI230" s="408">
        <v>0</v>
      </c>
      <c r="AJ230" s="408">
        <v>0</v>
      </c>
      <c r="AK230" s="408">
        <v>0</v>
      </c>
      <c r="AL230" s="408">
        <v>0</v>
      </c>
      <c r="AM230" s="408">
        <v>0</v>
      </c>
      <c r="AN230" s="408">
        <v>0</v>
      </c>
      <c r="AO230" s="408">
        <v>0</v>
      </c>
      <c r="AP230" s="408">
        <v>0</v>
      </c>
      <c r="AQ230" s="408">
        <v>0</v>
      </c>
      <c r="AR230" s="408">
        <v>0</v>
      </c>
      <c r="AS230" s="408">
        <v>0</v>
      </c>
      <c r="AT230" s="408">
        <v>0</v>
      </c>
      <c r="AU230" s="408">
        <v>0</v>
      </c>
      <c r="AV230" s="408">
        <v>0</v>
      </c>
      <c r="AW230" s="408">
        <v>0</v>
      </c>
      <c r="AX230" s="408">
        <v>0</v>
      </c>
      <c r="AY230" s="408">
        <v>0</v>
      </c>
      <c r="AZ230" s="408">
        <v>0</v>
      </c>
      <c r="BA230" s="408">
        <v>0</v>
      </c>
      <c r="BB230" s="408">
        <v>0</v>
      </c>
      <c r="BC230" s="408">
        <v>0</v>
      </c>
      <c r="BD230" s="408">
        <v>0</v>
      </c>
      <c r="BE230" s="408">
        <v>0</v>
      </c>
      <c r="BF230" s="408">
        <v>0</v>
      </c>
      <c r="BG230" s="408">
        <v>0</v>
      </c>
      <c r="BH230" s="408">
        <v>0</v>
      </c>
      <c r="BI230" s="408">
        <v>0</v>
      </c>
      <c r="BJ230" s="408">
        <v>0</v>
      </c>
      <c r="BK230" s="408">
        <v>0</v>
      </c>
      <c r="BL230" s="408">
        <v>0</v>
      </c>
      <c r="BM230" s="408">
        <v>0</v>
      </c>
      <c r="BN230" s="408">
        <v>0</v>
      </c>
      <c r="BO230" s="408">
        <v>0</v>
      </c>
      <c r="BP230" s="408">
        <v>0</v>
      </c>
      <c r="BQ230" s="408">
        <v>0</v>
      </c>
      <c r="BR230" s="408">
        <v>0</v>
      </c>
      <c r="BS230" s="408">
        <v>0</v>
      </c>
      <c r="BT230" s="408">
        <v>0</v>
      </c>
    </row>
    <row r="231" spans="1:72" s="408" customFormat="1" x14ac:dyDescent="0.3">
      <c r="A231" s="408">
        <v>581</v>
      </c>
      <c r="B231" s="409">
        <v>581</v>
      </c>
      <c r="C231" s="408">
        <v>581</v>
      </c>
      <c r="D231" s="408" t="s">
        <v>653</v>
      </c>
      <c r="E231" s="408" t="s">
        <v>654</v>
      </c>
      <c r="F231" s="408">
        <v>0</v>
      </c>
      <c r="G231" s="408">
        <v>0</v>
      </c>
      <c r="H231" s="408">
        <v>0</v>
      </c>
      <c r="I231" s="408">
        <v>131658</v>
      </c>
      <c r="J231" s="408">
        <v>0</v>
      </c>
      <c r="K231" s="408">
        <v>0</v>
      </c>
      <c r="L231" s="408">
        <v>0</v>
      </c>
      <c r="M231" s="408">
        <v>0</v>
      </c>
      <c r="N231" s="408">
        <v>0</v>
      </c>
      <c r="O231" s="408">
        <v>0</v>
      </c>
      <c r="P231" s="408">
        <v>0</v>
      </c>
      <c r="Q231" s="408">
        <v>0</v>
      </c>
      <c r="R231" s="408">
        <v>0</v>
      </c>
      <c r="S231" s="408">
        <v>0</v>
      </c>
      <c r="T231" s="408">
        <v>0</v>
      </c>
      <c r="U231" s="408">
        <v>0</v>
      </c>
      <c r="V231" s="408">
        <v>0</v>
      </c>
      <c r="W231" s="408">
        <v>0</v>
      </c>
      <c r="X231" s="408">
        <v>0</v>
      </c>
      <c r="Y231" s="408">
        <v>0</v>
      </c>
      <c r="Z231" s="408">
        <v>0</v>
      </c>
      <c r="AA231" s="408">
        <v>0</v>
      </c>
      <c r="AB231" s="408">
        <v>0</v>
      </c>
      <c r="AC231" s="408">
        <v>0</v>
      </c>
      <c r="AD231" s="408">
        <v>0</v>
      </c>
      <c r="AE231" s="408">
        <v>0</v>
      </c>
      <c r="AF231" s="408">
        <v>0</v>
      </c>
      <c r="AG231" s="408">
        <v>0</v>
      </c>
      <c r="AH231" s="408">
        <v>0</v>
      </c>
      <c r="AI231" s="408">
        <v>0</v>
      </c>
      <c r="AJ231" s="408">
        <v>0</v>
      </c>
      <c r="AK231" s="408">
        <v>0</v>
      </c>
      <c r="AL231" s="408">
        <v>0</v>
      </c>
      <c r="AM231" s="408">
        <v>0</v>
      </c>
      <c r="AN231" s="408">
        <v>0</v>
      </c>
      <c r="AO231" s="408">
        <v>0</v>
      </c>
      <c r="AP231" s="408">
        <v>0</v>
      </c>
      <c r="AQ231" s="408">
        <v>0</v>
      </c>
      <c r="AR231" s="408">
        <v>0</v>
      </c>
      <c r="AS231" s="408">
        <v>0</v>
      </c>
      <c r="AT231" s="408">
        <v>0</v>
      </c>
      <c r="AU231" s="408">
        <v>0</v>
      </c>
      <c r="AV231" s="408">
        <v>0</v>
      </c>
      <c r="AW231" s="408">
        <v>0</v>
      </c>
      <c r="AX231" s="408">
        <v>0</v>
      </c>
      <c r="AY231" s="408">
        <v>0</v>
      </c>
      <c r="AZ231" s="408">
        <v>0</v>
      </c>
      <c r="BA231" s="408">
        <v>0</v>
      </c>
      <c r="BB231" s="408">
        <v>0</v>
      </c>
      <c r="BC231" s="408">
        <v>0</v>
      </c>
      <c r="BD231" s="408">
        <v>0</v>
      </c>
      <c r="BE231" s="408">
        <v>0</v>
      </c>
      <c r="BF231" s="408">
        <v>0</v>
      </c>
      <c r="BG231" s="408">
        <v>0</v>
      </c>
      <c r="BH231" s="408">
        <v>0</v>
      </c>
      <c r="BI231" s="408">
        <v>0</v>
      </c>
      <c r="BJ231" s="408">
        <v>0</v>
      </c>
      <c r="BK231" s="408">
        <v>0</v>
      </c>
      <c r="BL231" s="408">
        <v>0</v>
      </c>
      <c r="BM231" s="408">
        <v>0</v>
      </c>
      <c r="BN231" s="408">
        <v>0</v>
      </c>
      <c r="BO231" s="408">
        <v>0</v>
      </c>
      <c r="BP231" s="408">
        <v>0</v>
      </c>
      <c r="BQ231" s="408">
        <v>0</v>
      </c>
      <c r="BR231" s="408">
        <v>0</v>
      </c>
      <c r="BS231" s="408">
        <v>0</v>
      </c>
      <c r="BT231" s="408">
        <v>0</v>
      </c>
    </row>
    <row r="232" spans="1:72" s="408" customFormat="1" x14ac:dyDescent="0.3">
      <c r="A232" s="408">
        <v>582</v>
      </c>
      <c r="B232" s="409"/>
      <c r="C232" s="408">
        <v>582</v>
      </c>
      <c r="D232" s="408" t="s">
        <v>655</v>
      </c>
      <c r="E232" s="408" t="s">
        <v>656</v>
      </c>
    </row>
    <row r="233" spans="1:72" s="408" customFormat="1" x14ac:dyDescent="0.3">
      <c r="A233" s="408">
        <v>583</v>
      </c>
      <c r="B233" s="409"/>
      <c r="C233" s="408">
        <v>583</v>
      </c>
      <c r="D233" s="408" t="s">
        <v>657</v>
      </c>
      <c r="E233" s="408" t="s">
        <v>658</v>
      </c>
    </row>
    <row r="234" spans="1:72" s="408" customFormat="1" x14ac:dyDescent="0.3">
      <c r="A234" s="408">
        <v>584</v>
      </c>
      <c r="B234" s="409"/>
      <c r="C234" s="408">
        <v>584</v>
      </c>
      <c r="D234" s="408" t="s">
        <v>659</v>
      </c>
      <c r="E234" s="408" t="s">
        <v>660</v>
      </c>
    </row>
    <row r="235" spans="1:72" s="408" customFormat="1" x14ac:dyDescent="0.3">
      <c r="A235" s="408">
        <v>585</v>
      </c>
      <c r="B235" s="409"/>
      <c r="C235" s="408">
        <v>585</v>
      </c>
      <c r="D235" s="408" t="s">
        <v>661</v>
      </c>
      <c r="E235" s="408" t="s">
        <v>662</v>
      </c>
    </row>
    <row r="236" spans="1:72" s="408" customFormat="1" x14ac:dyDescent="0.3">
      <c r="A236" s="408">
        <v>586</v>
      </c>
      <c r="B236" s="409">
        <v>586</v>
      </c>
      <c r="C236" s="408">
        <v>586</v>
      </c>
      <c r="D236" s="408" t="s">
        <v>663</v>
      </c>
      <c r="E236" s="408" t="s">
        <v>664</v>
      </c>
      <c r="F236" s="408">
        <v>0</v>
      </c>
      <c r="G236" s="408">
        <v>0</v>
      </c>
      <c r="H236" s="408">
        <v>0</v>
      </c>
      <c r="I236" s="408">
        <v>0</v>
      </c>
      <c r="J236" s="408">
        <v>0</v>
      </c>
      <c r="K236" s="408">
        <v>0</v>
      </c>
      <c r="L236" s="408">
        <v>0</v>
      </c>
      <c r="M236" s="408">
        <v>0</v>
      </c>
      <c r="N236" s="408">
        <v>0</v>
      </c>
      <c r="O236" s="408">
        <v>0</v>
      </c>
      <c r="P236" s="408">
        <v>0</v>
      </c>
      <c r="Q236" s="408">
        <v>0</v>
      </c>
      <c r="R236" s="408">
        <v>0</v>
      </c>
      <c r="S236" s="408">
        <v>0</v>
      </c>
      <c r="T236" s="408">
        <v>0</v>
      </c>
      <c r="U236" s="408">
        <v>0</v>
      </c>
      <c r="V236" s="408">
        <v>0</v>
      </c>
      <c r="W236" s="408">
        <v>0</v>
      </c>
      <c r="X236" s="408">
        <v>0</v>
      </c>
      <c r="Y236" s="408">
        <v>0</v>
      </c>
      <c r="Z236" s="408">
        <v>0</v>
      </c>
      <c r="AA236" s="408">
        <v>0</v>
      </c>
      <c r="AB236" s="408">
        <v>0</v>
      </c>
      <c r="AC236" s="408">
        <v>0</v>
      </c>
      <c r="AD236" s="408">
        <v>0</v>
      </c>
      <c r="AE236" s="408">
        <v>0</v>
      </c>
      <c r="AF236" s="408">
        <v>0</v>
      </c>
      <c r="AG236" s="408">
        <v>0</v>
      </c>
      <c r="AH236" s="408">
        <v>0</v>
      </c>
      <c r="AI236" s="408">
        <v>0</v>
      </c>
      <c r="AJ236" s="408">
        <v>0</v>
      </c>
      <c r="AK236" s="408">
        <v>0</v>
      </c>
      <c r="AL236" s="408">
        <v>0</v>
      </c>
      <c r="AM236" s="408">
        <v>0</v>
      </c>
      <c r="AN236" s="408">
        <v>0</v>
      </c>
      <c r="AO236" s="408">
        <v>0</v>
      </c>
      <c r="AP236" s="408">
        <v>0</v>
      </c>
      <c r="AQ236" s="408">
        <v>0</v>
      </c>
      <c r="AR236" s="408">
        <v>0</v>
      </c>
      <c r="AS236" s="408">
        <v>0</v>
      </c>
      <c r="AT236" s="408">
        <v>0</v>
      </c>
      <c r="AU236" s="408">
        <v>0</v>
      </c>
      <c r="AV236" s="408">
        <v>0</v>
      </c>
      <c r="AW236" s="408">
        <v>0</v>
      </c>
      <c r="AX236" s="408">
        <v>0</v>
      </c>
      <c r="AY236" s="408">
        <v>0</v>
      </c>
      <c r="AZ236" s="408">
        <v>0</v>
      </c>
      <c r="BA236" s="408">
        <v>0</v>
      </c>
      <c r="BB236" s="408">
        <v>0</v>
      </c>
      <c r="BC236" s="408">
        <v>0</v>
      </c>
      <c r="BD236" s="408">
        <v>0</v>
      </c>
      <c r="BE236" s="408">
        <v>0</v>
      </c>
      <c r="BF236" s="408">
        <v>0</v>
      </c>
      <c r="BG236" s="408">
        <v>0</v>
      </c>
      <c r="BH236" s="408">
        <v>0</v>
      </c>
      <c r="BI236" s="408">
        <v>0</v>
      </c>
      <c r="BJ236" s="408">
        <v>0</v>
      </c>
      <c r="BK236" s="408">
        <v>5916</v>
      </c>
      <c r="BL236" s="408">
        <v>0</v>
      </c>
      <c r="BM236" s="408">
        <v>0</v>
      </c>
      <c r="BN236" s="408">
        <v>0</v>
      </c>
      <c r="BO236" s="408">
        <v>0</v>
      </c>
      <c r="BP236" s="408">
        <v>0</v>
      </c>
      <c r="BQ236" s="408">
        <v>0</v>
      </c>
      <c r="BR236" s="408">
        <v>0</v>
      </c>
      <c r="BS236" s="408">
        <v>0</v>
      </c>
      <c r="BT236" s="408">
        <v>0</v>
      </c>
    </row>
    <row r="237" spans="1:72" s="408" customFormat="1" x14ac:dyDescent="0.3">
      <c r="A237" s="408">
        <v>587</v>
      </c>
      <c r="B237" s="409"/>
      <c r="C237" s="408">
        <v>587</v>
      </c>
      <c r="D237" s="408" t="s">
        <v>665</v>
      </c>
      <c r="E237" s="408" t="s">
        <v>666</v>
      </c>
    </row>
    <row r="238" spans="1:72" s="408" customFormat="1" x14ac:dyDescent="0.3">
      <c r="A238" s="408">
        <v>588</v>
      </c>
      <c r="B238" s="409"/>
      <c r="C238" s="408">
        <v>588</v>
      </c>
      <c r="D238" s="408" t="s">
        <v>667</v>
      </c>
      <c r="E238" s="408" t="s">
        <v>668</v>
      </c>
    </row>
    <row r="239" spans="1:72" s="408" customFormat="1" x14ac:dyDescent="0.3">
      <c r="A239" s="408">
        <v>589</v>
      </c>
      <c r="B239" s="409"/>
      <c r="C239" s="408">
        <v>589</v>
      </c>
      <c r="D239" s="408" t="s">
        <v>669</v>
      </c>
      <c r="E239" s="408" t="s">
        <v>670</v>
      </c>
    </row>
    <row r="240" spans="1:72" s="408" customFormat="1" x14ac:dyDescent="0.3">
      <c r="A240" s="408">
        <v>590</v>
      </c>
      <c r="B240" s="409"/>
      <c r="C240" s="408">
        <v>590</v>
      </c>
      <c r="D240" s="408" t="s">
        <v>671</v>
      </c>
      <c r="E240" s="408" t="s">
        <v>672</v>
      </c>
    </row>
    <row r="241" spans="1:72" s="408" customFormat="1" x14ac:dyDescent="0.3">
      <c r="A241" s="408">
        <v>992</v>
      </c>
      <c r="B241" s="409"/>
      <c r="C241" s="408">
        <v>992</v>
      </c>
      <c r="E241" s="408" t="s">
        <v>603</v>
      </c>
    </row>
    <row r="242" spans="1:72" s="412" customFormat="1" x14ac:dyDescent="0.3">
      <c r="A242" s="412">
        <v>993</v>
      </c>
      <c r="B242" s="413"/>
      <c r="C242" s="412">
        <v>993</v>
      </c>
      <c r="D242" s="412" t="s">
        <v>515</v>
      </c>
      <c r="E242" s="412" t="s">
        <v>516</v>
      </c>
    </row>
    <row r="243" spans="1:72" s="412" customFormat="1" x14ac:dyDescent="0.3">
      <c r="A243" s="412">
        <v>994</v>
      </c>
      <c r="B243" s="413"/>
      <c r="C243" s="412">
        <v>994</v>
      </c>
      <c r="D243" s="412" t="s">
        <v>517</v>
      </c>
      <c r="E243" s="412" t="s">
        <v>518</v>
      </c>
    </row>
    <row r="244" spans="1:72" s="412" customFormat="1" x14ac:dyDescent="0.3">
      <c r="A244" s="412">
        <v>995</v>
      </c>
      <c r="B244" s="413">
        <v>995</v>
      </c>
      <c r="C244" s="412">
        <v>995</v>
      </c>
      <c r="D244" s="412" t="s">
        <v>519</v>
      </c>
      <c r="E244" s="412" t="s">
        <v>520</v>
      </c>
      <c r="F244" s="1137">
        <v>0</v>
      </c>
      <c r="G244" s="1137">
        <v>0</v>
      </c>
      <c r="H244" s="1137">
        <v>0</v>
      </c>
      <c r="I244" s="1137">
        <v>7.0000000000000007E-2</v>
      </c>
      <c r="J244" s="1137">
        <v>0</v>
      </c>
      <c r="K244" s="1137">
        <v>0</v>
      </c>
      <c r="L244" s="1137">
        <v>0</v>
      </c>
      <c r="M244" s="1137">
        <v>0</v>
      </c>
      <c r="N244" s="1137">
        <v>0.08</v>
      </c>
      <c r="O244" s="1137">
        <v>0</v>
      </c>
      <c r="P244" s="1137">
        <v>0</v>
      </c>
      <c r="Q244" s="1137">
        <v>0</v>
      </c>
      <c r="R244" s="1137">
        <v>0</v>
      </c>
      <c r="S244" s="1137">
        <v>0</v>
      </c>
      <c r="T244" s="1137">
        <v>0</v>
      </c>
      <c r="U244" s="1137">
        <v>0</v>
      </c>
      <c r="V244" s="1137">
        <v>0</v>
      </c>
      <c r="W244" s="1137">
        <v>0</v>
      </c>
      <c r="X244" s="1137">
        <v>0</v>
      </c>
      <c r="Y244" s="1137">
        <v>0</v>
      </c>
      <c r="Z244" s="1137">
        <v>0.08</v>
      </c>
      <c r="AA244" s="1137">
        <v>0</v>
      </c>
      <c r="AB244" s="1137">
        <v>0</v>
      </c>
      <c r="AC244" s="1137">
        <v>0</v>
      </c>
      <c r="AD244" s="1137">
        <v>0</v>
      </c>
      <c r="AE244" s="1137">
        <v>0</v>
      </c>
      <c r="AF244" s="1137">
        <v>0</v>
      </c>
      <c r="AG244" s="1137">
        <v>0</v>
      </c>
      <c r="AH244" s="1137">
        <v>0</v>
      </c>
      <c r="AI244" s="1137">
        <v>0</v>
      </c>
      <c r="AJ244" s="1137">
        <v>0</v>
      </c>
      <c r="AK244" s="1137">
        <v>0.08</v>
      </c>
      <c r="AL244" s="1137">
        <v>0</v>
      </c>
      <c r="AM244" s="1137">
        <v>0</v>
      </c>
      <c r="AN244" s="1137">
        <v>0</v>
      </c>
      <c r="AO244" s="1137">
        <v>0.08</v>
      </c>
      <c r="AP244" s="1137">
        <v>0</v>
      </c>
      <c r="AQ244" s="1137">
        <v>0</v>
      </c>
      <c r="AR244" s="1137">
        <v>0</v>
      </c>
      <c r="AS244" s="1137">
        <v>0</v>
      </c>
      <c r="AT244" s="1137">
        <v>0</v>
      </c>
      <c r="AU244" s="1137">
        <v>0</v>
      </c>
      <c r="AV244" s="1137">
        <v>0</v>
      </c>
      <c r="AW244" s="1137">
        <v>0.09</v>
      </c>
      <c r="AX244" s="1137">
        <v>0</v>
      </c>
      <c r="AY244" s="1137">
        <v>0</v>
      </c>
      <c r="AZ244" s="1137">
        <v>0</v>
      </c>
      <c r="BA244" s="1137">
        <v>0</v>
      </c>
      <c r="BB244" s="1137">
        <v>0</v>
      </c>
      <c r="BC244" s="1137">
        <v>0</v>
      </c>
      <c r="BD244" s="1137">
        <v>0</v>
      </c>
      <c r="BE244" s="1137">
        <v>0</v>
      </c>
      <c r="BF244" s="1137">
        <v>0</v>
      </c>
      <c r="BG244" s="1137">
        <v>0</v>
      </c>
      <c r="BH244" s="1137">
        <v>0</v>
      </c>
      <c r="BI244" s="1137">
        <v>7.0000000000000007E-2</v>
      </c>
      <c r="BJ244" s="1137">
        <v>0</v>
      </c>
      <c r="BK244" s="1137">
        <v>0</v>
      </c>
      <c r="BL244" s="1137">
        <v>0</v>
      </c>
      <c r="BM244" s="1137">
        <v>0</v>
      </c>
      <c r="BN244" s="1137">
        <v>0</v>
      </c>
      <c r="BO244" s="1137">
        <v>0</v>
      </c>
      <c r="BP244" s="1137">
        <v>0</v>
      </c>
      <c r="BQ244" s="1137">
        <v>0</v>
      </c>
      <c r="BR244" s="1137">
        <v>0</v>
      </c>
      <c r="BS244" s="1137">
        <v>0</v>
      </c>
      <c r="BT244" s="1137">
        <v>0</v>
      </c>
    </row>
    <row r="245" spans="1:72" s="412" customFormat="1" x14ac:dyDescent="0.3">
      <c r="A245" s="412">
        <v>996</v>
      </c>
      <c r="B245" s="413">
        <v>996</v>
      </c>
      <c r="C245" s="412">
        <v>996</v>
      </c>
      <c r="D245" s="412" t="s">
        <v>521</v>
      </c>
      <c r="E245" s="412" t="s">
        <v>522</v>
      </c>
      <c r="F245" s="1137">
        <v>0.01</v>
      </c>
      <c r="G245" s="1137">
        <v>0.01</v>
      </c>
      <c r="H245" s="1137">
        <v>0.01</v>
      </c>
      <c r="I245" s="1137">
        <v>0.01</v>
      </c>
      <c r="J245" s="1137">
        <v>0</v>
      </c>
      <c r="K245" s="1137">
        <v>0.01</v>
      </c>
      <c r="L245" s="1137">
        <v>0.01</v>
      </c>
      <c r="M245" s="1137">
        <v>0.01</v>
      </c>
      <c r="N245" s="1137">
        <v>0.01</v>
      </c>
      <c r="O245" s="1137">
        <v>0</v>
      </c>
      <c r="P245" s="1137">
        <v>0.01</v>
      </c>
      <c r="Q245" s="1137">
        <v>0</v>
      </c>
      <c r="R245" s="1137">
        <v>0.01</v>
      </c>
      <c r="S245" s="1137">
        <v>0.01</v>
      </c>
      <c r="T245" s="1137">
        <v>0.01</v>
      </c>
      <c r="U245" s="1137">
        <v>0.01</v>
      </c>
      <c r="V245" s="1137">
        <v>0.01</v>
      </c>
      <c r="W245" s="1137">
        <v>0.01</v>
      </c>
      <c r="X245" s="1137">
        <v>0.01</v>
      </c>
      <c r="Y245" s="1137">
        <v>0.01</v>
      </c>
      <c r="Z245" s="1137">
        <v>0.01</v>
      </c>
      <c r="AA245" s="1137">
        <v>0</v>
      </c>
      <c r="AB245" s="1137">
        <v>0.01</v>
      </c>
      <c r="AC245" s="1137">
        <v>0.01</v>
      </c>
      <c r="AD245" s="1137">
        <v>0.01</v>
      </c>
      <c r="AE245" s="1137">
        <v>0.01</v>
      </c>
      <c r="AF245" s="1137">
        <v>0.01</v>
      </c>
      <c r="AG245" s="1137">
        <v>0</v>
      </c>
      <c r="AH245" s="1137">
        <v>0</v>
      </c>
      <c r="AI245" s="1137">
        <v>0.01</v>
      </c>
      <c r="AJ245" s="1137">
        <v>0.01</v>
      </c>
      <c r="AK245" s="1137">
        <v>0.01</v>
      </c>
      <c r="AL245" s="1137">
        <v>0.01</v>
      </c>
      <c r="AM245" s="1137">
        <v>0</v>
      </c>
      <c r="AN245" s="1137">
        <v>0</v>
      </c>
      <c r="AO245" s="1137">
        <v>0.01</v>
      </c>
      <c r="AP245" s="1137">
        <v>0.01</v>
      </c>
      <c r="AQ245" s="1137">
        <v>0.01</v>
      </c>
      <c r="AR245" s="1137">
        <v>0</v>
      </c>
      <c r="AS245" s="1137">
        <v>0.01</v>
      </c>
      <c r="AT245" s="1137">
        <v>0.01</v>
      </c>
      <c r="AU245" s="1137">
        <v>0.01</v>
      </c>
      <c r="AV245" s="1137">
        <v>0.01</v>
      </c>
      <c r="AW245" s="1137">
        <v>0.01</v>
      </c>
      <c r="AX245" s="1137">
        <v>0.01</v>
      </c>
      <c r="AY245" s="1137">
        <v>0.01</v>
      </c>
      <c r="AZ245" s="1137">
        <v>0.01</v>
      </c>
      <c r="BA245" s="1137">
        <v>0.01</v>
      </c>
      <c r="BB245" s="1137">
        <v>0</v>
      </c>
      <c r="BC245" s="1137">
        <v>0</v>
      </c>
      <c r="BD245" s="1137">
        <v>0.01</v>
      </c>
      <c r="BE245" s="1137">
        <v>0</v>
      </c>
      <c r="BF245" s="1137">
        <v>0.01</v>
      </c>
      <c r="BG245" s="1137">
        <v>0.01</v>
      </c>
      <c r="BH245" s="1137">
        <v>0.01</v>
      </c>
      <c r="BI245" s="1137">
        <v>0.01</v>
      </c>
      <c r="BJ245" s="1137">
        <v>0.01</v>
      </c>
      <c r="BK245" s="1137">
        <v>0.01</v>
      </c>
      <c r="BL245" s="1137">
        <v>0.01</v>
      </c>
      <c r="BM245" s="1137">
        <v>0</v>
      </c>
      <c r="BN245" s="1137">
        <v>0.01</v>
      </c>
      <c r="BO245" s="1137">
        <v>0.01</v>
      </c>
      <c r="BP245" s="1137">
        <v>0.01</v>
      </c>
      <c r="BQ245" s="1137">
        <v>0.01</v>
      </c>
      <c r="BR245" s="1137">
        <v>0.01</v>
      </c>
      <c r="BS245" s="1137">
        <v>0.01</v>
      </c>
      <c r="BT245" s="1137">
        <v>0</v>
      </c>
    </row>
    <row r="246" spans="1:72" s="408" customFormat="1" x14ac:dyDescent="0.3">
      <c r="A246" s="408">
        <v>997</v>
      </c>
      <c r="B246" s="409">
        <v>998</v>
      </c>
      <c r="C246" s="408">
        <v>997</v>
      </c>
      <c r="E246" s="408" t="s">
        <v>1760</v>
      </c>
    </row>
    <row r="247" spans="1:72" s="408" customFormat="1" x14ac:dyDescent="0.3">
      <c r="A247" s="408">
        <v>998</v>
      </c>
      <c r="B247" s="409">
        <v>999</v>
      </c>
      <c r="C247" s="408">
        <v>998</v>
      </c>
      <c r="D247" s="408" t="s">
        <v>292</v>
      </c>
      <c r="E247" s="408" t="s">
        <v>523</v>
      </c>
      <c r="F247" s="408">
        <v>50</v>
      </c>
      <c r="G247" s="408">
        <v>50</v>
      </c>
      <c r="H247" s="408">
        <v>50</v>
      </c>
      <c r="I247" s="408">
        <v>50</v>
      </c>
      <c r="J247" s="408">
        <v>50</v>
      </c>
      <c r="K247" s="408">
        <v>50</v>
      </c>
      <c r="L247" s="408">
        <v>50</v>
      </c>
      <c r="M247" s="408">
        <v>50</v>
      </c>
      <c r="N247" s="408">
        <v>50</v>
      </c>
      <c r="O247" s="408">
        <v>50</v>
      </c>
      <c r="P247" s="408">
        <v>50</v>
      </c>
      <c r="Q247" s="408">
        <v>50</v>
      </c>
      <c r="R247" s="408">
        <v>50</v>
      </c>
      <c r="S247" s="408">
        <v>50</v>
      </c>
      <c r="T247" s="408">
        <v>50</v>
      </c>
      <c r="U247" s="408">
        <v>50</v>
      </c>
      <c r="V247" s="408">
        <v>50</v>
      </c>
      <c r="W247" s="408">
        <v>50</v>
      </c>
      <c r="X247" s="408">
        <v>50</v>
      </c>
      <c r="Y247" s="408">
        <v>50</v>
      </c>
      <c r="Z247" s="408">
        <v>50</v>
      </c>
      <c r="AA247" s="408">
        <v>50</v>
      </c>
      <c r="AB247" s="408">
        <v>50</v>
      </c>
      <c r="AC247" s="408">
        <v>50</v>
      </c>
      <c r="AD247" s="408">
        <v>50</v>
      </c>
      <c r="AE247" s="408">
        <v>50</v>
      </c>
      <c r="AF247" s="408">
        <v>50</v>
      </c>
      <c r="AG247" s="408">
        <v>50</v>
      </c>
      <c r="AH247" s="408">
        <v>50</v>
      </c>
      <c r="AI247" s="408">
        <v>50</v>
      </c>
      <c r="AJ247" s="408">
        <v>50</v>
      </c>
      <c r="AK247" s="408">
        <v>50</v>
      </c>
      <c r="AL247" s="408">
        <v>50</v>
      </c>
      <c r="AM247" s="408">
        <v>50</v>
      </c>
      <c r="AN247" s="408">
        <v>50</v>
      </c>
      <c r="AO247" s="408">
        <v>50</v>
      </c>
      <c r="AP247" s="408">
        <v>50</v>
      </c>
      <c r="AQ247" s="408">
        <v>50</v>
      </c>
      <c r="AR247" s="408">
        <v>50</v>
      </c>
      <c r="AS247" s="408">
        <v>50</v>
      </c>
      <c r="AT247" s="408">
        <v>50</v>
      </c>
      <c r="AU247" s="408">
        <v>50</v>
      </c>
      <c r="AV247" s="408">
        <v>50</v>
      </c>
      <c r="AW247" s="408">
        <v>50</v>
      </c>
      <c r="AX247" s="408">
        <v>50</v>
      </c>
      <c r="AY247" s="408">
        <v>50</v>
      </c>
      <c r="AZ247" s="408">
        <v>50</v>
      </c>
      <c r="BA247" s="408">
        <v>50</v>
      </c>
      <c r="BB247" s="408">
        <v>50</v>
      </c>
      <c r="BC247" s="408">
        <v>50</v>
      </c>
      <c r="BD247" s="408">
        <v>50</v>
      </c>
      <c r="BE247" s="408">
        <v>50</v>
      </c>
      <c r="BF247" s="408">
        <v>50</v>
      </c>
      <c r="BG247" s="408">
        <v>50</v>
      </c>
      <c r="BH247" s="408">
        <v>50</v>
      </c>
      <c r="BI247" s="408">
        <v>50</v>
      </c>
      <c r="BJ247" s="408">
        <v>50</v>
      </c>
      <c r="BK247" s="408">
        <v>50</v>
      </c>
      <c r="BL247" s="408">
        <v>50</v>
      </c>
      <c r="BM247" s="408">
        <v>50</v>
      </c>
      <c r="BN247" s="408">
        <v>50</v>
      </c>
      <c r="BO247" s="408">
        <v>50</v>
      </c>
      <c r="BP247" s="408">
        <v>50</v>
      </c>
      <c r="BQ247" s="408">
        <v>50</v>
      </c>
      <c r="BR247" s="408">
        <v>50</v>
      </c>
      <c r="BS247" s="408">
        <v>50</v>
      </c>
      <c r="BT247" s="408">
        <v>50</v>
      </c>
    </row>
    <row r="248" spans="1:72" s="408" customFormat="1" x14ac:dyDescent="0.3">
      <c r="A248" s="408">
        <v>999</v>
      </c>
      <c r="B248" s="409"/>
      <c r="C248" s="408">
        <v>999</v>
      </c>
      <c r="D248" s="408" t="s">
        <v>293</v>
      </c>
      <c r="E248" s="408" t="s">
        <v>524</v>
      </c>
      <c r="F248" s="408">
        <v>50001</v>
      </c>
      <c r="G248" s="408">
        <v>50002</v>
      </c>
      <c r="H248" s="408">
        <v>50471</v>
      </c>
      <c r="I248" s="408">
        <v>50003</v>
      </c>
      <c r="J248" s="408">
        <v>50005</v>
      </c>
      <c r="K248" s="408">
        <v>50006</v>
      </c>
      <c r="L248" s="408">
        <v>50007</v>
      </c>
      <c r="M248" s="408">
        <v>50008</v>
      </c>
      <c r="N248" s="408">
        <v>50009</v>
      </c>
      <c r="O248" s="408">
        <v>50464</v>
      </c>
      <c r="P248" s="408">
        <v>50442</v>
      </c>
      <c r="Q248" s="408">
        <v>50569</v>
      </c>
      <c r="R248" s="408">
        <v>50011</v>
      </c>
      <c r="S248" s="408">
        <v>50012</v>
      </c>
      <c r="T248" s="408">
        <v>50013</v>
      </c>
      <c r="U248" s="408">
        <v>50014</v>
      </c>
      <c r="V248" s="408">
        <v>50015</v>
      </c>
      <c r="W248" s="408">
        <v>50016</v>
      </c>
      <c r="X248" s="408">
        <v>50017</v>
      </c>
      <c r="Y248" s="408">
        <v>50018</v>
      </c>
      <c r="Z248" s="408">
        <v>50019</v>
      </c>
      <c r="AA248" s="408">
        <v>50504</v>
      </c>
      <c r="AB248" s="408">
        <v>50021</v>
      </c>
      <c r="AC248" s="408">
        <v>50022</v>
      </c>
      <c r="AD248" s="408">
        <v>50505</v>
      </c>
      <c r="AE248" s="408">
        <v>50023</v>
      </c>
      <c r="AF248" s="408">
        <v>50024</v>
      </c>
      <c r="AG248" s="408">
        <v>50026</v>
      </c>
      <c r="AH248" s="408">
        <v>50027</v>
      </c>
      <c r="AI248" s="408">
        <v>50028</v>
      </c>
      <c r="AJ248" s="408">
        <v>50491</v>
      </c>
      <c r="AK248" s="408">
        <v>50029</v>
      </c>
      <c r="AL248" s="408">
        <v>50031</v>
      </c>
      <c r="AM248" s="408">
        <v>50469</v>
      </c>
      <c r="AN248" s="408">
        <v>50459</v>
      </c>
      <c r="AO248" s="408">
        <v>50032</v>
      </c>
      <c r="AP248" s="408">
        <v>50556</v>
      </c>
      <c r="AQ248" s="408">
        <v>50033</v>
      </c>
      <c r="AR248" s="408">
        <v>50030</v>
      </c>
      <c r="AS248" s="408">
        <v>50034</v>
      </c>
      <c r="AT248" s="408">
        <v>50035</v>
      </c>
      <c r="AU248" s="408">
        <v>50036</v>
      </c>
      <c r="AV248" s="408">
        <v>50037</v>
      </c>
      <c r="AW248" s="408">
        <v>50038</v>
      </c>
      <c r="AX248" s="408">
        <v>50039</v>
      </c>
      <c r="AY248" s="408">
        <v>50040</v>
      </c>
      <c r="AZ248" s="408">
        <v>50041</v>
      </c>
      <c r="BA248" s="408">
        <v>50506</v>
      </c>
      <c r="BB248" s="408">
        <v>50507</v>
      </c>
      <c r="BC248" s="408">
        <v>50043</v>
      </c>
      <c r="BD248" s="408">
        <v>50042</v>
      </c>
      <c r="BE248" s="408">
        <v>50044</v>
      </c>
      <c r="BF248" s="408">
        <v>50045</v>
      </c>
      <c r="BG248" s="408">
        <v>50046</v>
      </c>
      <c r="BH248" s="408">
        <v>50047</v>
      </c>
      <c r="BI248" s="408">
        <v>50048</v>
      </c>
      <c r="BJ248" s="408">
        <v>50049</v>
      </c>
      <c r="BK248" s="408">
        <v>50050</v>
      </c>
      <c r="BL248" s="408">
        <v>50051</v>
      </c>
      <c r="BM248" s="408">
        <v>50052</v>
      </c>
      <c r="BN248" s="408">
        <v>50053</v>
      </c>
      <c r="BO248" s="408">
        <v>50054</v>
      </c>
      <c r="BP248" s="408">
        <v>50055</v>
      </c>
      <c r="BQ248" s="408">
        <v>50057</v>
      </c>
      <c r="BR248" s="408">
        <v>50058</v>
      </c>
      <c r="BS248" s="408">
        <v>50059</v>
      </c>
      <c r="BT248" s="408">
        <v>50567</v>
      </c>
    </row>
    <row r="249" spans="1:72" x14ac:dyDescent="0.3">
      <c r="A249" s="99">
        <v>1000</v>
      </c>
      <c r="C249" s="99">
        <v>1000</v>
      </c>
      <c r="F249" s="99" t="s">
        <v>1761</v>
      </c>
      <c r="G249" s="99" t="s">
        <v>1761</v>
      </c>
      <c r="H249" s="99" t="s">
        <v>1761</v>
      </c>
      <c r="I249" s="99" t="s">
        <v>1761</v>
      </c>
      <c r="J249" s="99" t="s">
        <v>31</v>
      </c>
      <c r="K249" s="99" t="s">
        <v>1761</v>
      </c>
      <c r="L249" s="99" t="s">
        <v>1761</v>
      </c>
      <c r="M249" s="99" t="s">
        <v>1761</v>
      </c>
      <c r="N249" s="99" t="s">
        <v>1761</v>
      </c>
      <c r="O249" s="99" t="s">
        <v>31</v>
      </c>
      <c r="P249" s="99" t="s">
        <v>1761</v>
      </c>
      <c r="Q249" s="99" t="s">
        <v>31</v>
      </c>
      <c r="R249" s="99" t="s">
        <v>1761</v>
      </c>
      <c r="S249" s="99" t="s">
        <v>1761</v>
      </c>
      <c r="T249" s="99" t="s">
        <v>1761</v>
      </c>
      <c r="U249" s="99" t="s">
        <v>1761</v>
      </c>
      <c r="V249" s="99" t="s">
        <v>1761</v>
      </c>
      <c r="W249" s="99" t="s">
        <v>1761</v>
      </c>
      <c r="X249" s="99" t="s">
        <v>1761</v>
      </c>
      <c r="Y249" s="99" t="s">
        <v>1761</v>
      </c>
      <c r="Z249" s="99" t="s">
        <v>1761</v>
      </c>
      <c r="AA249" s="99" t="s">
        <v>31</v>
      </c>
      <c r="AB249" s="99" t="s">
        <v>1761</v>
      </c>
      <c r="AC249" s="99" t="s">
        <v>1761</v>
      </c>
      <c r="AD249" s="99" t="s">
        <v>1761</v>
      </c>
      <c r="AE249" s="99" t="s">
        <v>1761</v>
      </c>
      <c r="AF249" s="99" t="s">
        <v>1761</v>
      </c>
      <c r="AG249" s="99" t="s">
        <v>31</v>
      </c>
      <c r="AH249" s="99" t="s">
        <v>31</v>
      </c>
      <c r="AI249" s="99" t="s">
        <v>1761</v>
      </c>
      <c r="AJ249" s="99" t="s">
        <v>1761</v>
      </c>
      <c r="AK249" s="99" t="s">
        <v>1761</v>
      </c>
      <c r="AL249" s="99" t="s">
        <v>1761</v>
      </c>
      <c r="AM249" s="99" t="s">
        <v>31</v>
      </c>
      <c r="AN249" s="99" t="s">
        <v>31</v>
      </c>
      <c r="AO249" s="99" t="s">
        <v>1761</v>
      </c>
      <c r="AP249" s="99" t="s">
        <v>1761</v>
      </c>
      <c r="AQ249" s="99" t="s">
        <v>1761</v>
      </c>
      <c r="AR249" s="99" t="s">
        <v>31</v>
      </c>
      <c r="AS249" s="99" t="s">
        <v>1761</v>
      </c>
      <c r="AT249" s="99" t="s">
        <v>1761</v>
      </c>
      <c r="AU249" s="99" t="s">
        <v>1761</v>
      </c>
      <c r="AV249" s="99" t="s">
        <v>1761</v>
      </c>
      <c r="AW249" s="99" t="s">
        <v>1761</v>
      </c>
      <c r="AX249" s="99" t="s">
        <v>1761</v>
      </c>
      <c r="AY249" s="99" t="s">
        <v>1761</v>
      </c>
      <c r="AZ249" s="99" t="s">
        <v>1761</v>
      </c>
      <c r="BA249" s="99" t="s">
        <v>1761</v>
      </c>
      <c r="BB249" s="99" t="s">
        <v>31</v>
      </c>
      <c r="BC249" s="99" t="s">
        <v>31</v>
      </c>
      <c r="BD249" s="99" t="s">
        <v>1761</v>
      </c>
      <c r="BE249" s="99" t="s">
        <v>31</v>
      </c>
      <c r="BF249" s="99" t="s">
        <v>1761</v>
      </c>
      <c r="BG249" s="99" t="s">
        <v>1761</v>
      </c>
      <c r="BH249" s="99" t="s">
        <v>1761</v>
      </c>
      <c r="BI249" s="99" t="s">
        <v>1761</v>
      </c>
      <c r="BJ249" s="99" t="s">
        <v>1761</v>
      </c>
      <c r="BK249" s="99" t="s">
        <v>1761</v>
      </c>
      <c r="BL249" s="99" t="s">
        <v>1761</v>
      </c>
      <c r="BM249" s="99" t="s">
        <v>31</v>
      </c>
      <c r="BN249" s="99" t="s">
        <v>1761</v>
      </c>
      <c r="BO249" s="99" t="s">
        <v>1761</v>
      </c>
      <c r="BP249" s="99" t="s">
        <v>1761</v>
      </c>
      <c r="BQ249" s="99" t="s">
        <v>1761</v>
      </c>
      <c r="BR249" s="99" t="s">
        <v>1761</v>
      </c>
      <c r="BS249" s="99" t="s">
        <v>1761</v>
      </c>
      <c r="BT249" s="99" t="s">
        <v>31</v>
      </c>
    </row>
    <row r="250" spans="1:72" x14ac:dyDescent="0.3">
      <c r="A250" s="99">
        <v>537</v>
      </c>
      <c r="C250" s="99">
        <v>537</v>
      </c>
      <c r="F250" s="99" t="s">
        <v>51</v>
      </c>
      <c r="G250" s="99" t="s">
        <v>52</v>
      </c>
      <c r="H250" s="99" t="s">
        <v>52</v>
      </c>
      <c r="I250" s="99" t="s">
        <v>51</v>
      </c>
      <c r="J250" s="99" t="s">
        <v>52</v>
      </c>
      <c r="K250" s="99" t="s">
        <v>52</v>
      </c>
      <c r="L250" s="99" t="s">
        <v>52</v>
      </c>
      <c r="M250" s="99" t="s">
        <v>52</v>
      </c>
      <c r="N250" s="99" t="s">
        <v>51</v>
      </c>
      <c r="O250" s="99" t="s">
        <v>52</v>
      </c>
      <c r="P250" s="99" t="s">
        <v>51</v>
      </c>
      <c r="Q250" s="99" t="s">
        <v>52</v>
      </c>
      <c r="R250" s="99" t="s">
        <v>52</v>
      </c>
      <c r="S250" s="99" t="s">
        <v>51</v>
      </c>
      <c r="U250" s="99" t="s">
        <v>52</v>
      </c>
      <c r="V250" s="99" t="s">
        <v>52</v>
      </c>
      <c r="W250" s="99" t="s">
        <v>52</v>
      </c>
      <c r="X250" s="99" t="s">
        <v>52</v>
      </c>
      <c r="Y250" s="99" t="s">
        <v>52</v>
      </c>
      <c r="Z250" s="99" t="s">
        <v>52</v>
      </c>
      <c r="AC250" s="99" t="s">
        <v>52</v>
      </c>
      <c r="AD250" s="99" t="s">
        <v>51</v>
      </c>
      <c r="AE250" s="99" t="s">
        <v>51</v>
      </c>
      <c r="AF250" s="99" t="s">
        <v>52</v>
      </c>
      <c r="AG250" s="99" t="s">
        <v>52</v>
      </c>
      <c r="AH250" s="99" t="s">
        <v>52</v>
      </c>
      <c r="AI250" s="99" t="s">
        <v>52</v>
      </c>
      <c r="AJ250" s="99" t="s">
        <v>52</v>
      </c>
      <c r="AK250" s="99" t="s">
        <v>52</v>
      </c>
      <c r="AN250" s="99" t="s">
        <v>52</v>
      </c>
      <c r="AO250" s="99" t="s">
        <v>52</v>
      </c>
      <c r="AP250" s="99" t="s">
        <v>52</v>
      </c>
      <c r="AQ250" s="99" t="s">
        <v>52</v>
      </c>
      <c r="AR250" s="99" t="s">
        <v>52</v>
      </c>
      <c r="AS250" s="99" t="s">
        <v>52</v>
      </c>
      <c r="AT250" s="99" t="s">
        <v>51</v>
      </c>
      <c r="AU250" s="99" t="s">
        <v>51</v>
      </c>
      <c r="AV250" s="99" t="s">
        <v>52</v>
      </c>
      <c r="AX250" s="99" t="s">
        <v>51</v>
      </c>
      <c r="AY250" s="99" t="s">
        <v>51</v>
      </c>
      <c r="AZ250" s="99" t="s">
        <v>51</v>
      </c>
      <c r="BA250" s="99" t="s">
        <v>52</v>
      </c>
      <c r="BB250" s="99" t="s">
        <v>52</v>
      </c>
      <c r="BC250" s="99" t="s">
        <v>52</v>
      </c>
      <c r="BD250" s="99" t="s">
        <v>52</v>
      </c>
      <c r="BE250" s="99" t="s">
        <v>52</v>
      </c>
      <c r="BF250" s="99" t="s">
        <v>52</v>
      </c>
      <c r="BG250" s="99" t="s">
        <v>52</v>
      </c>
      <c r="BH250" s="99" t="s">
        <v>52</v>
      </c>
      <c r="BI250" s="99" t="s">
        <v>52</v>
      </c>
      <c r="BJ250" s="99" t="s">
        <v>51</v>
      </c>
      <c r="BK250" s="99" t="s">
        <v>52</v>
      </c>
      <c r="BL250" s="99" t="s">
        <v>52</v>
      </c>
      <c r="BM250" s="99" t="s">
        <v>52</v>
      </c>
      <c r="BN250" s="99" t="s">
        <v>52</v>
      </c>
      <c r="BO250" s="99" t="s">
        <v>51</v>
      </c>
      <c r="BP250" s="99" t="s">
        <v>52</v>
      </c>
      <c r="BQ250" s="99" t="s">
        <v>52</v>
      </c>
      <c r="BR250" s="99" t="s">
        <v>51</v>
      </c>
      <c r="BS250" s="99" t="s">
        <v>52</v>
      </c>
      <c r="BT250" s="99" t="s">
        <v>52</v>
      </c>
    </row>
    <row r="251" spans="1:72" x14ac:dyDescent="0.3">
      <c r="A251" s="99">
        <v>538</v>
      </c>
      <c r="C251" s="99">
        <v>538</v>
      </c>
      <c r="F251" s="99" t="s">
        <v>51</v>
      </c>
      <c r="G251" s="99" t="s">
        <v>52</v>
      </c>
      <c r="H251" s="99" t="s">
        <v>52</v>
      </c>
      <c r="I251" s="99" t="s">
        <v>51</v>
      </c>
      <c r="J251" s="99" t="s">
        <v>52</v>
      </c>
      <c r="K251" s="99" t="s">
        <v>52</v>
      </c>
      <c r="L251" s="99" t="s">
        <v>52</v>
      </c>
      <c r="M251" s="99" t="s">
        <v>52</v>
      </c>
      <c r="N251" s="99" t="s">
        <v>52</v>
      </c>
      <c r="O251" s="99" t="s">
        <v>52</v>
      </c>
      <c r="P251" s="99" t="s">
        <v>51</v>
      </c>
      <c r="Q251" s="99" t="s">
        <v>52</v>
      </c>
      <c r="R251" s="99" t="s">
        <v>52</v>
      </c>
      <c r="S251" s="99" t="s">
        <v>52</v>
      </c>
      <c r="U251" s="99" t="s">
        <v>52</v>
      </c>
      <c r="V251" s="99" t="s">
        <v>52</v>
      </c>
      <c r="W251" s="99" t="s">
        <v>52</v>
      </c>
      <c r="X251" s="99" t="s">
        <v>52</v>
      </c>
      <c r="Y251" s="99" t="s">
        <v>52</v>
      </c>
      <c r="Z251" s="99" t="s">
        <v>52</v>
      </c>
      <c r="AC251" s="99" t="s">
        <v>52</v>
      </c>
      <c r="AD251" s="99" t="s">
        <v>51</v>
      </c>
      <c r="AE251" s="99" t="s">
        <v>51</v>
      </c>
      <c r="AF251" s="99" t="s">
        <v>52</v>
      </c>
      <c r="AG251" s="99" t="s">
        <v>52</v>
      </c>
      <c r="AH251" s="99" t="s">
        <v>52</v>
      </c>
      <c r="AI251" s="99" t="s">
        <v>52</v>
      </c>
      <c r="AJ251" s="99" t="s">
        <v>51</v>
      </c>
      <c r="AK251" s="99" t="s">
        <v>52</v>
      </c>
      <c r="AN251" s="99" t="s">
        <v>52</v>
      </c>
      <c r="AO251" s="99" t="s">
        <v>52</v>
      </c>
      <c r="AP251" s="99" t="s">
        <v>52</v>
      </c>
      <c r="AQ251" s="99" t="s">
        <v>52</v>
      </c>
      <c r="AR251" s="99" t="s">
        <v>52</v>
      </c>
      <c r="AS251" s="99" t="s">
        <v>52</v>
      </c>
      <c r="AT251" s="99" t="s">
        <v>51</v>
      </c>
      <c r="AU251" s="99" t="s">
        <v>52</v>
      </c>
      <c r="AV251" s="99" t="s">
        <v>52</v>
      </c>
      <c r="AX251" s="99" t="s">
        <v>52</v>
      </c>
      <c r="AY251" s="99" t="s">
        <v>52</v>
      </c>
      <c r="AZ251" s="99" t="s">
        <v>51</v>
      </c>
      <c r="BA251" s="99" t="s">
        <v>52</v>
      </c>
      <c r="BB251" s="99" t="s">
        <v>52</v>
      </c>
      <c r="BC251" s="99" t="s">
        <v>52</v>
      </c>
      <c r="BD251" s="99" t="s">
        <v>52</v>
      </c>
      <c r="BE251" s="99" t="s">
        <v>52</v>
      </c>
      <c r="BF251" s="99" t="s">
        <v>51</v>
      </c>
      <c r="BG251" s="99" t="s">
        <v>52</v>
      </c>
      <c r="BH251" s="99" t="s">
        <v>52</v>
      </c>
      <c r="BI251" s="99" t="s">
        <v>52</v>
      </c>
      <c r="BJ251" s="99" t="s">
        <v>51</v>
      </c>
      <c r="BK251" s="99" t="s">
        <v>52</v>
      </c>
      <c r="BL251" s="99" t="s">
        <v>52</v>
      </c>
      <c r="BM251" s="99" t="s">
        <v>52</v>
      </c>
      <c r="BN251" s="99" t="s">
        <v>52</v>
      </c>
      <c r="BO251" s="99" t="s">
        <v>51</v>
      </c>
      <c r="BP251" s="99" t="s">
        <v>52</v>
      </c>
      <c r="BQ251" s="99" t="s">
        <v>52</v>
      </c>
      <c r="BR251" s="99" t="s">
        <v>51</v>
      </c>
      <c r="BS251" s="99" t="s">
        <v>52</v>
      </c>
      <c r="BT251" s="99" t="s">
        <v>52</v>
      </c>
    </row>
    <row r="252" spans="1:72" s="408" customFormat="1" x14ac:dyDescent="0.3">
      <c r="A252" s="408">
        <v>591</v>
      </c>
      <c r="B252" s="409">
        <v>591</v>
      </c>
      <c r="C252" s="408">
        <v>591</v>
      </c>
      <c r="D252" s="408" t="s">
        <v>610</v>
      </c>
      <c r="F252" s="408">
        <v>3401826</v>
      </c>
      <c r="G252" s="408">
        <v>3298333</v>
      </c>
      <c r="H252" s="408">
        <v>511817</v>
      </c>
      <c r="I252" s="408">
        <v>45587738</v>
      </c>
      <c r="J252" s="408">
        <v>0</v>
      </c>
      <c r="K252" s="408">
        <v>1485299</v>
      </c>
      <c r="L252" s="408">
        <v>2953371</v>
      </c>
      <c r="M252" s="408">
        <v>388289</v>
      </c>
      <c r="N252" s="408">
        <v>64896428</v>
      </c>
      <c r="O252" s="408">
        <v>0</v>
      </c>
      <c r="P252" s="408">
        <v>4050920</v>
      </c>
      <c r="Q252" s="408">
        <v>0</v>
      </c>
      <c r="R252" s="408">
        <v>14512810</v>
      </c>
      <c r="S252" s="408">
        <v>60993260</v>
      </c>
      <c r="T252" s="408">
        <v>0</v>
      </c>
      <c r="U252" s="408">
        <v>120313</v>
      </c>
      <c r="V252" s="408">
        <v>1484809</v>
      </c>
      <c r="W252" s="408">
        <v>757677</v>
      </c>
      <c r="X252" s="408">
        <v>274239</v>
      </c>
      <c r="Y252" s="408">
        <v>105502</v>
      </c>
      <c r="Z252" s="408">
        <v>14444351</v>
      </c>
      <c r="AA252" s="408">
        <v>0</v>
      </c>
      <c r="AB252" s="408">
        <v>0</v>
      </c>
      <c r="AC252" s="408">
        <v>225711</v>
      </c>
      <c r="AD252" s="408">
        <v>2204089</v>
      </c>
      <c r="AE252" s="408">
        <v>804312</v>
      </c>
      <c r="AF252" s="408">
        <v>256012</v>
      </c>
      <c r="AG252" s="408">
        <v>0</v>
      </c>
      <c r="AH252" s="408">
        <v>0</v>
      </c>
      <c r="AI252" s="408">
        <v>3824147</v>
      </c>
      <c r="AJ252" s="408">
        <v>2885611</v>
      </c>
      <c r="AK252" s="408">
        <v>3289222</v>
      </c>
      <c r="AL252" s="408">
        <v>0</v>
      </c>
      <c r="AM252" s="408">
        <v>0</v>
      </c>
      <c r="AN252" s="408">
        <v>0</v>
      </c>
      <c r="AO252" s="408">
        <v>8465521</v>
      </c>
      <c r="AP252" s="408">
        <v>302500</v>
      </c>
      <c r="AQ252" s="408">
        <v>6397608</v>
      </c>
      <c r="AR252" s="408">
        <v>0</v>
      </c>
      <c r="AS252" s="408">
        <v>1092525</v>
      </c>
      <c r="AT252" s="408">
        <v>872283</v>
      </c>
      <c r="AU252" s="408">
        <v>806893</v>
      </c>
      <c r="AV252" s="408">
        <v>1495628</v>
      </c>
      <c r="AW252" s="408">
        <v>0</v>
      </c>
      <c r="AX252" s="408">
        <v>2018103</v>
      </c>
      <c r="AY252" s="408">
        <v>731465</v>
      </c>
      <c r="AZ252" s="408">
        <v>2038584</v>
      </c>
      <c r="BA252" s="408">
        <v>341742</v>
      </c>
      <c r="BB252" s="408">
        <v>0</v>
      </c>
      <c r="BC252" s="408">
        <v>0</v>
      </c>
      <c r="BD252" s="408">
        <v>1572835</v>
      </c>
      <c r="BE252" s="408">
        <v>0</v>
      </c>
      <c r="BF252" s="408">
        <v>283185</v>
      </c>
      <c r="BG252" s="408">
        <v>9795193</v>
      </c>
      <c r="BH252" s="408">
        <v>593193</v>
      </c>
      <c r="BI252" s="408">
        <v>446502</v>
      </c>
      <c r="BJ252" s="408">
        <v>6312258</v>
      </c>
      <c r="BK252" s="408">
        <v>237001</v>
      </c>
      <c r="BL252" s="408">
        <v>422394</v>
      </c>
      <c r="BM252" s="408">
        <v>6547</v>
      </c>
      <c r="BN252" s="408">
        <v>171474</v>
      </c>
      <c r="BO252" s="408">
        <v>1866036</v>
      </c>
      <c r="BP252" s="408">
        <v>1045645</v>
      </c>
      <c r="BQ252" s="408">
        <v>2243319</v>
      </c>
      <c r="BR252" s="408">
        <v>30581127</v>
      </c>
      <c r="BS252" s="408">
        <v>2526937</v>
      </c>
      <c r="BT252" s="408">
        <v>264873</v>
      </c>
    </row>
    <row r="253" spans="1:72" s="408" customFormat="1" x14ac:dyDescent="0.3">
      <c r="A253" s="408">
        <v>592</v>
      </c>
      <c r="B253" s="409">
        <v>592</v>
      </c>
      <c r="C253" s="408">
        <v>592</v>
      </c>
      <c r="D253" s="408" t="s">
        <v>611</v>
      </c>
      <c r="F253" s="408">
        <v>629442</v>
      </c>
      <c r="G253" s="408">
        <v>795071</v>
      </c>
      <c r="H253" s="408">
        <v>-165383</v>
      </c>
      <c r="I253" s="408">
        <v>8014176</v>
      </c>
      <c r="J253" s="408">
        <v>0</v>
      </c>
      <c r="K253" s="408">
        <v>741663</v>
      </c>
      <c r="L253" s="408">
        <v>450727</v>
      </c>
      <c r="M253" s="408">
        <v>-18188</v>
      </c>
      <c r="N253" s="408">
        <v>23864808</v>
      </c>
      <c r="O253" s="408">
        <v>0</v>
      </c>
      <c r="P253" s="408">
        <v>843756</v>
      </c>
      <c r="Q253" s="408">
        <v>0</v>
      </c>
      <c r="R253" s="408">
        <v>-1961864</v>
      </c>
      <c r="S253" s="408">
        <v>15433791</v>
      </c>
      <c r="T253" s="408">
        <v>0</v>
      </c>
      <c r="U253" s="408">
        <v>-38211</v>
      </c>
      <c r="V253" s="408">
        <v>-78019</v>
      </c>
      <c r="W253" s="408">
        <v>166437</v>
      </c>
      <c r="X253" s="408">
        <v>119423</v>
      </c>
      <c r="Y253" s="408">
        <v>-13789</v>
      </c>
      <c r="Z253" s="408">
        <v>-134074</v>
      </c>
      <c r="AA253" s="408">
        <v>0</v>
      </c>
      <c r="AB253" s="408">
        <v>0</v>
      </c>
      <c r="AC253" s="408">
        <v>1384695</v>
      </c>
      <c r="AD253" s="408">
        <v>603673</v>
      </c>
      <c r="AE253" s="408">
        <v>189520</v>
      </c>
      <c r="AF253" s="408">
        <v>-17490</v>
      </c>
      <c r="AG253" s="408">
        <v>0</v>
      </c>
      <c r="AH253" s="408">
        <v>0</v>
      </c>
      <c r="AI253" s="408">
        <v>701992</v>
      </c>
      <c r="AJ253" s="408">
        <v>560827</v>
      </c>
      <c r="AK253" s="408">
        <v>81485</v>
      </c>
      <c r="AL253" s="408">
        <v>0</v>
      </c>
      <c r="AM253" s="408">
        <v>0</v>
      </c>
      <c r="AN253" s="408">
        <v>0</v>
      </c>
      <c r="AO253" s="408">
        <v>647700</v>
      </c>
      <c r="AP253" s="408">
        <v>225472</v>
      </c>
      <c r="AQ253" s="408">
        <v>1636777</v>
      </c>
      <c r="AR253" s="408">
        <v>0</v>
      </c>
      <c r="AS253" s="408">
        <v>-242538</v>
      </c>
      <c r="AT253" s="408">
        <v>-165351</v>
      </c>
      <c r="AU253" s="408">
        <v>-22356</v>
      </c>
      <c r="AV253" s="408">
        <v>-154763</v>
      </c>
      <c r="AW253" s="408">
        <v>0</v>
      </c>
      <c r="AX253" s="408">
        <v>-636364</v>
      </c>
      <c r="AY253" s="408">
        <v>99703</v>
      </c>
      <c r="AZ253" s="408">
        <v>-122565</v>
      </c>
      <c r="BA253" s="408">
        <v>-91879</v>
      </c>
      <c r="BB253" s="408">
        <v>0</v>
      </c>
      <c r="BC253" s="408">
        <v>-375000</v>
      </c>
      <c r="BD253" s="408">
        <v>40940</v>
      </c>
      <c r="BE253" s="408">
        <v>0</v>
      </c>
      <c r="BF253" s="408">
        <v>-116869</v>
      </c>
      <c r="BG253" s="408">
        <v>-799894</v>
      </c>
      <c r="BH253" s="408">
        <v>-70998</v>
      </c>
      <c r="BI253" s="408">
        <v>167001</v>
      </c>
      <c r="BJ253" s="408">
        <v>234767</v>
      </c>
      <c r="BK253" s="408">
        <v>53149</v>
      </c>
      <c r="BL253" s="408">
        <v>-14645</v>
      </c>
      <c r="BM253" s="408">
        <v>2905</v>
      </c>
      <c r="BN253" s="408">
        <v>1055220</v>
      </c>
      <c r="BO253" s="408">
        <v>399276</v>
      </c>
      <c r="BP253" s="408">
        <v>173481</v>
      </c>
      <c r="BQ253" s="408">
        <v>449110</v>
      </c>
      <c r="BR253" s="408">
        <v>2206646</v>
      </c>
      <c r="BS253" s="408">
        <v>283151</v>
      </c>
      <c r="BT253" s="408">
        <v>118126</v>
      </c>
    </row>
    <row r="254" spans="1:72" s="408" customFormat="1" x14ac:dyDescent="0.3">
      <c r="A254" s="408">
        <v>595</v>
      </c>
      <c r="B254" s="409"/>
      <c r="C254" s="408">
        <v>595</v>
      </c>
      <c r="D254" s="408" t="s">
        <v>683</v>
      </c>
    </row>
    <row r="255" spans="1:72" s="408" customFormat="1" x14ac:dyDescent="0.3">
      <c r="A255" s="408">
        <v>596</v>
      </c>
      <c r="B255" s="409">
        <v>596</v>
      </c>
      <c r="C255" s="408">
        <v>596</v>
      </c>
      <c r="D255" s="408" t="s">
        <v>617</v>
      </c>
      <c r="F255" s="408">
        <v>52</v>
      </c>
      <c r="G255" s="408">
        <v>52</v>
      </c>
      <c r="H255" s="408">
        <v>52</v>
      </c>
      <c r="I255" s="408">
        <v>52</v>
      </c>
      <c r="J255" s="408">
        <v>52</v>
      </c>
      <c r="K255" s="408">
        <v>52</v>
      </c>
      <c r="L255" s="408">
        <v>52</v>
      </c>
      <c r="M255" s="408">
        <v>52</v>
      </c>
      <c r="N255" s="408">
        <v>52</v>
      </c>
      <c r="O255" s="408">
        <v>52</v>
      </c>
      <c r="P255" s="408">
        <v>52</v>
      </c>
      <c r="Q255" s="408">
        <v>0</v>
      </c>
      <c r="R255" s="408">
        <v>52</v>
      </c>
      <c r="S255" s="408">
        <v>52</v>
      </c>
      <c r="T255" s="408">
        <v>0</v>
      </c>
      <c r="U255" s="408">
        <v>52</v>
      </c>
      <c r="V255" s="408">
        <v>52</v>
      </c>
      <c r="W255" s="408">
        <v>52</v>
      </c>
      <c r="X255" s="408">
        <v>52</v>
      </c>
      <c r="Y255" s="408">
        <v>52</v>
      </c>
      <c r="Z255" s="408">
        <v>52</v>
      </c>
      <c r="AA255" s="408">
        <v>0</v>
      </c>
      <c r="AB255" s="408">
        <v>0</v>
      </c>
      <c r="AC255" s="408">
        <v>52</v>
      </c>
      <c r="AD255" s="408">
        <v>52</v>
      </c>
      <c r="AE255" s="408">
        <v>52</v>
      </c>
      <c r="AF255" s="408">
        <v>52</v>
      </c>
      <c r="AG255" s="408">
        <v>0</v>
      </c>
      <c r="AH255" s="408">
        <v>52</v>
      </c>
      <c r="AI255" s="408">
        <v>52</v>
      </c>
      <c r="AJ255" s="408">
        <v>52</v>
      </c>
      <c r="AK255" s="408">
        <v>52</v>
      </c>
      <c r="AL255" s="408">
        <v>0</v>
      </c>
      <c r="AM255" s="408">
        <v>0</v>
      </c>
      <c r="AN255" s="408">
        <v>0</v>
      </c>
      <c r="AO255" s="408">
        <v>52</v>
      </c>
      <c r="AP255" s="408">
        <v>52</v>
      </c>
      <c r="AQ255" s="408">
        <v>52</v>
      </c>
      <c r="AR255" s="408">
        <v>52</v>
      </c>
      <c r="AS255" s="408">
        <v>52</v>
      </c>
      <c r="AT255" s="408">
        <v>52</v>
      </c>
      <c r="AU255" s="408">
        <v>52</v>
      </c>
      <c r="AV255" s="408">
        <v>52</v>
      </c>
      <c r="AW255" s="408">
        <v>0</v>
      </c>
      <c r="AX255" s="408">
        <v>52</v>
      </c>
      <c r="AY255" s="408">
        <v>52</v>
      </c>
      <c r="AZ255" s="408">
        <v>52</v>
      </c>
      <c r="BA255" s="408">
        <v>52</v>
      </c>
      <c r="BB255" s="408">
        <v>52</v>
      </c>
      <c r="BC255" s="408">
        <v>52</v>
      </c>
      <c r="BD255" s="408">
        <v>52</v>
      </c>
      <c r="BE255" s="408">
        <v>52</v>
      </c>
      <c r="BF255" s="408">
        <v>52</v>
      </c>
      <c r="BG255" s="408">
        <v>52</v>
      </c>
      <c r="BH255" s="408">
        <v>52</v>
      </c>
      <c r="BI255" s="408">
        <v>52</v>
      </c>
      <c r="BJ255" s="408">
        <v>52</v>
      </c>
      <c r="BK255" s="408">
        <v>52</v>
      </c>
      <c r="BL255" s="408">
        <v>52</v>
      </c>
      <c r="BM255" s="408">
        <v>0</v>
      </c>
      <c r="BN255" s="408">
        <v>52</v>
      </c>
      <c r="BO255" s="408">
        <v>52</v>
      </c>
      <c r="BP255" s="408">
        <v>52</v>
      </c>
      <c r="BQ255" s="408">
        <v>52</v>
      </c>
      <c r="BR255" s="408">
        <v>52</v>
      </c>
      <c r="BS255" s="408">
        <v>52</v>
      </c>
      <c r="BT255" s="408">
        <v>52</v>
      </c>
    </row>
    <row r="256" spans="1:72" s="408" customFormat="1" x14ac:dyDescent="0.3">
      <c r="A256" s="408">
        <v>597</v>
      </c>
      <c r="B256" s="409">
        <v>597</v>
      </c>
      <c r="C256" s="408">
        <v>597</v>
      </c>
      <c r="D256" s="408" t="s">
        <v>684</v>
      </c>
      <c r="F256" s="408">
        <v>67955</v>
      </c>
      <c r="G256" s="408">
        <v>2793</v>
      </c>
      <c r="H256" s="408">
        <v>21038</v>
      </c>
      <c r="I256" s="408">
        <v>428153</v>
      </c>
      <c r="J256" s="408">
        <v>4999</v>
      </c>
      <c r="K256" s="408">
        <v>311</v>
      </c>
      <c r="L256" s="408">
        <v>68706</v>
      </c>
      <c r="M256" s="408">
        <v>1155</v>
      </c>
      <c r="N256" s="408">
        <v>2454922</v>
      </c>
      <c r="O256" s="408">
        <v>0</v>
      </c>
      <c r="P256" s="408">
        <v>260926</v>
      </c>
      <c r="Q256" s="408">
        <v>28011</v>
      </c>
      <c r="R256" s="408">
        <v>346013</v>
      </c>
      <c r="S256" s="408">
        <v>3923906</v>
      </c>
      <c r="T256" s="408">
        <v>0</v>
      </c>
      <c r="U256" s="408">
        <v>3499</v>
      </c>
      <c r="V256" s="408">
        <v>66464</v>
      </c>
      <c r="W256" s="408">
        <v>7631</v>
      </c>
      <c r="X256" s="408">
        <v>567</v>
      </c>
      <c r="Y256" s="408">
        <v>136</v>
      </c>
      <c r="Z256" s="408">
        <v>120134</v>
      </c>
      <c r="AA256" s="408">
        <v>0</v>
      </c>
      <c r="AB256" s="408">
        <v>0</v>
      </c>
      <c r="AC256" s="408">
        <v>5720</v>
      </c>
      <c r="AD256" s="408">
        <v>76928</v>
      </c>
      <c r="AE256" s="408">
        <v>54248</v>
      </c>
      <c r="AF256" s="408">
        <v>127</v>
      </c>
      <c r="AG256" s="408">
        <v>1285</v>
      </c>
      <c r="AH256" s="408">
        <v>1778</v>
      </c>
      <c r="AI256" s="408">
        <v>107700</v>
      </c>
      <c r="AJ256" s="408">
        <v>110984</v>
      </c>
      <c r="AK256" s="408">
        <v>6477</v>
      </c>
      <c r="AL256" s="408">
        <v>0</v>
      </c>
      <c r="AM256" s="408">
        <v>0</v>
      </c>
      <c r="AN256" s="408">
        <v>144</v>
      </c>
      <c r="AO256" s="408">
        <v>23378</v>
      </c>
      <c r="AP256" s="408">
        <v>33392</v>
      </c>
      <c r="AQ256" s="408">
        <v>30555</v>
      </c>
      <c r="AR256" s="408">
        <v>6016</v>
      </c>
      <c r="AS256" s="408">
        <v>6508</v>
      </c>
      <c r="AT256" s="408">
        <v>15717</v>
      </c>
      <c r="AU256" s="408">
        <v>48250</v>
      </c>
      <c r="AV256" s="408">
        <v>11248</v>
      </c>
      <c r="AW256" s="408">
        <v>0</v>
      </c>
      <c r="AX256" s="408">
        <v>68846</v>
      </c>
      <c r="AY256" s="408">
        <v>3118</v>
      </c>
      <c r="AZ256" s="408">
        <v>159547</v>
      </c>
      <c r="BA256" s="408">
        <v>1001</v>
      </c>
      <c r="BB256" s="408">
        <v>158</v>
      </c>
      <c r="BC256" s="408">
        <v>1837</v>
      </c>
      <c r="BD256" s="408">
        <v>14628</v>
      </c>
      <c r="BE256" s="408">
        <v>7398</v>
      </c>
      <c r="BF256" s="408">
        <v>787</v>
      </c>
      <c r="BG256" s="408">
        <v>507642</v>
      </c>
      <c r="BH256" s="408">
        <v>490</v>
      </c>
      <c r="BI256" s="408">
        <v>12778</v>
      </c>
      <c r="BJ256" s="408">
        <v>94529</v>
      </c>
      <c r="BK256" s="408">
        <v>74</v>
      </c>
      <c r="BL256" s="408">
        <v>12301</v>
      </c>
      <c r="BM256" s="408">
        <v>6370</v>
      </c>
      <c r="BN256" s="408">
        <v>597</v>
      </c>
      <c r="BO256" s="408">
        <v>17483</v>
      </c>
      <c r="BP256" s="408">
        <v>966</v>
      </c>
      <c r="BQ256" s="408">
        <v>41138</v>
      </c>
      <c r="BR256" s="408">
        <v>1804069</v>
      </c>
      <c r="BS256" s="408">
        <v>0</v>
      </c>
      <c r="BT256" s="408">
        <v>107791</v>
      </c>
    </row>
    <row r="257" spans="1:72" s="408" customFormat="1" x14ac:dyDescent="0.3">
      <c r="B257" s="409"/>
      <c r="F257" s="408" t="s">
        <v>1761</v>
      </c>
    </row>
    <row r="258" spans="1:72" s="408" customFormat="1" x14ac:dyDescent="0.3">
      <c r="A258" s="408">
        <v>598</v>
      </c>
      <c r="B258" s="409">
        <v>598</v>
      </c>
      <c r="C258" s="408">
        <v>598</v>
      </c>
      <c r="D258" s="408" t="s">
        <v>678</v>
      </c>
      <c r="F258" s="408">
        <v>58335</v>
      </c>
      <c r="G258" s="408">
        <v>0</v>
      </c>
      <c r="H258" s="408">
        <v>0</v>
      </c>
      <c r="I258" s="408">
        <v>174679</v>
      </c>
      <c r="J258" s="408">
        <v>0</v>
      </c>
      <c r="K258" s="408">
        <v>0</v>
      </c>
      <c r="L258" s="408">
        <v>3463</v>
      </c>
      <c r="M258" s="408">
        <v>0</v>
      </c>
      <c r="N258" s="408">
        <v>147155</v>
      </c>
      <c r="O258" s="408">
        <v>0</v>
      </c>
      <c r="P258" s="408">
        <v>72633</v>
      </c>
      <c r="Q258" s="408">
        <v>0</v>
      </c>
      <c r="R258" s="408">
        <v>353169</v>
      </c>
      <c r="S258" s="408">
        <v>649873</v>
      </c>
      <c r="T258" s="408">
        <v>0</v>
      </c>
      <c r="U258" s="408">
        <v>0</v>
      </c>
      <c r="V258" s="408">
        <v>49376</v>
      </c>
      <c r="W258" s="408">
        <v>0</v>
      </c>
      <c r="X258" s="408">
        <v>0</v>
      </c>
      <c r="Y258" s="408">
        <v>0</v>
      </c>
      <c r="Z258" s="408">
        <v>30679</v>
      </c>
      <c r="AA258" s="408">
        <v>0</v>
      </c>
      <c r="AB258" s="408">
        <v>0</v>
      </c>
      <c r="AC258" s="408">
        <v>0</v>
      </c>
      <c r="AD258" s="408">
        <v>14191</v>
      </c>
      <c r="AE258" s="408">
        <v>42351</v>
      </c>
      <c r="AF258" s="408">
        <v>0</v>
      </c>
      <c r="AG258" s="408">
        <v>0</v>
      </c>
      <c r="AH258" s="408">
        <v>0</v>
      </c>
      <c r="AI258" s="408">
        <v>42121</v>
      </c>
      <c r="AJ258" s="408">
        <v>4350</v>
      </c>
      <c r="AK258" s="408">
        <v>0</v>
      </c>
      <c r="AL258" s="408">
        <v>0</v>
      </c>
      <c r="AM258" s="408">
        <v>0</v>
      </c>
      <c r="AN258" s="408">
        <v>0</v>
      </c>
      <c r="AO258" s="408">
        <v>0</v>
      </c>
      <c r="AP258" s="408">
        <v>0</v>
      </c>
      <c r="AQ258" s="408">
        <v>0</v>
      </c>
      <c r="AR258" s="408">
        <v>0</v>
      </c>
      <c r="AS258" s="408">
        <v>0</v>
      </c>
      <c r="AT258" s="408">
        <v>0</v>
      </c>
      <c r="AU258" s="408">
        <v>15309</v>
      </c>
      <c r="AV258" s="408">
        <v>11730</v>
      </c>
      <c r="AW258" s="408">
        <v>0</v>
      </c>
      <c r="AX258" s="408">
        <v>45405</v>
      </c>
      <c r="AY258" s="408">
        <v>4956</v>
      </c>
      <c r="AZ258" s="408">
        <v>33719</v>
      </c>
      <c r="BA258" s="408">
        <v>0</v>
      </c>
      <c r="BB258" s="408">
        <v>0</v>
      </c>
      <c r="BC258" s="408">
        <v>0</v>
      </c>
      <c r="BD258" s="408">
        <v>0</v>
      </c>
      <c r="BE258" s="408">
        <v>0</v>
      </c>
      <c r="BF258" s="408">
        <v>0</v>
      </c>
      <c r="BG258" s="408">
        <v>84301</v>
      </c>
      <c r="BH258" s="408">
        <v>26568</v>
      </c>
      <c r="BI258" s="408">
        <v>0</v>
      </c>
      <c r="BJ258" s="408">
        <v>33876</v>
      </c>
      <c r="BK258" s="408">
        <v>0</v>
      </c>
      <c r="BL258" s="408">
        <v>0</v>
      </c>
      <c r="BM258" s="408">
        <v>3784</v>
      </c>
      <c r="BN258" s="408">
        <v>0</v>
      </c>
      <c r="BO258" s="408">
        <v>0</v>
      </c>
      <c r="BP258" s="408">
        <v>0</v>
      </c>
      <c r="BQ258" s="408">
        <v>15006</v>
      </c>
      <c r="BR258" s="408">
        <v>644271</v>
      </c>
      <c r="BS258" s="408">
        <v>0</v>
      </c>
      <c r="BT258" s="408">
        <v>49505</v>
      </c>
    </row>
    <row r="259" spans="1:72" s="408" customFormat="1" x14ac:dyDescent="0.3">
      <c r="A259" s="408">
        <v>599</v>
      </c>
      <c r="B259" s="409">
        <v>599</v>
      </c>
      <c r="C259" s="408">
        <v>599</v>
      </c>
      <c r="D259" s="408" t="s">
        <v>679</v>
      </c>
      <c r="F259" s="408">
        <v>947007</v>
      </c>
      <c r="G259" s="408">
        <v>521980</v>
      </c>
      <c r="H259" s="408">
        <v>0</v>
      </c>
      <c r="I259" s="408">
        <v>1850876</v>
      </c>
      <c r="J259" s="408">
        <v>0</v>
      </c>
      <c r="K259" s="408">
        <v>13001</v>
      </c>
      <c r="L259" s="408">
        <v>265989</v>
      </c>
      <c r="M259" s="408">
        <v>0</v>
      </c>
      <c r="N259" s="408">
        <v>2937447</v>
      </c>
      <c r="O259" s="408">
        <v>0</v>
      </c>
      <c r="P259" s="408">
        <v>905202</v>
      </c>
      <c r="Q259" s="408">
        <v>0</v>
      </c>
      <c r="R259" s="408">
        <v>3894538</v>
      </c>
      <c r="S259" s="408">
        <v>8121167</v>
      </c>
      <c r="T259" s="408">
        <v>0</v>
      </c>
      <c r="U259" s="408">
        <v>0</v>
      </c>
      <c r="V259" s="408">
        <v>455502</v>
      </c>
      <c r="W259" s="408">
        <v>0</v>
      </c>
      <c r="X259" s="408">
        <v>0</v>
      </c>
      <c r="Y259" s="408">
        <v>0</v>
      </c>
      <c r="Z259" s="408">
        <v>725883</v>
      </c>
      <c r="AA259" s="408">
        <v>0</v>
      </c>
      <c r="AB259" s="408">
        <v>0</v>
      </c>
      <c r="AC259" s="408">
        <v>16810</v>
      </c>
      <c r="AD259" s="408">
        <v>368906</v>
      </c>
      <c r="AE259" s="408">
        <v>302753</v>
      </c>
      <c r="AF259" s="408">
        <v>0</v>
      </c>
      <c r="AG259" s="408">
        <v>0</v>
      </c>
      <c r="AH259" s="408">
        <v>0</v>
      </c>
      <c r="AI259" s="408">
        <v>437343</v>
      </c>
      <c r="AJ259" s="408">
        <v>231673</v>
      </c>
      <c r="AK259" s="408">
        <v>144898</v>
      </c>
      <c r="AL259" s="408">
        <v>0</v>
      </c>
      <c r="AM259" s="408">
        <v>0</v>
      </c>
      <c r="AN259" s="408">
        <v>0</v>
      </c>
      <c r="AO259" s="408">
        <v>389714</v>
      </c>
      <c r="AP259" s="408">
        <v>0</v>
      </c>
      <c r="AQ259" s="408">
        <v>508959</v>
      </c>
      <c r="AR259" s="408">
        <v>0</v>
      </c>
      <c r="AS259" s="408">
        <v>9578</v>
      </c>
      <c r="AT259" s="408">
        <v>136407</v>
      </c>
      <c r="AU259" s="408">
        <v>560077</v>
      </c>
      <c r="AV259" s="408">
        <v>152988</v>
      </c>
      <c r="AW259" s="408">
        <v>0</v>
      </c>
      <c r="AX259" s="408">
        <v>806047</v>
      </c>
      <c r="AY259" s="408">
        <v>215949</v>
      </c>
      <c r="AZ259" s="408">
        <v>314622</v>
      </c>
      <c r="BA259" s="408">
        <v>0</v>
      </c>
      <c r="BB259" s="408">
        <v>0</v>
      </c>
      <c r="BC259" s="408">
        <v>191346</v>
      </c>
      <c r="BD259" s="408">
        <v>181908</v>
      </c>
      <c r="BE259" s="408">
        <v>0</v>
      </c>
      <c r="BF259" s="408">
        <v>0</v>
      </c>
      <c r="BG259" s="408">
        <v>1324172</v>
      </c>
      <c r="BH259" s="408">
        <v>251679</v>
      </c>
      <c r="BI259" s="408">
        <v>0</v>
      </c>
      <c r="BJ259" s="408">
        <v>615927</v>
      </c>
      <c r="BK259" s="408">
        <v>0</v>
      </c>
      <c r="BL259" s="408">
        <v>103182</v>
      </c>
      <c r="BM259" s="408">
        <v>3678</v>
      </c>
      <c r="BN259" s="408">
        <v>0</v>
      </c>
      <c r="BO259" s="408">
        <v>90798</v>
      </c>
      <c r="BP259" s="408">
        <v>15908</v>
      </c>
      <c r="BQ259" s="408">
        <v>232067</v>
      </c>
      <c r="BR259" s="408">
        <v>6548509</v>
      </c>
      <c r="BS259" s="408">
        <v>322047</v>
      </c>
      <c r="BT259" s="408">
        <v>452757</v>
      </c>
    </row>
    <row r="260" spans="1:72" s="408" customFormat="1" x14ac:dyDescent="0.3">
      <c r="A260" s="408">
        <v>600</v>
      </c>
      <c r="B260" s="409"/>
      <c r="C260" s="408">
        <v>600</v>
      </c>
    </row>
    <row r="261" spans="1:72" s="408" customFormat="1" x14ac:dyDescent="0.3">
      <c r="A261" s="408">
        <v>601</v>
      </c>
      <c r="B261" s="409"/>
      <c r="C261" s="408">
        <v>601</v>
      </c>
    </row>
    <row r="262" spans="1:72" s="408" customFormat="1" x14ac:dyDescent="0.3">
      <c r="A262" s="408">
        <v>602</v>
      </c>
      <c r="B262" s="409">
        <v>602</v>
      </c>
      <c r="C262" s="408">
        <v>602</v>
      </c>
      <c r="D262" s="408" t="s">
        <v>706</v>
      </c>
      <c r="F262" s="408">
        <v>0</v>
      </c>
      <c r="G262" s="408">
        <v>0</v>
      </c>
      <c r="H262" s="408">
        <v>0</v>
      </c>
      <c r="I262" s="408">
        <v>0</v>
      </c>
      <c r="J262" s="408">
        <v>0</v>
      </c>
      <c r="K262" s="408">
        <v>0</v>
      </c>
      <c r="L262" s="408">
        <v>0</v>
      </c>
      <c r="M262" s="408">
        <v>0</v>
      </c>
      <c r="N262" s="408">
        <v>0</v>
      </c>
      <c r="O262" s="408">
        <v>0</v>
      </c>
      <c r="P262" s="408">
        <v>547181</v>
      </c>
      <c r="Q262" s="408">
        <v>0</v>
      </c>
      <c r="R262" s="408">
        <v>0</v>
      </c>
      <c r="S262" s="408">
        <v>0</v>
      </c>
      <c r="T262" s="408">
        <v>0</v>
      </c>
      <c r="U262" s="408">
        <v>0</v>
      </c>
      <c r="V262" s="408">
        <v>0</v>
      </c>
      <c r="W262" s="408">
        <v>0</v>
      </c>
      <c r="X262" s="408">
        <v>0</v>
      </c>
      <c r="Y262" s="408">
        <v>0</v>
      </c>
      <c r="Z262" s="408">
        <v>0</v>
      </c>
      <c r="AA262" s="408">
        <v>0</v>
      </c>
      <c r="AB262" s="408">
        <v>0</v>
      </c>
      <c r="AC262" s="408">
        <v>0</v>
      </c>
      <c r="AD262" s="408">
        <v>0</v>
      </c>
      <c r="AE262" s="408">
        <v>0</v>
      </c>
      <c r="AF262" s="408">
        <v>0</v>
      </c>
      <c r="AG262" s="408">
        <v>0</v>
      </c>
      <c r="AH262" s="408">
        <v>0</v>
      </c>
      <c r="AI262" s="408">
        <v>0</v>
      </c>
      <c r="AJ262" s="408">
        <v>0</v>
      </c>
      <c r="AK262" s="408">
        <v>0</v>
      </c>
      <c r="AL262" s="408">
        <v>0</v>
      </c>
      <c r="AM262" s="408">
        <v>0</v>
      </c>
      <c r="AN262" s="408">
        <v>0</v>
      </c>
      <c r="AO262" s="408">
        <v>0</v>
      </c>
      <c r="AP262" s="408">
        <v>0</v>
      </c>
      <c r="AQ262" s="408">
        <v>0</v>
      </c>
      <c r="AR262" s="408">
        <v>0</v>
      </c>
      <c r="AS262" s="408">
        <v>0</v>
      </c>
      <c r="AT262" s="408">
        <v>0</v>
      </c>
      <c r="AU262" s="408">
        <v>0</v>
      </c>
      <c r="AV262" s="408">
        <v>0</v>
      </c>
      <c r="AW262" s="408">
        <v>0</v>
      </c>
      <c r="AX262" s="408">
        <v>0</v>
      </c>
      <c r="AY262" s="408">
        <v>0</v>
      </c>
      <c r="AZ262" s="408">
        <v>0</v>
      </c>
      <c r="BA262" s="408">
        <v>0</v>
      </c>
      <c r="BB262" s="408">
        <v>0</v>
      </c>
      <c r="BC262" s="408">
        <v>0</v>
      </c>
      <c r="BD262" s="408">
        <v>0</v>
      </c>
      <c r="BE262" s="408">
        <v>0</v>
      </c>
      <c r="BF262" s="408">
        <v>0</v>
      </c>
      <c r="BG262" s="408">
        <v>0</v>
      </c>
      <c r="BH262" s="408">
        <v>0</v>
      </c>
      <c r="BI262" s="408">
        <v>0</v>
      </c>
      <c r="BJ262" s="408">
        <v>0</v>
      </c>
      <c r="BK262" s="408">
        <v>0</v>
      </c>
      <c r="BL262" s="408">
        <v>0</v>
      </c>
      <c r="BM262" s="408">
        <v>0</v>
      </c>
      <c r="BN262" s="408">
        <v>0</v>
      </c>
      <c r="BO262" s="408">
        <v>0</v>
      </c>
      <c r="BP262" s="408">
        <v>0</v>
      </c>
      <c r="BQ262" s="408">
        <v>0</v>
      </c>
      <c r="BR262" s="408">
        <v>0</v>
      </c>
      <c r="BS262" s="408">
        <v>0</v>
      </c>
      <c r="BT262" s="408">
        <v>0</v>
      </c>
    </row>
    <row r="263" spans="1:72" s="408" customFormat="1" ht="172.8" x14ac:dyDescent="0.3">
      <c r="A263" s="408">
        <v>603</v>
      </c>
      <c r="B263" s="409" t="s">
        <v>1331</v>
      </c>
      <c r="C263" s="408">
        <v>603</v>
      </c>
      <c r="D263" s="1126" t="s">
        <v>693</v>
      </c>
    </row>
    <row r="264" spans="1:72" s="408" customFormat="1" ht="129.6" x14ac:dyDescent="0.3">
      <c r="A264" s="408">
        <v>604</v>
      </c>
      <c r="B264" s="409"/>
      <c r="C264" s="408">
        <v>604</v>
      </c>
      <c r="D264" s="1126" t="s">
        <v>694</v>
      </c>
    </row>
    <row r="265" spans="1:72" s="408" customFormat="1" x14ac:dyDescent="0.3">
      <c r="A265" s="408">
        <v>605</v>
      </c>
      <c r="B265" s="409"/>
      <c r="C265" s="408">
        <v>605</v>
      </c>
      <c r="D265" s="408" t="s">
        <v>696</v>
      </c>
      <c r="F265" s="408">
        <v>0</v>
      </c>
      <c r="G265" s="408">
        <v>0</v>
      </c>
      <c r="H265" s="408">
        <v>0</v>
      </c>
      <c r="I265" s="408">
        <v>0</v>
      </c>
      <c r="J265" s="408">
        <v>0</v>
      </c>
      <c r="K265" s="408">
        <v>0</v>
      </c>
      <c r="L265" s="408">
        <v>0</v>
      </c>
      <c r="M265" s="408">
        <v>0</v>
      </c>
      <c r="N265" s="408">
        <v>0</v>
      </c>
      <c r="O265" s="408">
        <v>0</v>
      </c>
      <c r="P265" s="408">
        <v>0</v>
      </c>
      <c r="Q265" s="408">
        <v>0</v>
      </c>
      <c r="R265" s="408">
        <v>0</v>
      </c>
      <c r="S265" s="408">
        <v>0</v>
      </c>
      <c r="T265" s="408">
        <v>0</v>
      </c>
      <c r="U265" s="408">
        <v>0</v>
      </c>
      <c r="V265" s="408">
        <v>0</v>
      </c>
      <c r="W265" s="408">
        <v>0</v>
      </c>
      <c r="X265" s="408">
        <v>0</v>
      </c>
      <c r="Y265" s="408">
        <v>0</v>
      </c>
      <c r="Z265" s="408">
        <v>0</v>
      </c>
      <c r="AA265" s="408">
        <v>0</v>
      </c>
      <c r="AB265" s="408">
        <v>0</v>
      </c>
      <c r="AC265" s="408">
        <v>0</v>
      </c>
      <c r="AD265" s="408">
        <v>0</v>
      </c>
      <c r="AE265" s="408">
        <v>0</v>
      </c>
      <c r="AF265" s="408">
        <v>0</v>
      </c>
      <c r="AG265" s="408">
        <v>0</v>
      </c>
      <c r="AH265" s="408">
        <v>0</v>
      </c>
      <c r="AI265" s="408">
        <v>0</v>
      </c>
      <c r="AJ265" s="408">
        <v>0</v>
      </c>
      <c r="AK265" s="408">
        <v>0</v>
      </c>
      <c r="AL265" s="408">
        <v>0</v>
      </c>
      <c r="AM265" s="408">
        <v>0</v>
      </c>
      <c r="AN265" s="408">
        <v>0</v>
      </c>
      <c r="AO265" s="408">
        <v>0</v>
      </c>
      <c r="AP265" s="408">
        <v>0</v>
      </c>
      <c r="AQ265" s="408">
        <v>0</v>
      </c>
      <c r="AR265" s="408">
        <v>0</v>
      </c>
      <c r="AS265" s="408">
        <v>0</v>
      </c>
      <c r="AT265" s="408">
        <v>0</v>
      </c>
      <c r="AU265" s="408">
        <v>0</v>
      </c>
      <c r="AV265" s="408">
        <v>0</v>
      </c>
      <c r="AW265" s="408">
        <v>0</v>
      </c>
      <c r="AX265" s="408">
        <v>0</v>
      </c>
      <c r="AY265" s="408">
        <v>0</v>
      </c>
      <c r="AZ265" s="408">
        <v>0</v>
      </c>
      <c r="BA265" s="408">
        <v>0</v>
      </c>
      <c r="BB265" s="408">
        <v>0</v>
      </c>
      <c r="BC265" s="408">
        <v>0</v>
      </c>
      <c r="BD265" s="408">
        <v>0</v>
      </c>
      <c r="BE265" s="408">
        <v>0</v>
      </c>
      <c r="BF265" s="408">
        <v>0</v>
      </c>
      <c r="BG265" s="408">
        <v>0</v>
      </c>
      <c r="BH265" s="408">
        <v>0</v>
      </c>
      <c r="BI265" s="408">
        <v>0</v>
      </c>
      <c r="BJ265" s="408">
        <v>0</v>
      </c>
      <c r="BK265" s="408">
        <v>0</v>
      </c>
      <c r="BL265" s="408">
        <v>0</v>
      </c>
      <c r="BM265" s="408">
        <v>0</v>
      </c>
      <c r="BN265" s="408">
        <v>0</v>
      </c>
      <c r="BO265" s="408">
        <v>0</v>
      </c>
      <c r="BP265" s="408">
        <v>0</v>
      </c>
      <c r="BQ265" s="408">
        <v>0</v>
      </c>
      <c r="BR265" s="408">
        <v>0</v>
      </c>
      <c r="BS265" s="408">
        <v>0</v>
      </c>
      <c r="BT265" s="408">
        <v>0</v>
      </c>
    </row>
    <row r="266" spans="1:72" s="408" customFormat="1" x14ac:dyDescent="0.3">
      <c r="A266" s="408">
        <v>606</v>
      </c>
      <c r="B266" s="409">
        <v>606</v>
      </c>
      <c r="C266" s="408">
        <v>606</v>
      </c>
      <c r="D266" s="408" t="s">
        <v>714</v>
      </c>
      <c r="F266" s="408">
        <v>0</v>
      </c>
      <c r="G266" s="408">
        <v>0</v>
      </c>
      <c r="H266" s="408">
        <v>0</v>
      </c>
      <c r="I266" s="408">
        <v>1</v>
      </c>
      <c r="J266" s="408">
        <v>0</v>
      </c>
      <c r="K266" s="408">
        <v>0</v>
      </c>
      <c r="L266" s="408">
        <v>0</v>
      </c>
      <c r="M266" s="408">
        <v>0</v>
      </c>
      <c r="N266" s="408">
        <v>1</v>
      </c>
      <c r="O266" s="408">
        <v>0</v>
      </c>
      <c r="P266" s="408">
        <v>0</v>
      </c>
      <c r="Q266" s="408">
        <v>0</v>
      </c>
      <c r="R266" s="408">
        <v>1</v>
      </c>
      <c r="S266" s="408">
        <v>1</v>
      </c>
      <c r="T266" s="408">
        <v>0</v>
      </c>
      <c r="U266" s="408">
        <v>0</v>
      </c>
      <c r="V266" s="408">
        <v>0</v>
      </c>
      <c r="W266" s="408">
        <v>0</v>
      </c>
      <c r="X266" s="408">
        <v>0</v>
      </c>
      <c r="Y266" s="408">
        <v>0</v>
      </c>
      <c r="Z266" s="408">
        <v>1</v>
      </c>
      <c r="AA266" s="408">
        <v>0</v>
      </c>
      <c r="AB266" s="408">
        <v>0</v>
      </c>
      <c r="AC266" s="408">
        <v>1</v>
      </c>
      <c r="AD266" s="408">
        <v>1</v>
      </c>
      <c r="AE266" s="408">
        <v>0</v>
      </c>
      <c r="AF266" s="408">
        <v>0</v>
      </c>
      <c r="AG266" s="408">
        <v>0</v>
      </c>
      <c r="AH266" s="408">
        <v>0</v>
      </c>
      <c r="AI266" s="408">
        <v>0</v>
      </c>
      <c r="AJ266" s="408">
        <v>0</v>
      </c>
      <c r="AK266" s="408">
        <v>0</v>
      </c>
      <c r="AL266" s="408">
        <v>0</v>
      </c>
      <c r="AM266" s="408">
        <v>0</v>
      </c>
      <c r="AN266" s="408">
        <v>0</v>
      </c>
      <c r="AO266" s="408">
        <v>0</v>
      </c>
      <c r="AP266" s="408">
        <v>0</v>
      </c>
      <c r="AQ266" s="408">
        <v>1</v>
      </c>
      <c r="AR266" s="408">
        <v>0</v>
      </c>
      <c r="AS266" s="408">
        <v>0</v>
      </c>
      <c r="AT266" s="408">
        <v>0</v>
      </c>
      <c r="AU266" s="408">
        <v>0</v>
      </c>
      <c r="AV266" s="408">
        <v>0</v>
      </c>
      <c r="AW266" s="408">
        <v>0</v>
      </c>
      <c r="AX266" s="408">
        <v>0</v>
      </c>
      <c r="AY266" s="408">
        <v>1</v>
      </c>
      <c r="AZ266" s="408">
        <v>0</v>
      </c>
      <c r="BA266" s="408">
        <v>0</v>
      </c>
      <c r="BB266" s="408">
        <v>0</v>
      </c>
      <c r="BC266" s="408">
        <v>1</v>
      </c>
      <c r="BD266" s="408">
        <v>0</v>
      </c>
      <c r="BE266" s="408">
        <v>0</v>
      </c>
      <c r="BF266" s="408">
        <v>0</v>
      </c>
      <c r="BG266" s="408">
        <v>1</v>
      </c>
      <c r="BH266" s="408">
        <v>0</v>
      </c>
      <c r="BI266" s="408">
        <v>0</v>
      </c>
      <c r="BJ266" s="408">
        <v>1</v>
      </c>
      <c r="BK266" s="408">
        <v>0</v>
      </c>
      <c r="BL266" s="408">
        <v>0</v>
      </c>
      <c r="BM266" s="408">
        <v>0</v>
      </c>
      <c r="BN266" s="408">
        <v>1</v>
      </c>
      <c r="BO266" s="408">
        <v>0</v>
      </c>
      <c r="BP266" s="408">
        <v>0</v>
      </c>
      <c r="BQ266" s="408">
        <v>0</v>
      </c>
      <c r="BR266" s="408">
        <v>1</v>
      </c>
      <c r="BS266" s="408">
        <v>0</v>
      </c>
      <c r="BT266" s="408">
        <v>1</v>
      </c>
    </row>
    <row r="267" spans="1:72" s="408" customFormat="1" x14ac:dyDescent="0.3">
      <c r="A267" s="408">
        <v>607</v>
      </c>
      <c r="B267" s="409"/>
      <c r="C267" s="408">
        <v>607</v>
      </c>
      <c r="D267" s="408" t="s">
        <v>686</v>
      </c>
      <c r="F267" s="408">
        <v>0</v>
      </c>
      <c r="G267" s="408">
        <v>0</v>
      </c>
      <c r="H267" s="408">
        <v>0</v>
      </c>
      <c r="I267" s="408">
        <v>0</v>
      </c>
      <c r="J267" s="408">
        <v>0</v>
      </c>
      <c r="K267" s="408">
        <v>0</v>
      </c>
      <c r="L267" s="408">
        <v>0</v>
      </c>
      <c r="M267" s="408">
        <v>0</v>
      </c>
      <c r="N267" s="408">
        <v>0</v>
      </c>
      <c r="O267" s="408">
        <v>0</v>
      </c>
      <c r="P267" s="408">
        <v>0</v>
      </c>
      <c r="Q267" s="408">
        <v>0</v>
      </c>
      <c r="R267" s="408">
        <v>0</v>
      </c>
      <c r="S267" s="408">
        <v>0</v>
      </c>
      <c r="T267" s="408">
        <v>0</v>
      </c>
      <c r="U267" s="408">
        <v>0</v>
      </c>
      <c r="V267" s="408">
        <v>0</v>
      </c>
      <c r="W267" s="408">
        <v>0</v>
      </c>
      <c r="X267" s="408">
        <v>0</v>
      </c>
      <c r="Y267" s="408">
        <v>0</v>
      </c>
      <c r="Z267" s="408">
        <v>0</v>
      </c>
      <c r="AA267" s="408">
        <v>0</v>
      </c>
      <c r="AB267" s="408">
        <v>0</v>
      </c>
      <c r="AC267" s="408">
        <v>0</v>
      </c>
      <c r="AD267" s="408">
        <v>0</v>
      </c>
      <c r="AE267" s="408">
        <v>0</v>
      </c>
      <c r="AF267" s="408">
        <v>0</v>
      </c>
      <c r="AG267" s="408">
        <v>0</v>
      </c>
      <c r="AH267" s="408">
        <v>0</v>
      </c>
      <c r="AI267" s="408">
        <v>0</v>
      </c>
      <c r="AJ267" s="408">
        <v>0</v>
      </c>
      <c r="AK267" s="408">
        <v>0</v>
      </c>
      <c r="AL267" s="408">
        <v>0</v>
      </c>
      <c r="AM267" s="408">
        <v>0</v>
      </c>
      <c r="AN267" s="408">
        <v>0</v>
      </c>
      <c r="AO267" s="408">
        <v>0</v>
      </c>
      <c r="AP267" s="408">
        <v>0</v>
      </c>
      <c r="AQ267" s="408">
        <v>0</v>
      </c>
      <c r="AR267" s="408">
        <v>0</v>
      </c>
      <c r="AS267" s="408">
        <v>0</v>
      </c>
      <c r="AT267" s="408">
        <v>0</v>
      </c>
      <c r="AU267" s="408">
        <v>0</v>
      </c>
      <c r="AV267" s="408">
        <v>0</v>
      </c>
      <c r="AW267" s="408">
        <v>0</v>
      </c>
      <c r="AX267" s="408">
        <v>0</v>
      </c>
      <c r="AY267" s="408">
        <v>0</v>
      </c>
      <c r="AZ267" s="408">
        <v>0</v>
      </c>
      <c r="BA267" s="408">
        <v>0</v>
      </c>
      <c r="BB267" s="408">
        <v>0</v>
      </c>
      <c r="BC267" s="408">
        <v>0</v>
      </c>
      <c r="BD267" s="408">
        <v>0</v>
      </c>
      <c r="BE267" s="408">
        <v>0</v>
      </c>
      <c r="BF267" s="408">
        <v>0</v>
      </c>
      <c r="BG267" s="408">
        <v>0</v>
      </c>
      <c r="BH267" s="408">
        <v>0</v>
      </c>
      <c r="BI267" s="408">
        <v>0</v>
      </c>
      <c r="BJ267" s="408">
        <v>0</v>
      </c>
      <c r="BK267" s="408">
        <v>0</v>
      </c>
      <c r="BL267" s="408">
        <v>0</v>
      </c>
      <c r="BM267" s="408">
        <v>0</v>
      </c>
      <c r="BN267" s="408">
        <v>0</v>
      </c>
      <c r="BO267" s="408">
        <v>0</v>
      </c>
      <c r="BP267" s="408">
        <v>0</v>
      </c>
      <c r="BQ267" s="408">
        <v>0</v>
      </c>
      <c r="BR267" s="408">
        <v>0</v>
      </c>
      <c r="BS267" s="408">
        <v>0</v>
      </c>
      <c r="BT267" s="408">
        <v>0</v>
      </c>
    </row>
    <row r="268" spans="1:72" s="408" customFormat="1" x14ac:dyDescent="0.3">
      <c r="A268" s="408">
        <v>608</v>
      </c>
      <c r="B268" s="409"/>
      <c r="C268" s="408">
        <v>608</v>
      </c>
      <c r="D268" s="408" t="s">
        <v>687</v>
      </c>
      <c r="F268" s="408">
        <v>0</v>
      </c>
      <c r="G268" s="408">
        <v>0</v>
      </c>
      <c r="H268" s="408">
        <v>0</v>
      </c>
      <c r="I268" s="408">
        <v>0</v>
      </c>
      <c r="J268" s="408">
        <v>0</v>
      </c>
      <c r="K268" s="408">
        <v>0</v>
      </c>
      <c r="L268" s="408">
        <v>0</v>
      </c>
      <c r="M268" s="408">
        <v>0</v>
      </c>
      <c r="N268" s="408">
        <v>0</v>
      </c>
      <c r="O268" s="408">
        <v>0</v>
      </c>
      <c r="P268" s="408">
        <v>0</v>
      </c>
      <c r="Q268" s="408">
        <v>0</v>
      </c>
      <c r="R268" s="408">
        <v>0</v>
      </c>
      <c r="S268" s="408">
        <v>0</v>
      </c>
      <c r="T268" s="408">
        <v>0</v>
      </c>
      <c r="U268" s="408">
        <v>0</v>
      </c>
      <c r="V268" s="408">
        <v>0</v>
      </c>
      <c r="W268" s="408">
        <v>0</v>
      </c>
      <c r="X268" s="408">
        <v>0</v>
      </c>
      <c r="Y268" s="408">
        <v>0</v>
      </c>
      <c r="Z268" s="408">
        <v>0</v>
      </c>
      <c r="AA268" s="408">
        <v>0</v>
      </c>
      <c r="AB268" s="408">
        <v>0</v>
      </c>
      <c r="AC268" s="408">
        <v>0</v>
      </c>
      <c r="AD268" s="408">
        <v>0</v>
      </c>
      <c r="AE268" s="408">
        <v>0</v>
      </c>
      <c r="AF268" s="408">
        <v>0</v>
      </c>
      <c r="AG268" s="408">
        <v>0</v>
      </c>
      <c r="AH268" s="408">
        <v>0</v>
      </c>
      <c r="AI268" s="408">
        <v>0</v>
      </c>
      <c r="AJ268" s="408">
        <v>0</v>
      </c>
      <c r="AK268" s="408">
        <v>0</v>
      </c>
      <c r="AL268" s="408">
        <v>0</v>
      </c>
      <c r="AM268" s="408">
        <v>0</v>
      </c>
      <c r="AN268" s="408">
        <v>0</v>
      </c>
      <c r="AO268" s="408">
        <v>0</v>
      </c>
      <c r="AP268" s="408">
        <v>0</v>
      </c>
      <c r="AQ268" s="408">
        <v>0</v>
      </c>
      <c r="AR268" s="408">
        <v>0</v>
      </c>
      <c r="AS268" s="408">
        <v>0</v>
      </c>
      <c r="AT268" s="408">
        <v>0</v>
      </c>
      <c r="AU268" s="408">
        <v>0</v>
      </c>
      <c r="AV268" s="408">
        <v>0</v>
      </c>
      <c r="AW268" s="408">
        <v>0</v>
      </c>
      <c r="AX268" s="408">
        <v>0</v>
      </c>
      <c r="AY268" s="408">
        <v>0</v>
      </c>
      <c r="AZ268" s="408">
        <v>0</v>
      </c>
      <c r="BA268" s="408">
        <v>0</v>
      </c>
      <c r="BB268" s="408">
        <v>0</v>
      </c>
      <c r="BC268" s="408">
        <v>0</v>
      </c>
      <c r="BD268" s="408">
        <v>0</v>
      </c>
      <c r="BE268" s="408">
        <v>0</v>
      </c>
      <c r="BF268" s="408">
        <v>0</v>
      </c>
      <c r="BG268" s="408">
        <v>0</v>
      </c>
      <c r="BH268" s="408">
        <v>0</v>
      </c>
      <c r="BI268" s="408">
        <v>0</v>
      </c>
      <c r="BJ268" s="408">
        <v>0</v>
      </c>
      <c r="BK268" s="408">
        <v>0</v>
      </c>
      <c r="BL268" s="408">
        <v>0</v>
      </c>
      <c r="BM268" s="408">
        <v>0</v>
      </c>
      <c r="BN268" s="408">
        <v>0</v>
      </c>
      <c r="BO268" s="408">
        <v>0</v>
      </c>
      <c r="BP268" s="408">
        <v>0</v>
      </c>
      <c r="BQ268" s="408">
        <v>0</v>
      </c>
      <c r="BR268" s="408">
        <v>0</v>
      </c>
      <c r="BS268" s="408">
        <v>0</v>
      </c>
      <c r="BT268" s="408">
        <v>0</v>
      </c>
    </row>
    <row r="269" spans="1:72" s="408" customFormat="1" x14ac:dyDescent="0.3">
      <c r="A269" s="408">
        <v>609</v>
      </c>
      <c r="B269" s="409"/>
      <c r="C269" s="408">
        <v>609</v>
      </c>
      <c r="D269" s="408" t="s">
        <v>707</v>
      </c>
      <c r="F269" s="408">
        <v>0</v>
      </c>
      <c r="G269" s="408">
        <v>0</v>
      </c>
      <c r="H269" s="408">
        <v>0</v>
      </c>
      <c r="I269" s="408">
        <v>0</v>
      </c>
      <c r="J269" s="408">
        <v>0</v>
      </c>
      <c r="K269" s="408">
        <v>0</v>
      </c>
      <c r="L269" s="408">
        <v>0</v>
      </c>
      <c r="M269" s="408">
        <v>0</v>
      </c>
      <c r="N269" s="408">
        <v>0</v>
      </c>
      <c r="O269" s="408">
        <v>0</v>
      </c>
      <c r="P269" s="408">
        <v>0</v>
      </c>
      <c r="Q269" s="408">
        <v>0</v>
      </c>
      <c r="R269" s="408">
        <v>0</v>
      </c>
      <c r="S269" s="408">
        <v>0</v>
      </c>
      <c r="T269" s="408">
        <v>0</v>
      </c>
      <c r="U269" s="408">
        <v>0</v>
      </c>
      <c r="V269" s="408">
        <v>0</v>
      </c>
      <c r="W269" s="408">
        <v>0</v>
      </c>
      <c r="X269" s="408">
        <v>0</v>
      </c>
      <c r="Y269" s="408">
        <v>0</v>
      </c>
      <c r="Z269" s="408">
        <v>0</v>
      </c>
      <c r="AA269" s="408">
        <v>0</v>
      </c>
      <c r="AB269" s="408">
        <v>0</v>
      </c>
      <c r="AC269" s="408">
        <v>0</v>
      </c>
      <c r="AD269" s="408">
        <v>0</v>
      </c>
      <c r="AE269" s="408">
        <v>0</v>
      </c>
      <c r="AF269" s="408">
        <v>0</v>
      </c>
      <c r="AG269" s="408">
        <v>0</v>
      </c>
      <c r="AH269" s="408">
        <v>0</v>
      </c>
      <c r="AI269" s="408">
        <v>0</v>
      </c>
      <c r="AJ269" s="408">
        <v>0</v>
      </c>
      <c r="AK269" s="408">
        <v>0</v>
      </c>
      <c r="AL269" s="408">
        <v>0</v>
      </c>
      <c r="AM269" s="408">
        <v>0</v>
      </c>
      <c r="AN269" s="408">
        <v>0</v>
      </c>
      <c r="AO269" s="408">
        <v>0</v>
      </c>
      <c r="AP269" s="408">
        <v>0</v>
      </c>
      <c r="AQ269" s="408">
        <v>0</v>
      </c>
      <c r="AR269" s="408">
        <v>0</v>
      </c>
      <c r="AS269" s="408">
        <v>0</v>
      </c>
      <c r="AT269" s="408">
        <v>0</v>
      </c>
      <c r="AU269" s="408">
        <v>0</v>
      </c>
      <c r="AV269" s="408">
        <v>0</v>
      </c>
      <c r="AW269" s="408">
        <v>0</v>
      </c>
      <c r="AX269" s="408">
        <v>0</v>
      </c>
      <c r="AY269" s="408">
        <v>0</v>
      </c>
      <c r="AZ269" s="408">
        <v>0</v>
      </c>
      <c r="BA269" s="408">
        <v>0</v>
      </c>
      <c r="BB269" s="408">
        <v>0</v>
      </c>
      <c r="BC269" s="408">
        <v>0</v>
      </c>
      <c r="BD269" s="408">
        <v>0</v>
      </c>
      <c r="BE269" s="408">
        <v>0</v>
      </c>
      <c r="BF269" s="408">
        <v>0</v>
      </c>
      <c r="BG269" s="408">
        <v>0</v>
      </c>
      <c r="BH269" s="408">
        <v>0</v>
      </c>
      <c r="BI269" s="408">
        <v>0</v>
      </c>
      <c r="BJ269" s="408">
        <v>0</v>
      </c>
      <c r="BK269" s="408">
        <v>0</v>
      </c>
      <c r="BL269" s="408">
        <v>0</v>
      </c>
      <c r="BM269" s="408">
        <v>0</v>
      </c>
      <c r="BN269" s="408">
        <v>0</v>
      </c>
      <c r="BO269" s="408">
        <v>0</v>
      </c>
      <c r="BP269" s="408">
        <v>0</v>
      </c>
      <c r="BQ269" s="408">
        <v>0</v>
      </c>
      <c r="BR269" s="408">
        <v>0</v>
      </c>
      <c r="BS269" s="408">
        <v>0</v>
      </c>
      <c r="BT269" s="408">
        <v>0</v>
      </c>
    </row>
    <row r="270" spans="1:72" s="408" customFormat="1" x14ac:dyDescent="0.3">
      <c r="A270" s="408">
        <v>610</v>
      </c>
      <c r="B270" s="409"/>
      <c r="C270" s="408">
        <v>610</v>
      </c>
      <c r="D270" s="408" t="s">
        <v>688</v>
      </c>
      <c r="F270" s="408">
        <v>0</v>
      </c>
      <c r="G270" s="408">
        <v>0</v>
      </c>
      <c r="H270" s="408">
        <v>0</v>
      </c>
      <c r="I270" s="408">
        <v>0</v>
      </c>
      <c r="J270" s="408">
        <v>0</v>
      </c>
      <c r="K270" s="408">
        <v>0</v>
      </c>
      <c r="L270" s="408">
        <v>0</v>
      </c>
      <c r="M270" s="408">
        <v>0</v>
      </c>
      <c r="N270" s="408">
        <v>0</v>
      </c>
      <c r="O270" s="408">
        <v>0</v>
      </c>
      <c r="P270" s="408">
        <v>0</v>
      </c>
      <c r="Q270" s="408">
        <v>0</v>
      </c>
      <c r="R270" s="408">
        <v>0</v>
      </c>
      <c r="S270" s="408">
        <v>0</v>
      </c>
      <c r="T270" s="408">
        <v>0</v>
      </c>
      <c r="U270" s="408">
        <v>0</v>
      </c>
      <c r="V270" s="408">
        <v>0</v>
      </c>
      <c r="W270" s="408">
        <v>0</v>
      </c>
      <c r="X270" s="408">
        <v>0</v>
      </c>
      <c r="Y270" s="408">
        <v>0</v>
      </c>
      <c r="Z270" s="408">
        <v>0</v>
      </c>
      <c r="AA270" s="408">
        <v>0</v>
      </c>
      <c r="AB270" s="408">
        <v>0</v>
      </c>
      <c r="AC270" s="408">
        <v>0</v>
      </c>
      <c r="AD270" s="408">
        <v>0</v>
      </c>
      <c r="AE270" s="408">
        <v>0</v>
      </c>
      <c r="AF270" s="408">
        <v>0</v>
      </c>
      <c r="AG270" s="408">
        <v>0</v>
      </c>
      <c r="AH270" s="408">
        <v>0</v>
      </c>
      <c r="AI270" s="408">
        <v>0</v>
      </c>
      <c r="AJ270" s="408">
        <v>0</v>
      </c>
      <c r="AK270" s="408">
        <v>0</v>
      </c>
      <c r="AL270" s="408">
        <v>0</v>
      </c>
      <c r="AM270" s="408">
        <v>0</v>
      </c>
      <c r="AN270" s="408">
        <v>0</v>
      </c>
      <c r="AO270" s="408">
        <v>0</v>
      </c>
      <c r="AP270" s="408">
        <v>0</v>
      </c>
      <c r="AQ270" s="408">
        <v>0</v>
      </c>
      <c r="AR270" s="408">
        <v>0</v>
      </c>
      <c r="AS270" s="408">
        <v>0</v>
      </c>
      <c r="AT270" s="408">
        <v>0</v>
      </c>
      <c r="AU270" s="408">
        <v>0</v>
      </c>
      <c r="AV270" s="408">
        <v>0</v>
      </c>
      <c r="AW270" s="408">
        <v>0</v>
      </c>
      <c r="AX270" s="408">
        <v>0</v>
      </c>
      <c r="AY270" s="408">
        <v>0</v>
      </c>
      <c r="AZ270" s="408">
        <v>0</v>
      </c>
      <c r="BA270" s="408">
        <v>0</v>
      </c>
      <c r="BB270" s="408">
        <v>0</v>
      </c>
      <c r="BC270" s="408">
        <v>0</v>
      </c>
      <c r="BD270" s="408">
        <v>0</v>
      </c>
      <c r="BE270" s="408">
        <v>0</v>
      </c>
      <c r="BF270" s="408">
        <v>0</v>
      </c>
      <c r="BG270" s="408">
        <v>0</v>
      </c>
      <c r="BH270" s="408">
        <v>0</v>
      </c>
      <c r="BI270" s="408">
        <v>0</v>
      </c>
      <c r="BJ270" s="408">
        <v>0</v>
      </c>
      <c r="BK270" s="408">
        <v>0</v>
      </c>
      <c r="BL270" s="408">
        <v>0</v>
      </c>
      <c r="BM270" s="408">
        <v>0</v>
      </c>
      <c r="BN270" s="408">
        <v>0</v>
      </c>
      <c r="BO270" s="408">
        <v>0</v>
      </c>
      <c r="BP270" s="408">
        <v>0</v>
      </c>
      <c r="BQ270" s="408">
        <v>0</v>
      </c>
      <c r="BR270" s="408">
        <v>0</v>
      </c>
      <c r="BS270" s="408">
        <v>0</v>
      </c>
      <c r="BT270" s="408">
        <v>0</v>
      </c>
    </row>
    <row r="271" spans="1:72" s="408" customFormat="1" x14ac:dyDescent="0.3">
      <c r="A271" s="408">
        <v>611</v>
      </c>
      <c r="B271" s="409"/>
      <c r="C271" s="408">
        <v>611</v>
      </c>
      <c r="D271" s="408" t="s">
        <v>689</v>
      </c>
      <c r="F271" s="408">
        <v>0</v>
      </c>
      <c r="G271" s="408">
        <v>0</v>
      </c>
      <c r="H271" s="408">
        <v>0</v>
      </c>
      <c r="I271" s="408">
        <v>0</v>
      </c>
      <c r="J271" s="408">
        <v>0</v>
      </c>
      <c r="K271" s="408">
        <v>0</v>
      </c>
      <c r="L271" s="408">
        <v>0</v>
      </c>
      <c r="M271" s="408">
        <v>0</v>
      </c>
      <c r="N271" s="408">
        <v>0</v>
      </c>
      <c r="O271" s="408">
        <v>0</v>
      </c>
      <c r="P271" s="408">
        <v>0</v>
      </c>
      <c r="Q271" s="408">
        <v>0</v>
      </c>
      <c r="R271" s="408">
        <v>0</v>
      </c>
      <c r="S271" s="408">
        <v>0</v>
      </c>
      <c r="T271" s="408">
        <v>0</v>
      </c>
      <c r="U271" s="408">
        <v>0</v>
      </c>
      <c r="V271" s="408">
        <v>0</v>
      </c>
      <c r="W271" s="408">
        <v>0</v>
      </c>
      <c r="X271" s="408">
        <v>0</v>
      </c>
      <c r="Y271" s="408">
        <v>0</v>
      </c>
      <c r="Z271" s="408">
        <v>0</v>
      </c>
      <c r="AA271" s="408">
        <v>0</v>
      </c>
      <c r="AB271" s="408">
        <v>0</v>
      </c>
      <c r="AC271" s="408">
        <v>0</v>
      </c>
      <c r="AD271" s="408">
        <v>0</v>
      </c>
      <c r="AE271" s="408">
        <v>0</v>
      </c>
      <c r="AF271" s="408">
        <v>0</v>
      </c>
      <c r="AG271" s="408">
        <v>0</v>
      </c>
      <c r="AH271" s="408">
        <v>0</v>
      </c>
      <c r="AI271" s="408">
        <v>0</v>
      </c>
      <c r="AJ271" s="408">
        <v>0</v>
      </c>
      <c r="AK271" s="408">
        <v>0</v>
      </c>
      <c r="AL271" s="408">
        <v>0</v>
      </c>
      <c r="AM271" s="408">
        <v>0</v>
      </c>
      <c r="AN271" s="408">
        <v>0</v>
      </c>
      <c r="AO271" s="408">
        <v>0</v>
      </c>
      <c r="AP271" s="408">
        <v>0</v>
      </c>
      <c r="AQ271" s="408">
        <v>0</v>
      </c>
      <c r="AR271" s="408">
        <v>0</v>
      </c>
      <c r="AS271" s="408">
        <v>0</v>
      </c>
      <c r="AT271" s="408">
        <v>0</v>
      </c>
      <c r="AU271" s="408">
        <v>0</v>
      </c>
      <c r="AV271" s="408">
        <v>0</v>
      </c>
      <c r="AW271" s="408">
        <v>0</v>
      </c>
      <c r="AX271" s="408">
        <v>0</v>
      </c>
      <c r="AY271" s="408">
        <v>0</v>
      </c>
      <c r="AZ271" s="408">
        <v>0</v>
      </c>
      <c r="BA271" s="408">
        <v>0</v>
      </c>
      <c r="BB271" s="408">
        <v>0</v>
      </c>
      <c r="BC271" s="408">
        <v>0</v>
      </c>
      <c r="BD271" s="408">
        <v>0</v>
      </c>
      <c r="BE271" s="408">
        <v>0</v>
      </c>
      <c r="BF271" s="408">
        <v>0</v>
      </c>
      <c r="BG271" s="408">
        <v>0</v>
      </c>
      <c r="BH271" s="408">
        <v>0</v>
      </c>
      <c r="BI271" s="408">
        <v>0</v>
      </c>
      <c r="BJ271" s="408">
        <v>0</v>
      </c>
      <c r="BK271" s="408">
        <v>0</v>
      </c>
      <c r="BL271" s="408">
        <v>0</v>
      </c>
      <c r="BM271" s="408">
        <v>0</v>
      </c>
      <c r="BN271" s="408">
        <v>0</v>
      </c>
      <c r="BO271" s="408">
        <v>0</v>
      </c>
      <c r="BP271" s="408">
        <v>0</v>
      </c>
      <c r="BQ271" s="408">
        <v>0</v>
      </c>
      <c r="BR271" s="408">
        <v>0</v>
      </c>
      <c r="BS271" s="408">
        <v>0</v>
      </c>
      <c r="BT271" s="408">
        <v>0</v>
      </c>
    </row>
    <row r="272" spans="1:72" s="408" customFormat="1" x14ac:dyDescent="0.3">
      <c r="A272" s="408">
        <v>612</v>
      </c>
      <c r="B272" s="409"/>
      <c r="C272" s="408">
        <v>612</v>
      </c>
      <c r="D272" s="408" t="s">
        <v>708</v>
      </c>
      <c r="F272" s="408">
        <v>0</v>
      </c>
      <c r="G272" s="408">
        <v>0</v>
      </c>
      <c r="H272" s="408">
        <v>0</v>
      </c>
      <c r="I272" s="408">
        <v>0</v>
      </c>
      <c r="J272" s="408">
        <v>0</v>
      </c>
      <c r="K272" s="408">
        <v>0</v>
      </c>
      <c r="L272" s="408">
        <v>0</v>
      </c>
      <c r="M272" s="408">
        <v>0</v>
      </c>
      <c r="N272" s="408">
        <v>0</v>
      </c>
      <c r="O272" s="408">
        <v>0</v>
      </c>
      <c r="P272" s="408">
        <v>0</v>
      </c>
      <c r="Q272" s="408">
        <v>0</v>
      </c>
      <c r="R272" s="408">
        <v>0</v>
      </c>
      <c r="S272" s="408">
        <v>0</v>
      </c>
      <c r="T272" s="408">
        <v>0</v>
      </c>
      <c r="U272" s="408">
        <v>0</v>
      </c>
      <c r="V272" s="408">
        <v>0</v>
      </c>
      <c r="W272" s="408">
        <v>0</v>
      </c>
      <c r="X272" s="408">
        <v>0</v>
      </c>
      <c r="Y272" s="408">
        <v>0</v>
      </c>
      <c r="Z272" s="408">
        <v>0</v>
      </c>
      <c r="AA272" s="408">
        <v>0</v>
      </c>
      <c r="AB272" s="408">
        <v>0</v>
      </c>
      <c r="AC272" s="408">
        <v>0</v>
      </c>
      <c r="AD272" s="408">
        <v>0</v>
      </c>
      <c r="AE272" s="408">
        <v>0</v>
      </c>
      <c r="AF272" s="408">
        <v>0</v>
      </c>
      <c r="AG272" s="408">
        <v>0</v>
      </c>
      <c r="AH272" s="408">
        <v>0</v>
      </c>
      <c r="AI272" s="408">
        <v>0</v>
      </c>
      <c r="AJ272" s="408">
        <v>0</v>
      </c>
      <c r="AK272" s="408">
        <v>0</v>
      </c>
      <c r="AL272" s="408">
        <v>0</v>
      </c>
      <c r="AM272" s="408">
        <v>0</v>
      </c>
      <c r="AN272" s="408">
        <v>0</v>
      </c>
      <c r="AO272" s="408">
        <v>0</v>
      </c>
      <c r="AP272" s="408">
        <v>0</v>
      </c>
      <c r="AQ272" s="408">
        <v>0</v>
      </c>
      <c r="AR272" s="408">
        <v>0</v>
      </c>
      <c r="AS272" s="408">
        <v>0</v>
      </c>
      <c r="AT272" s="408">
        <v>0</v>
      </c>
      <c r="AU272" s="408">
        <v>0</v>
      </c>
      <c r="AV272" s="408">
        <v>0</v>
      </c>
      <c r="AW272" s="408">
        <v>0</v>
      </c>
      <c r="AX272" s="408">
        <v>0</v>
      </c>
      <c r="AY272" s="408">
        <v>0</v>
      </c>
      <c r="AZ272" s="408">
        <v>0</v>
      </c>
      <c r="BA272" s="408">
        <v>0</v>
      </c>
      <c r="BB272" s="408">
        <v>0</v>
      </c>
      <c r="BC272" s="408">
        <v>0</v>
      </c>
      <c r="BD272" s="408">
        <v>0</v>
      </c>
      <c r="BE272" s="408">
        <v>0</v>
      </c>
      <c r="BF272" s="408">
        <v>0</v>
      </c>
      <c r="BG272" s="408">
        <v>0</v>
      </c>
      <c r="BH272" s="408">
        <v>0</v>
      </c>
      <c r="BI272" s="408">
        <v>0</v>
      </c>
      <c r="BJ272" s="408">
        <v>0</v>
      </c>
      <c r="BK272" s="408">
        <v>0</v>
      </c>
      <c r="BL272" s="408">
        <v>0</v>
      </c>
      <c r="BM272" s="408">
        <v>0</v>
      </c>
      <c r="BN272" s="408">
        <v>0</v>
      </c>
      <c r="BO272" s="408">
        <v>0</v>
      </c>
      <c r="BP272" s="408">
        <v>0</v>
      </c>
      <c r="BQ272" s="408">
        <v>0</v>
      </c>
      <c r="BR272" s="408">
        <v>0</v>
      </c>
      <c r="BS272" s="408">
        <v>0</v>
      </c>
      <c r="BT272" s="408">
        <v>0</v>
      </c>
    </row>
    <row r="273" spans="1:72" s="408" customFormat="1" x14ac:dyDescent="0.3">
      <c r="A273" s="408">
        <v>613</v>
      </c>
      <c r="B273" s="409"/>
      <c r="C273" s="408">
        <v>613</v>
      </c>
      <c r="D273" s="408" t="s">
        <v>697</v>
      </c>
      <c r="F273" s="408">
        <v>0</v>
      </c>
      <c r="G273" s="408">
        <v>0</v>
      </c>
      <c r="H273" s="408">
        <v>0</v>
      </c>
      <c r="I273" s="408">
        <v>0</v>
      </c>
      <c r="J273" s="408">
        <v>0</v>
      </c>
      <c r="K273" s="408">
        <v>0</v>
      </c>
      <c r="L273" s="408">
        <v>0</v>
      </c>
      <c r="M273" s="408">
        <v>0</v>
      </c>
      <c r="N273" s="408">
        <v>0</v>
      </c>
      <c r="O273" s="408">
        <v>0</v>
      </c>
      <c r="P273" s="408">
        <v>0</v>
      </c>
      <c r="Q273" s="408">
        <v>0</v>
      </c>
      <c r="R273" s="408">
        <v>0</v>
      </c>
      <c r="S273" s="408">
        <v>0</v>
      </c>
      <c r="T273" s="408">
        <v>0</v>
      </c>
      <c r="U273" s="408">
        <v>0</v>
      </c>
      <c r="V273" s="408">
        <v>0</v>
      </c>
      <c r="W273" s="408">
        <v>0</v>
      </c>
      <c r="X273" s="408">
        <v>0</v>
      </c>
      <c r="Y273" s="408">
        <v>0</v>
      </c>
      <c r="Z273" s="408">
        <v>0</v>
      </c>
      <c r="AA273" s="408">
        <v>0</v>
      </c>
      <c r="AB273" s="408">
        <v>0</v>
      </c>
      <c r="AC273" s="408">
        <v>0</v>
      </c>
      <c r="AD273" s="408">
        <v>0</v>
      </c>
      <c r="AE273" s="408">
        <v>0</v>
      </c>
      <c r="AF273" s="408">
        <v>0</v>
      </c>
      <c r="AG273" s="408">
        <v>0</v>
      </c>
      <c r="AH273" s="408">
        <v>0</v>
      </c>
      <c r="AI273" s="408">
        <v>0</v>
      </c>
      <c r="AJ273" s="408">
        <v>0</v>
      </c>
      <c r="AK273" s="408">
        <v>0</v>
      </c>
      <c r="AL273" s="408">
        <v>0</v>
      </c>
      <c r="AM273" s="408">
        <v>0</v>
      </c>
      <c r="AN273" s="408">
        <v>0</v>
      </c>
      <c r="AO273" s="408">
        <v>0</v>
      </c>
      <c r="AP273" s="408">
        <v>0</v>
      </c>
      <c r="AQ273" s="408">
        <v>0</v>
      </c>
      <c r="AR273" s="408">
        <v>0</v>
      </c>
      <c r="AS273" s="408">
        <v>0</v>
      </c>
      <c r="AT273" s="408">
        <v>0</v>
      </c>
      <c r="AU273" s="408">
        <v>0</v>
      </c>
      <c r="AV273" s="408">
        <v>0</v>
      </c>
      <c r="AW273" s="408">
        <v>0</v>
      </c>
      <c r="AX273" s="408">
        <v>0</v>
      </c>
      <c r="AY273" s="408">
        <v>0</v>
      </c>
      <c r="AZ273" s="408">
        <v>0</v>
      </c>
      <c r="BA273" s="408">
        <v>0</v>
      </c>
      <c r="BB273" s="408">
        <v>0</v>
      </c>
      <c r="BC273" s="408">
        <v>0</v>
      </c>
      <c r="BD273" s="408">
        <v>0</v>
      </c>
      <c r="BE273" s="408">
        <v>0</v>
      </c>
      <c r="BF273" s="408">
        <v>0</v>
      </c>
      <c r="BG273" s="408">
        <v>0</v>
      </c>
      <c r="BH273" s="408">
        <v>0</v>
      </c>
      <c r="BI273" s="408">
        <v>0</v>
      </c>
      <c r="BJ273" s="408">
        <v>0</v>
      </c>
      <c r="BK273" s="408">
        <v>0</v>
      </c>
      <c r="BL273" s="408">
        <v>0</v>
      </c>
      <c r="BM273" s="408">
        <v>0</v>
      </c>
      <c r="BN273" s="408">
        <v>0</v>
      </c>
      <c r="BO273" s="408">
        <v>0</v>
      </c>
      <c r="BP273" s="408">
        <v>0</v>
      </c>
      <c r="BQ273" s="408">
        <v>0</v>
      </c>
      <c r="BR273" s="408">
        <v>0</v>
      </c>
      <c r="BS273" s="408">
        <v>0</v>
      </c>
      <c r="BT273" s="408">
        <v>0</v>
      </c>
    </row>
    <row r="274" spans="1:72" s="408" customFormat="1" x14ac:dyDescent="0.3">
      <c r="A274" s="408">
        <v>614</v>
      </c>
      <c r="B274" s="409"/>
      <c r="C274" s="408">
        <v>614</v>
      </c>
      <c r="D274" s="408" t="s">
        <v>690</v>
      </c>
      <c r="F274" s="408">
        <v>0</v>
      </c>
      <c r="G274" s="408">
        <v>0</v>
      </c>
      <c r="H274" s="408">
        <v>0</v>
      </c>
      <c r="I274" s="408">
        <v>0</v>
      </c>
      <c r="J274" s="408">
        <v>0</v>
      </c>
      <c r="K274" s="408">
        <v>0</v>
      </c>
      <c r="L274" s="408">
        <v>0</v>
      </c>
      <c r="M274" s="408">
        <v>0</v>
      </c>
      <c r="N274" s="408">
        <v>0</v>
      </c>
      <c r="O274" s="408">
        <v>0</v>
      </c>
      <c r="P274" s="408">
        <v>0</v>
      </c>
      <c r="Q274" s="408">
        <v>0</v>
      </c>
      <c r="R274" s="408">
        <v>0</v>
      </c>
      <c r="S274" s="408">
        <v>0</v>
      </c>
      <c r="T274" s="408">
        <v>0</v>
      </c>
      <c r="U274" s="408">
        <v>0</v>
      </c>
      <c r="V274" s="408">
        <v>0</v>
      </c>
      <c r="W274" s="408">
        <v>0</v>
      </c>
      <c r="X274" s="408">
        <v>0</v>
      </c>
      <c r="Y274" s="408">
        <v>0</v>
      </c>
      <c r="Z274" s="408">
        <v>0</v>
      </c>
      <c r="AA274" s="408">
        <v>0</v>
      </c>
      <c r="AB274" s="408">
        <v>0</v>
      </c>
      <c r="AC274" s="408">
        <v>0</v>
      </c>
      <c r="AD274" s="408">
        <v>0</v>
      </c>
      <c r="AE274" s="408">
        <v>0</v>
      </c>
      <c r="AF274" s="408">
        <v>0</v>
      </c>
      <c r="AG274" s="408">
        <v>0</v>
      </c>
      <c r="AH274" s="408">
        <v>0</v>
      </c>
      <c r="AI274" s="408">
        <v>0</v>
      </c>
      <c r="AJ274" s="408">
        <v>0</v>
      </c>
      <c r="AK274" s="408">
        <v>0</v>
      </c>
      <c r="AL274" s="408">
        <v>0</v>
      </c>
      <c r="AM274" s="408">
        <v>0</v>
      </c>
      <c r="AN274" s="408">
        <v>0</v>
      </c>
      <c r="AO274" s="408">
        <v>0</v>
      </c>
      <c r="AP274" s="408">
        <v>0</v>
      </c>
      <c r="AQ274" s="408">
        <v>0</v>
      </c>
      <c r="AR274" s="408">
        <v>0</v>
      </c>
      <c r="AS274" s="408">
        <v>0</v>
      </c>
      <c r="AT274" s="408">
        <v>0</v>
      </c>
      <c r="AU274" s="408">
        <v>0</v>
      </c>
      <c r="AV274" s="408">
        <v>0</v>
      </c>
      <c r="AW274" s="408">
        <v>0</v>
      </c>
      <c r="AX274" s="408">
        <v>0</v>
      </c>
      <c r="AY274" s="408">
        <v>0</v>
      </c>
      <c r="AZ274" s="408">
        <v>0</v>
      </c>
      <c r="BA274" s="408">
        <v>0</v>
      </c>
      <c r="BB274" s="408">
        <v>0</v>
      </c>
      <c r="BC274" s="408">
        <v>0</v>
      </c>
      <c r="BD274" s="408">
        <v>0</v>
      </c>
      <c r="BE274" s="408">
        <v>0</v>
      </c>
      <c r="BF274" s="408">
        <v>0</v>
      </c>
      <c r="BG274" s="408">
        <v>0</v>
      </c>
      <c r="BH274" s="408">
        <v>0</v>
      </c>
      <c r="BI274" s="408">
        <v>0</v>
      </c>
      <c r="BJ274" s="408">
        <v>0</v>
      </c>
      <c r="BK274" s="408">
        <v>0</v>
      </c>
      <c r="BL274" s="408">
        <v>0</v>
      </c>
      <c r="BM274" s="408">
        <v>0</v>
      </c>
      <c r="BN274" s="408">
        <v>0</v>
      </c>
      <c r="BO274" s="408">
        <v>0</v>
      </c>
      <c r="BP274" s="408">
        <v>0</v>
      </c>
      <c r="BQ274" s="408">
        <v>0</v>
      </c>
      <c r="BR274" s="408">
        <v>0</v>
      </c>
      <c r="BS274" s="408">
        <v>0</v>
      </c>
      <c r="BT274" s="408">
        <v>0</v>
      </c>
    </row>
    <row r="275" spans="1:72" s="408" customFormat="1" x14ac:dyDescent="0.3">
      <c r="A275" s="408">
        <v>615</v>
      </c>
      <c r="B275" s="409"/>
      <c r="C275" s="408">
        <v>615</v>
      </c>
      <c r="D275" s="408" t="s">
        <v>709</v>
      </c>
      <c r="F275" s="408">
        <v>0</v>
      </c>
      <c r="G275" s="408">
        <v>0</v>
      </c>
      <c r="H275" s="408">
        <v>0</v>
      </c>
      <c r="I275" s="408">
        <v>0</v>
      </c>
      <c r="J275" s="408">
        <v>0</v>
      </c>
      <c r="K275" s="408">
        <v>0</v>
      </c>
      <c r="L275" s="408">
        <v>0</v>
      </c>
      <c r="M275" s="408">
        <v>0</v>
      </c>
      <c r="N275" s="408">
        <v>0</v>
      </c>
      <c r="O275" s="408">
        <v>0</v>
      </c>
      <c r="P275" s="408">
        <v>0</v>
      </c>
      <c r="Q275" s="408">
        <v>0</v>
      </c>
      <c r="R275" s="408">
        <v>0</v>
      </c>
      <c r="S275" s="408">
        <v>0</v>
      </c>
      <c r="T275" s="408">
        <v>0</v>
      </c>
      <c r="U275" s="408">
        <v>0</v>
      </c>
      <c r="V275" s="408">
        <v>0</v>
      </c>
      <c r="W275" s="408">
        <v>0</v>
      </c>
      <c r="X275" s="408">
        <v>0</v>
      </c>
      <c r="Y275" s="408">
        <v>0</v>
      </c>
      <c r="Z275" s="408">
        <v>0</v>
      </c>
      <c r="AA275" s="408">
        <v>0</v>
      </c>
      <c r="AB275" s="408">
        <v>0</v>
      </c>
      <c r="AC275" s="408">
        <v>0</v>
      </c>
      <c r="AD275" s="408">
        <v>0</v>
      </c>
      <c r="AE275" s="408">
        <v>0</v>
      </c>
      <c r="AF275" s="408">
        <v>0</v>
      </c>
      <c r="AG275" s="408">
        <v>0</v>
      </c>
      <c r="AH275" s="408">
        <v>0</v>
      </c>
      <c r="AI275" s="408">
        <v>0</v>
      </c>
      <c r="AJ275" s="408">
        <v>0</v>
      </c>
      <c r="AK275" s="408">
        <v>0</v>
      </c>
      <c r="AL275" s="408">
        <v>0</v>
      </c>
      <c r="AM275" s="408">
        <v>0</v>
      </c>
      <c r="AN275" s="408">
        <v>0</v>
      </c>
      <c r="AO275" s="408">
        <v>0</v>
      </c>
      <c r="AP275" s="408">
        <v>0</v>
      </c>
      <c r="AQ275" s="408">
        <v>0</v>
      </c>
      <c r="AR275" s="408">
        <v>0</v>
      </c>
      <c r="AS275" s="408">
        <v>0</v>
      </c>
      <c r="AT275" s="408">
        <v>0</v>
      </c>
      <c r="AU275" s="408">
        <v>0</v>
      </c>
      <c r="AV275" s="408">
        <v>0</v>
      </c>
      <c r="AW275" s="408">
        <v>0</v>
      </c>
      <c r="AX275" s="408">
        <v>0</v>
      </c>
      <c r="AY275" s="408">
        <v>0</v>
      </c>
      <c r="AZ275" s="408">
        <v>0</v>
      </c>
      <c r="BA275" s="408">
        <v>0</v>
      </c>
      <c r="BB275" s="408">
        <v>0</v>
      </c>
      <c r="BC275" s="408">
        <v>0</v>
      </c>
      <c r="BD275" s="408">
        <v>0</v>
      </c>
      <c r="BE275" s="408">
        <v>0</v>
      </c>
      <c r="BF275" s="408">
        <v>0</v>
      </c>
      <c r="BG275" s="408">
        <v>0</v>
      </c>
      <c r="BH275" s="408">
        <v>0</v>
      </c>
      <c r="BI275" s="408">
        <v>0</v>
      </c>
      <c r="BJ275" s="408">
        <v>0</v>
      </c>
      <c r="BK275" s="408">
        <v>0</v>
      </c>
      <c r="BL275" s="408">
        <v>0</v>
      </c>
      <c r="BM275" s="408">
        <v>0</v>
      </c>
      <c r="BN275" s="408">
        <v>0</v>
      </c>
      <c r="BO275" s="408">
        <v>0</v>
      </c>
      <c r="BP275" s="408">
        <v>0</v>
      </c>
      <c r="BQ275" s="408">
        <v>0</v>
      </c>
      <c r="BR275" s="408">
        <v>0</v>
      </c>
      <c r="BS275" s="408">
        <v>0</v>
      </c>
      <c r="BT275" s="408">
        <v>0</v>
      </c>
    </row>
    <row r="276" spans="1:72" s="408" customFormat="1" x14ac:dyDescent="0.3">
      <c r="A276" s="408">
        <v>616</v>
      </c>
      <c r="B276" s="409"/>
      <c r="C276" s="408">
        <v>616</v>
      </c>
      <c r="D276" s="408" t="s">
        <v>691</v>
      </c>
      <c r="F276" s="408">
        <v>0</v>
      </c>
      <c r="G276" s="408">
        <v>0</v>
      </c>
      <c r="H276" s="408">
        <v>0</v>
      </c>
      <c r="I276" s="408">
        <v>0</v>
      </c>
      <c r="J276" s="408">
        <v>0</v>
      </c>
      <c r="K276" s="408">
        <v>0</v>
      </c>
      <c r="L276" s="408">
        <v>0</v>
      </c>
      <c r="M276" s="408">
        <v>0</v>
      </c>
      <c r="N276" s="408">
        <v>0</v>
      </c>
      <c r="O276" s="408">
        <v>0</v>
      </c>
      <c r="P276" s="408">
        <v>0</v>
      </c>
      <c r="Q276" s="408">
        <v>0</v>
      </c>
      <c r="R276" s="408">
        <v>0</v>
      </c>
      <c r="S276" s="408">
        <v>0</v>
      </c>
      <c r="T276" s="408">
        <v>0</v>
      </c>
      <c r="U276" s="408">
        <v>0</v>
      </c>
      <c r="V276" s="408">
        <v>0</v>
      </c>
      <c r="W276" s="408">
        <v>0</v>
      </c>
      <c r="X276" s="408">
        <v>0</v>
      </c>
      <c r="Y276" s="408">
        <v>0</v>
      </c>
      <c r="Z276" s="408">
        <v>0</v>
      </c>
      <c r="AA276" s="408">
        <v>0</v>
      </c>
      <c r="AB276" s="408">
        <v>0</v>
      </c>
      <c r="AC276" s="408">
        <v>0</v>
      </c>
      <c r="AD276" s="408">
        <v>0</v>
      </c>
      <c r="AE276" s="408">
        <v>0</v>
      </c>
      <c r="AF276" s="408">
        <v>0</v>
      </c>
      <c r="AG276" s="408">
        <v>0</v>
      </c>
      <c r="AH276" s="408">
        <v>0</v>
      </c>
      <c r="AI276" s="408">
        <v>0</v>
      </c>
      <c r="AJ276" s="408">
        <v>0</v>
      </c>
      <c r="AK276" s="408">
        <v>0</v>
      </c>
      <c r="AL276" s="408">
        <v>0</v>
      </c>
      <c r="AM276" s="408">
        <v>0</v>
      </c>
      <c r="AN276" s="408">
        <v>0</v>
      </c>
      <c r="AO276" s="408">
        <v>0</v>
      </c>
      <c r="AP276" s="408">
        <v>0</v>
      </c>
      <c r="AQ276" s="408">
        <v>0</v>
      </c>
      <c r="AR276" s="408">
        <v>0</v>
      </c>
      <c r="AS276" s="408">
        <v>0</v>
      </c>
      <c r="AT276" s="408">
        <v>0</v>
      </c>
      <c r="AU276" s="408">
        <v>0</v>
      </c>
      <c r="AV276" s="408">
        <v>0</v>
      </c>
      <c r="AW276" s="408">
        <v>0</v>
      </c>
      <c r="AX276" s="408">
        <v>0</v>
      </c>
      <c r="AY276" s="408">
        <v>0</v>
      </c>
      <c r="AZ276" s="408">
        <v>0</v>
      </c>
      <c r="BA276" s="408">
        <v>0</v>
      </c>
      <c r="BB276" s="408">
        <v>0</v>
      </c>
      <c r="BC276" s="408">
        <v>0</v>
      </c>
      <c r="BD276" s="408">
        <v>0</v>
      </c>
      <c r="BE276" s="408">
        <v>0</v>
      </c>
      <c r="BF276" s="408">
        <v>0</v>
      </c>
      <c r="BG276" s="408">
        <v>0</v>
      </c>
      <c r="BH276" s="408">
        <v>0</v>
      </c>
      <c r="BI276" s="408">
        <v>0</v>
      </c>
      <c r="BJ276" s="408">
        <v>0</v>
      </c>
      <c r="BK276" s="408">
        <v>0</v>
      </c>
      <c r="BL276" s="408">
        <v>0</v>
      </c>
      <c r="BM276" s="408">
        <v>0</v>
      </c>
      <c r="BN276" s="408">
        <v>0</v>
      </c>
      <c r="BO276" s="408">
        <v>0</v>
      </c>
      <c r="BP276" s="408">
        <v>0</v>
      </c>
      <c r="BQ276" s="408">
        <v>0</v>
      </c>
      <c r="BR276" s="408">
        <v>0</v>
      </c>
      <c r="BS276" s="408">
        <v>0</v>
      </c>
      <c r="BT276" s="408">
        <v>0</v>
      </c>
    </row>
    <row r="277" spans="1:72" s="408" customFormat="1" x14ac:dyDescent="0.3">
      <c r="A277" s="408">
        <v>617</v>
      </c>
      <c r="B277" s="409"/>
      <c r="C277" s="408">
        <v>617</v>
      </c>
      <c r="D277" s="408" t="s">
        <v>692</v>
      </c>
      <c r="F277" s="408">
        <v>0</v>
      </c>
      <c r="G277" s="408">
        <v>0</v>
      </c>
      <c r="H277" s="408">
        <v>0</v>
      </c>
      <c r="I277" s="408">
        <v>0</v>
      </c>
      <c r="J277" s="408">
        <v>0</v>
      </c>
      <c r="K277" s="408">
        <v>0</v>
      </c>
      <c r="L277" s="408">
        <v>0</v>
      </c>
      <c r="M277" s="408">
        <v>0</v>
      </c>
      <c r="N277" s="408">
        <v>0</v>
      </c>
      <c r="O277" s="408">
        <v>0</v>
      </c>
      <c r="P277" s="408">
        <v>0</v>
      </c>
      <c r="Q277" s="408">
        <v>0</v>
      </c>
      <c r="R277" s="408">
        <v>0</v>
      </c>
      <c r="S277" s="408">
        <v>0</v>
      </c>
      <c r="T277" s="408">
        <v>0</v>
      </c>
      <c r="U277" s="408">
        <v>0</v>
      </c>
      <c r="V277" s="408">
        <v>0</v>
      </c>
      <c r="W277" s="408">
        <v>0</v>
      </c>
      <c r="X277" s="408">
        <v>0</v>
      </c>
      <c r="Y277" s="408">
        <v>0</v>
      </c>
      <c r="Z277" s="408">
        <v>0</v>
      </c>
      <c r="AA277" s="408">
        <v>0</v>
      </c>
      <c r="AB277" s="408">
        <v>0</v>
      </c>
      <c r="AC277" s="408">
        <v>0</v>
      </c>
      <c r="AD277" s="408">
        <v>0</v>
      </c>
      <c r="AE277" s="408">
        <v>0</v>
      </c>
      <c r="AF277" s="408">
        <v>0</v>
      </c>
      <c r="AG277" s="408">
        <v>0</v>
      </c>
      <c r="AH277" s="408">
        <v>0</v>
      </c>
      <c r="AI277" s="408">
        <v>0</v>
      </c>
      <c r="AJ277" s="408">
        <v>0</v>
      </c>
      <c r="AK277" s="408">
        <v>0</v>
      </c>
      <c r="AL277" s="408">
        <v>0</v>
      </c>
      <c r="AM277" s="408">
        <v>0</v>
      </c>
      <c r="AN277" s="408">
        <v>0</v>
      </c>
      <c r="AO277" s="408">
        <v>0</v>
      </c>
      <c r="AP277" s="408">
        <v>0</v>
      </c>
      <c r="AQ277" s="408">
        <v>0</v>
      </c>
      <c r="AR277" s="408">
        <v>0</v>
      </c>
      <c r="AS277" s="408">
        <v>0</v>
      </c>
      <c r="AT277" s="408">
        <v>0</v>
      </c>
      <c r="AU277" s="408">
        <v>0</v>
      </c>
      <c r="AV277" s="408">
        <v>0</v>
      </c>
      <c r="AW277" s="408">
        <v>0</v>
      </c>
      <c r="AX277" s="408">
        <v>0</v>
      </c>
      <c r="AY277" s="408">
        <v>0</v>
      </c>
      <c r="AZ277" s="408">
        <v>0</v>
      </c>
      <c r="BA277" s="408">
        <v>0</v>
      </c>
      <c r="BB277" s="408">
        <v>0</v>
      </c>
      <c r="BC277" s="408">
        <v>0</v>
      </c>
      <c r="BD277" s="408">
        <v>0</v>
      </c>
      <c r="BE277" s="408">
        <v>0</v>
      </c>
      <c r="BF277" s="408">
        <v>0</v>
      </c>
      <c r="BG277" s="408">
        <v>0</v>
      </c>
      <c r="BH277" s="408">
        <v>0</v>
      </c>
      <c r="BI277" s="408">
        <v>0</v>
      </c>
      <c r="BJ277" s="408">
        <v>0</v>
      </c>
      <c r="BK277" s="408">
        <v>0</v>
      </c>
      <c r="BL277" s="408">
        <v>0</v>
      </c>
      <c r="BM277" s="408">
        <v>0</v>
      </c>
      <c r="BN277" s="408">
        <v>0</v>
      </c>
      <c r="BO277" s="408">
        <v>0</v>
      </c>
      <c r="BP277" s="408">
        <v>0</v>
      </c>
      <c r="BQ277" s="408">
        <v>0</v>
      </c>
      <c r="BR277" s="408">
        <v>0</v>
      </c>
      <c r="BS277" s="408">
        <v>0</v>
      </c>
      <c r="BT277" s="408">
        <v>0</v>
      </c>
    </row>
    <row r="278" spans="1:72" s="408" customFormat="1" x14ac:dyDescent="0.3">
      <c r="A278" s="408">
        <v>618</v>
      </c>
      <c r="B278" s="409"/>
      <c r="C278" s="408">
        <v>618</v>
      </c>
      <c r="D278" s="408" t="s">
        <v>710</v>
      </c>
      <c r="F278" s="408">
        <v>0</v>
      </c>
      <c r="G278" s="408">
        <v>0</v>
      </c>
      <c r="H278" s="408">
        <v>0</v>
      </c>
      <c r="I278" s="408">
        <v>0</v>
      </c>
      <c r="J278" s="408">
        <v>0</v>
      </c>
      <c r="K278" s="408">
        <v>0</v>
      </c>
      <c r="L278" s="408">
        <v>0</v>
      </c>
      <c r="M278" s="408">
        <v>0</v>
      </c>
      <c r="N278" s="408">
        <v>0</v>
      </c>
      <c r="O278" s="408">
        <v>0</v>
      </c>
      <c r="P278" s="408">
        <v>0</v>
      </c>
      <c r="Q278" s="408">
        <v>0</v>
      </c>
      <c r="R278" s="408">
        <v>0</v>
      </c>
      <c r="S278" s="408">
        <v>0</v>
      </c>
      <c r="T278" s="408">
        <v>0</v>
      </c>
      <c r="U278" s="408">
        <v>0</v>
      </c>
      <c r="V278" s="408">
        <v>0</v>
      </c>
      <c r="W278" s="408">
        <v>0</v>
      </c>
      <c r="X278" s="408">
        <v>0</v>
      </c>
      <c r="Y278" s="408">
        <v>0</v>
      </c>
      <c r="Z278" s="408">
        <v>0</v>
      </c>
      <c r="AA278" s="408">
        <v>0</v>
      </c>
      <c r="AB278" s="408">
        <v>0</v>
      </c>
      <c r="AC278" s="408">
        <v>0</v>
      </c>
      <c r="AD278" s="408">
        <v>0</v>
      </c>
      <c r="AE278" s="408">
        <v>0</v>
      </c>
      <c r="AF278" s="408">
        <v>0</v>
      </c>
      <c r="AG278" s="408">
        <v>0</v>
      </c>
      <c r="AH278" s="408">
        <v>0</v>
      </c>
      <c r="AI278" s="408">
        <v>0</v>
      </c>
      <c r="AJ278" s="408">
        <v>0</v>
      </c>
      <c r="AK278" s="408">
        <v>0</v>
      </c>
      <c r="AL278" s="408">
        <v>0</v>
      </c>
      <c r="AM278" s="408">
        <v>0</v>
      </c>
      <c r="AN278" s="408">
        <v>0</v>
      </c>
      <c r="AO278" s="408">
        <v>0</v>
      </c>
      <c r="AP278" s="408">
        <v>0</v>
      </c>
      <c r="AQ278" s="408">
        <v>0</v>
      </c>
      <c r="AR278" s="408">
        <v>0</v>
      </c>
      <c r="AS278" s="408">
        <v>0</v>
      </c>
      <c r="AT278" s="408">
        <v>0</v>
      </c>
      <c r="AU278" s="408">
        <v>0</v>
      </c>
      <c r="AV278" s="408">
        <v>0</v>
      </c>
      <c r="AW278" s="408">
        <v>0</v>
      </c>
      <c r="AX278" s="408">
        <v>0</v>
      </c>
      <c r="AY278" s="408">
        <v>0</v>
      </c>
      <c r="AZ278" s="408">
        <v>0</v>
      </c>
      <c r="BA278" s="408">
        <v>0</v>
      </c>
      <c r="BB278" s="408">
        <v>0</v>
      </c>
      <c r="BC278" s="408">
        <v>0</v>
      </c>
      <c r="BD278" s="408">
        <v>0</v>
      </c>
      <c r="BE278" s="408">
        <v>0</v>
      </c>
      <c r="BF278" s="408">
        <v>0</v>
      </c>
      <c r="BG278" s="408">
        <v>0</v>
      </c>
      <c r="BH278" s="408">
        <v>0</v>
      </c>
      <c r="BI278" s="408">
        <v>0</v>
      </c>
      <c r="BJ278" s="408">
        <v>0</v>
      </c>
      <c r="BK278" s="408">
        <v>0</v>
      </c>
      <c r="BL278" s="408">
        <v>0</v>
      </c>
      <c r="BM278" s="408">
        <v>0</v>
      </c>
      <c r="BN278" s="408">
        <v>0</v>
      </c>
      <c r="BO278" s="408">
        <v>0</v>
      </c>
      <c r="BP278" s="408">
        <v>0</v>
      </c>
      <c r="BQ278" s="408">
        <v>0</v>
      </c>
      <c r="BR278" s="408">
        <v>0</v>
      </c>
      <c r="BS278" s="408">
        <v>0</v>
      </c>
      <c r="BT278" s="408">
        <v>0</v>
      </c>
    </row>
    <row r="279" spans="1:72" s="408" customFormat="1" x14ac:dyDescent="0.3">
      <c r="A279" s="408">
        <v>619</v>
      </c>
      <c r="B279" s="409">
        <v>619</v>
      </c>
      <c r="C279" s="408">
        <v>619</v>
      </c>
      <c r="D279" s="408" t="s">
        <v>712</v>
      </c>
      <c r="F279" s="1171">
        <v>0</v>
      </c>
      <c r="G279" s="1171">
        <v>0</v>
      </c>
      <c r="H279" s="1171">
        <v>0</v>
      </c>
      <c r="I279" s="1171">
        <v>0</v>
      </c>
      <c r="J279" s="1171">
        <v>0</v>
      </c>
      <c r="K279" s="1171">
        <v>0</v>
      </c>
      <c r="L279" s="1171">
        <v>0</v>
      </c>
      <c r="M279" s="1171">
        <v>0</v>
      </c>
      <c r="N279" s="1171">
        <v>0</v>
      </c>
      <c r="O279" s="1171">
        <v>0</v>
      </c>
      <c r="P279" s="1171">
        <v>60.4</v>
      </c>
      <c r="Q279" s="1171">
        <v>0</v>
      </c>
      <c r="R279" s="1171">
        <v>0</v>
      </c>
      <c r="S279" s="1171">
        <v>0</v>
      </c>
      <c r="T279" s="1171">
        <v>0</v>
      </c>
      <c r="U279" s="1171">
        <v>0</v>
      </c>
      <c r="V279" s="1171">
        <v>0</v>
      </c>
      <c r="W279" s="1171">
        <v>0</v>
      </c>
      <c r="X279" s="1171">
        <v>0</v>
      </c>
      <c r="Y279" s="1171">
        <v>0</v>
      </c>
      <c r="Z279" s="1171">
        <v>0</v>
      </c>
      <c r="AA279" s="1171">
        <v>0</v>
      </c>
      <c r="AB279" s="1171">
        <v>0</v>
      </c>
      <c r="AC279" s="1171">
        <v>0</v>
      </c>
      <c r="AD279" s="1171">
        <v>0</v>
      </c>
      <c r="AE279" s="1171">
        <v>0</v>
      </c>
      <c r="AF279" s="1171">
        <v>0</v>
      </c>
      <c r="AG279" s="1171">
        <v>0</v>
      </c>
      <c r="AH279" s="1171">
        <v>0</v>
      </c>
      <c r="AI279" s="1171">
        <v>0</v>
      </c>
      <c r="AJ279" s="1171">
        <v>0</v>
      </c>
      <c r="AK279" s="1171">
        <v>0</v>
      </c>
      <c r="AL279" s="1171">
        <v>0</v>
      </c>
      <c r="AM279" s="1171">
        <v>0</v>
      </c>
      <c r="AN279" s="1171">
        <v>0</v>
      </c>
      <c r="AO279" s="1171">
        <v>0</v>
      </c>
      <c r="AP279" s="1171">
        <v>0</v>
      </c>
      <c r="AQ279" s="1171">
        <v>0</v>
      </c>
      <c r="AR279" s="1171">
        <v>0</v>
      </c>
      <c r="AS279" s="1171">
        <v>0</v>
      </c>
      <c r="AT279" s="1171">
        <v>0</v>
      </c>
      <c r="AU279" s="1171">
        <v>0</v>
      </c>
      <c r="AV279" s="1171">
        <v>0</v>
      </c>
      <c r="AW279" s="1171">
        <v>0</v>
      </c>
      <c r="AX279" s="1171">
        <v>0</v>
      </c>
      <c r="AY279" s="1171">
        <v>86.4</v>
      </c>
      <c r="AZ279" s="1171">
        <v>0</v>
      </c>
      <c r="BA279" s="1171">
        <v>0</v>
      </c>
      <c r="BB279" s="1171">
        <v>0</v>
      </c>
      <c r="BC279" s="1171">
        <v>0</v>
      </c>
      <c r="BD279" s="1171">
        <v>0</v>
      </c>
      <c r="BE279" s="1171">
        <v>0</v>
      </c>
      <c r="BF279" s="1171">
        <v>0</v>
      </c>
      <c r="BG279" s="1171">
        <v>0</v>
      </c>
      <c r="BH279" s="1171">
        <v>0</v>
      </c>
      <c r="BI279" s="1171">
        <v>0</v>
      </c>
      <c r="BJ279" s="1171">
        <v>0</v>
      </c>
      <c r="BK279" s="1171">
        <v>0</v>
      </c>
      <c r="BL279" s="1171">
        <v>0</v>
      </c>
      <c r="BM279" s="1171">
        <v>0</v>
      </c>
      <c r="BN279" s="1171">
        <v>0</v>
      </c>
      <c r="BO279" s="1171">
        <v>0</v>
      </c>
      <c r="BP279" s="1171">
        <v>0</v>
      </c>
      <c r="BQ279" s="1171">
        <v>0</v>
      </c>
      <c r="BR279" s="1171">
        <v>0</v>
      </c>
      <c r="BS279" s="1171">
        <v>0</v>
      </c>
      <c r="BT279" s="1171">
        <v>0</v>
      </c>
    </row>
    <row r="280" spans="1:72" s="408" customFormat="1" x14ac:dyDescent="0.3">
      <c r="A280" s="408">
        <v>620</v>
      </c>
      <c r="B280" s="409">
        <v>620</v>
      </c>
      <c r="C280" s="408">
        <v>620</v>
      </c>
      <c r="D280" s="408" t="s">
        <v>701</v>
      </c>
      <c r="F280" s="408">
        <v>1</v>
      </c>
      <c r="G280" s="408">
        <v>1</v>
      </c>
      <c r="H280" s="408">
        <v>2</v>
      </c>
      <c r="I280" s="408">
        <v>1</v>
      </c>
      <c r="J280" s="408">
        <v>2</v>
      </c>
      <c r="K280" s="408">
        <v>2</v>
      </c>
      <c r="L280" s="408">
        <v>2</v>
      </c>
      <c r="M280" s="408">
        <v>2</v>
      </c>
      <c r="N280" s="408">
        <v>1</v>
      </c>
      <c r="O280" s="408">
        <v>2</v>
      </c>
      <c r="P280" s="408">
        <v>2</v>
      </c>
      <c r="Q280" s="408">
        <v>2</v>
      </c>
      <c r="R280" s="408">
        <v>2</v>
      </c>
      <c r="S280" s="408">
        <v>1</v>
      </c>
      <c r="T280" s="408">
        <v>0</v>
      </c>
      <c r="U280" s="408">
        <v>2</v>
      </c>
      <c r="V280" s="408">
        <v>1</v>
      </c>
      <c r="W280" s="408">
        <v>0</v>
      </c>
      <c r="X280" s="408">
        <v>2</v>
      </c>
      <c r="Y280" s="408">
        <v>2</v>
      </c>
      <c r="Z280" s="408">
        <v>2</v>
      </c>
      <c r="AA280" s="408">
        <v>0</v>
      </c>
      <c r="AB280" s="408">
        <v>0</v>
      </c>
      <c r="AC280" s="408">
        <v>2</v>
      </c>
      <c r="AD280" s="408">
        <v>1</v>
      </c>
      <c r="AE280" s="408">
        <v>2</v>
      </c>
      <c r="AF280" s="408">
        <v>2</v>
      </c>
      <c r="AG280" s="408">
        <v>0</v>
      </c>
      <c r="AH280" s="408">
        <v>2</v>
      </c>
      <c r="AI280" s="408">
        <v>2</v>
      </c>
      <c r="AJ280" s="408">
        <v>2</v>
      </c>
      <c r="AK280" s="408">
        <v>2</v>
      </c>
      <c r="AL280" s="408">
        <v>0</v>
      </c>
      <c r="AM280" s="408">
        <v>0</v>
      </c>
      <c r="AN280" s="408">
        <v>2</v>
      </c>
      <c r="AO280" s="408">
        <v>2</v>
      </c>
      <c r="AP280" s="408">
        <v>2</v>
      </c>
      <c r="AQ280" s="408">
        <v>1</v>
      </c>
      <c r="AR280" s="408">
        <v>2</v>
      </c>
      <c r="AS280" s="408">
        <v>2</v>
      </c>
      <c r="AT280" s="408">
        <v>2</v>
      </c>
      <c r="AU280" s="408">
        <v>2</v>
      </c>
      <c r="AV280" s="408">
        <v>2</v>
      </c>
      <c r="AW280" s="408">
        <v>0</v>
      </c>
      <c r="AX280" s="408">
        <v>2</v>
      </c>
      <c r="AY280" s="408">
        <v>2</v>
      </c>
      <c r="AZ280" s="408">
        <v>1</v>
      </c>
      <c r="BA280" s="408">
        <v>2</v>
      </c>
      <c r="BB280" s="408">
        <v>2</v>
      </c>
      <c r="BC280" s="408">
        <v>2</v>
      </c>
      <c r="BD280" s="408">
        <v>2</v>
      </c>
      <c r="BE280" s="408">
        <v>2</v>
      </c>
      <c r="BF280" s="408">
        <v>2</v>
      </c>
      <c r="BG280" s="408">
        <v>2</v>
      </c>
      <c r="BH280" s="408">
        <v>0</v>
      </c>
      <c r="BI280" s="408">
        <v>2</v>
      </c>
      <c r="BJ280" s="408">
        <v>1</v>
      </c>
      <c r="BK280" s="408">
        <v>2</v>
      </c>
      <c r="BL280" s="408">
        <v>2</v>
      </c>
      <c r="BM280" s="408">
        <v>2</v>
      </c>
      <c r="BN280" s="408">
        <v>2</v>
      </c>
      <c r="BO280" s="408">
        <v>2</v>
      </c>
      <c r="BP280" s="408">
        <v>2</v>
      </c>
      <c r="BQ280" s="408">
        <v>2</v>
      </c>
      <c r="BR280" s="408">
        <v>2</v>
      </c>
      <c r="BS280" s="408">
        <v>2</v>
      </c>
      <c r="BT280" s="408">
        <v>2</v>
      </c>
    </row>
    <row r="281" spans="1:72" s="408" customFormat="1" x14ac:dyDescent="0.3">
      <c r="A281" s="408">
        <v>621</v>
      </c>
      <c r="B281" s="409">
        <v>621</v>
      </c>
      <c r="C281" s="408">
        <v>621</v>
      </c>
      <c r="D281" s="408" t="s">
        <v>717</v>
      </c>
      <c r="F281" s="408">
        <v>0</v>
      </c>
      <c r="G281" s="408">
        <v>0</v>
      </c>
      <c r="H281" s="408">
        <v>0</v>
      </c>
      <c r="I281" s="408">
        <v>0</v>
      </c>
      <c r="J281" s="408">
        <v>0</v>
      </c>
      <c r="K281" s="408">
        <v>0</v>
      </c>
      <c r="L281" s="408">
        <v>0</v>
      </c>
      <c r="M281" s="408">
        <v>0</v>
      </c>
      <c r="N281" s="408">
        <v>0</v>
      </c>
      <c r="O281" s="408">
        <v>0</v>
      </c>
      <c r="P281" s="408">
        <v>0</v>
      </c>
      <c r="Q281" s="408">
        <v>0</v>
      </c>
      <c r="R281" s="408">
        <v>0</v>
      </c>
      <c r="S281" s="408">
        <v>0</v>
      </c>
      <c r="T281" s="408">
        <v>0</v>
      </c>
      <c r="U281" s="408">
        <v>0</v>
      </c>
      <c r="V281" s="408">
        <v>0</v>
      </c>
      <c r="W281" s="408">
        <v>0</v>
      </c>
      <c r="X281" s="408">
        <v>0</v>
      </c>
      <c r="Y281" s="408">
        <v>0</v>
      </c>
      <c r="Z281" s="408">
        <v>0</v>
      </c>
      <c r="AA281" s="408">
        <v>0</v>
      </c>
      <c r="AB281" s="408">
        <v>0</v>
      </c>
      <c r="AC281" s="408">
        <v>0</v>
      </c>
      <c r="AD281" s="408">
        <v>0</v>
      </c>
      <c r="AE281" s="408">
        <v>0</v>
      </c>
      <c r="AF281" s="408">
        <v>0</v>
      </c>
      <c r="AG281" s="408">
        <v>0</v>
      </c>
      <c r="AH281" s="408">
        <v>0</v>
      </c>
      <c r="AI281" s="408">
        <v>0</v>
      </c>
      <c r="AJ281" s="408">
        <v>0</v>
      </c>
      <c r="AK281" s="408">
        <v>0</v>
      </c>
      <c r="AL281" s="408">
        <v>0</v>
      </c>
      <c r="AM281" s="408">
        <v>0</v>
      </c>
      <c r="AN281" s="408">
        <v>0</v>
      </c>
      <c r="AO281" s="408">
        <v>0</v>
      </c>
      <c r="AP281" s="408">
        <v>0</v>
      </c>
      <c r="AQ281" s="408">
        <v>0</v>
      </c>
      <c r="AR281" s="408">
        <v>0</v>
      </c>
      <c r="AS281" s="408">
        <v>0</v>
      </c>
      <c r="AT281" s="408">
        <v>0</v>
      </c>
      <c r="AU281" s="408">
        <v>2441391</v>
      </c>
      <c r="AV281" s="408">
        <v>0</v>
      </c>
      <c r="AW281" s="408">
        <v>0</v>
      </c>
      <c r="AX281" s="408">
        <v>7174024</v>
      </c>
      <c r="AY281" s="408">
        <v>0</v>
      </c>
      <c r="AZ281" s="408">
        <v>5716124</v>
      </c>
      <c r="BA281" s="408">
        <v>0</v>
      </c>
      <c r="BB281" s="408">
        <v>0</v>
      </c>
      <c r="BC281" s="408">
        <v>0</v>
      </c>
      <c r="BD281" s="408">
        <v>0</v>
      </c>
      <c r="BE281" s="408">
        <v>0</v>
      </c>
      <c r="BF281" s="408">
        <v>0</v>
      </c>
      <c r="BG281" s="408">
        <v>0</v>
      </c>
      <c r="BH281" s="408">
        <v>0</v>
      </c>
      <c r="BI281" s="408">
        <v>0</v>
      </c>
      <c r="BJ281" s="408">
        <v>0</v>
      </c>
      <c r="BK281" s="408">
        <v>0</v>
      </c>
      <c r="BL281" s="408">
        <v>0</v>
      </c>
      <c r="BM281" s="408">
        <v>0</v>
      </c>
      <c r="BN281" s="408">
        <v>0</v>
      </c>
      <c r="BO281" s="408">
        <v>0</v>
      </c>
      <c r="BP281" s="408">
        <v>0</v>
      </c>
      <c r="BQ281" s="408">
        <v>0</v>
      </c>
      <c r="BR281" s="408">
        <v>0</v>
      </c>
      <c r="BS281" s="408">
        <v>0</v>
      </c>
      <c r="BT281" s="408">
        <v>0</v>
      </c>
    </row>
    <row r="282" spans="1:72" s="408" customFormat="1" x14ac:dyDescent="0.3">
      <c r="A282" s="408">
        <v>622</v>
      </c>
      <c r="B282" s="409">
        <v>622</v>
      </c>
      <c r="C282" s="408">
        <v>622</v>
      </c>
      <c r="D282" s="408" t="s">
        <v>722</v>
      </c>
      <c r="F282" s="408">
        <v>2032625</v>
      </c>
      <c r="G282" s="408">
        <v>941076</v>
      </c>
      <c r="H282" s="408">
        <v>25398</v>
      </c>
      <c r="I282" s="408">
        <v>5211145</v>
      </c>
      <c r="J282" s="408">
        <v>0</v>
      </c>
      <c r="K282" s="408">
        <v>287839</v>
      </c>
      <c r="L282" s="408">
        <v>619373</v>
      </c>
      <c r="M282" s="408">
        <v>63084</v>
      </c>
      <c r="N282" s="408">
        <v>11680972</v>
      </c>
      <c r="O282" s="408">
        <v>0</v>
      </c>
      <c r="P282" s="408">
        <v>1429091</v>
      </c>
      <c r="Q282" s="408">
        <v>35229</v>
      </c>
      <c r="R282" s="408">
        <v>6340655</v>
      </c>
      <c r="S282" s="408">
        <v>28358986</v>
      </c>
      <c r="T282" s="408">
        <v>0</v>
      </c>
      <c r="U282" s="408">
        <v>0</v>
      </c>
      <c r="V282" s="408">
        <v>1253766</v>
      </c>
      <c r="W282" s="408">
        <v>95309</v>
      </c>
      <c r="X282" s="408">
        <v>58442</v>
      </c>
      <c r="Y282" s="408">
        <v>0</v>
      </c>
      <c r="Z282" s="408">
        <v>1573011</v>
      </c>
      <c r="AA282" s="408">
        <v>0</v>
      </c>
      <c r="AB282" s="408">
        <v>0</v>
      </c>
      <c r="AC282" s="408">
        <v>66361</v>
      </c>
      <c r="AD282" s="408">
        <v>1489445</v>
      </c>
      <c r="AE282" s="408">
        <v>416739</v>
      </c>
      <c r="AF282" s="408">
        <v>0</v>
      </c>
      <c r="AG282" s="408">
        <v>6281</v>
      </c>
      <c r="AH282" s="408">
        <v>0</v>
      </c>
      <c r="AI282" s="408">
        <v>1620802</v>
      </c>
      <c r="AJ282" s="408">
        <v>994875</v>
      </c>
      <c r="AK282" s="408">
        <v>377960</v>
      </c>
      <c r="AL282" s="408">
        <v>0</v>
      </c>
      <c r="AM282" s="408">
        <v>0</v>
      </c>
      <c r="AN282" s="408">
        <v>0</v>
      </c>
      <c r="AO282" s="408">
        <v>985863</v>
      </c>
      <c r="AP282" s="408">
        <v>83293</v>
      </c>
      <c r="AQ282" s="408">
        <v>951453</v>
      </c>
      <c r="AR282" s="408">
        <v>0</v>
      </c>
      <c r="AS282" s="408">
        <v>158120</v>
      </c>
      <c r="AT282" s="408">
        <v>158940</v>
      </c>
      <c r="AU282" s="408">
        <v>538811</v>
      </c>
      <c r="AV282" s="408">
        <v>337269</v>
      </c>
      <c r="AW282" s="408">
        <v>0</v>
      </c>
      <c r="AX282" s="408">
        <v>1596498</v>
      </c>
      <c r="AY282" s="408">
        <v>233221</v>
      </c>
      <c r="AZ282" s="408">
        <v>1316304</v>
      </c>
      <c r="BA282" s="408">
        <v>0</v>
      </c>
      <c r="BB282" s="408">
        <v>0</v>
      </c>
      <c r="BC282" s="408">
        <v>668803</v>
      </c>
      <c r="BD282" s="408">
        <v>368948</v>
      </c>
      <c r="BE282" s="408">
        <v>0</v>
      </c>
      <c r="BF282" s="408">
        <v>0</v>
      </c>
      <c r="BG282" s="408">
        <v>3630488</v>
      </c>
      <c r="BH282" s="408">
        <v>211373</v>
      </c>
      <c r="BI282" s="408">
        <v>0</v>
      </c>
      <c r="BJ282" s="408">
        <v>1873686</v>
      </c>
      <c r="BK282" s="408">
        <v>48884</v>
      </c>
      <c r="BL282" s="408">
        <v>132450</v>
      </c>
      <c r="BM282" s="408">
        <v>21028</v>
      </c>
      <c r="BN282" s="408">
        <v>44787</v>
      </c>
      <c r="BO282" s="408">
        <v>456337</v>
      </c>
      <c r="BP282" s="408">
        <v>60900</v>
      </c>
      <c r="BQ282" s="408">
        <v>778040</v>
      </c>
      <c r="BR282" s="408">
        <v>13525710</v>
      </c>
      <c r="BS282" s="408">
        <v>491839</v>
      </c>
      <c r="BT282" s="408">
        <v>1408885</v>
      </c>
    </row>
    <row r="283" spans="1:72" s="408" customFormat="1" x14ac:dyDescent="0.3">
      <c r="A283" s="408">
        <v>624</v>
      </c>
      <c r="B283" s="409">
        <v>624</v>
      </c>
      <c r="C283" s="408">
        <v>624</v>
      </c>
      <c r="D283" s="408" t="s">
        <v>721</v>
      </c>
      <c r="F283" s="408">
        <v>1</v>
      </c>
      <c r="G283" s="408">
        <v>1</v>
      </c>
      <c r="H283" s="408">
        <v>2</v>
      </c>
      <c r="I283" s="408">
        <v>1</v>
      </c>
      <c r="J283" s="408">
        <v>2</v>
      </c>
      <c r="K283" s="408">
        <v>2</v>
      </c>
      <c r="L283" s="408">
        <v>1</v>
      </c>
      <c r="M283" s="408">
        <v>1</v>
      </c>
      <c r="N283" s="408">
        <v>1</v>
      </c>
      <c r="O283" s="408">
        <v>1</v>
      </c>
      <c r="P283" s="408">
        <v>1</v>
      </c>
      <c r="Q283" s="408">
        <v>1</v>
      </c>
      <c r="R283" s="408">
        <v>1</v>
      </c>
      <c r="S283" s="408">
        <v>1</v>
      </c>
      <c r="T283" s="408">
        <v>0</v>
      </c>
      <c r="U283" s="408">
        <v>1</v>
      </c>
      <c r="V283" s="408">
        <v>1</v>
      </c>
      <c r="W283" s="408">
        <v>0</v>
      </c>
      <c r="X283" s="408">
        <v>1</v>
      </c>
      <c r="Y283" s="408">
        <v>2</v>
      </c>
      <c r="Z283" s="408">
        <v>1</v>
      </c>
      <c r="AA283" s="408">
        <v>0</v>
      </c>
      <c r="AB283" s="408">
        <v>0</v>
      </c>
      <c r="AC283" s="408">
        <v>2</v>
      </c>
      <c r="AD283" s="408">
        <v>1</v>
      </c>
      <c r="AE283" s="408">
        <v>2</v>
      </c>
      <c r="AF283" s="408">
        <v>2</v>
      </c>
      <c r="AG283" s="408">
        <v>1</v>
      </c>
      <c r="AH283" s="408">
        <v>1</v>
      </c>
      <c r="AI283" s="408">
        <v>1</v>
      </c>
      <c r="AJ283" s="408">
        <v>2</v>
      </c>
      <c r="AK283" s="408">
        <v>2</v>
      </c>
      <c r="AL283" s="408">
        <v>0</v>
      </c>
      <c r="AM283" s="408">
        <v>0</v>
      </c>
      <c r="AN283" s="408">
        <v>1</v>
      </c>
      <c r="AO283" s="408">
        <v>1</v>
      </c>
      <c r="AP283" s="408">
        <v>1</v>
      </c>
      <c r="AQ283" s="408">
        <v>1</v>
      </c>
      <c r="AR283" s="408">
        <v>1</v>
      </c>
      <c r="AS283" s="408">
        <v>1</v>
      </c>
      <c r="AT283" s="408">
        <v>2</v>
      </c>
      <c r="AU283" s="408">
        <v>2</v>
      </c>
      <c r="AV283" s="408">
        <v>1</v>
      </c>
      <c r="AW283" s="408">
        <v>0</v>
      </c>
      <c r="AX283" s="408">
        <v>1</v>
      </c>
      <c r="AY283" s="408">
        <v>2</v>
      </c>
      <c r="AZ283" s="408">
        <v>2</v>
      </c>
      <c r="BA283" s="408">
        <v>1</v>
      </c>
      <c r="BB283" s="408">
        <v>1</v>
      </c>
      <c r="BC283" s="408">
        <v>1</v>
      </c>
      <c r="BD283" s="408">
        <v>1</v>
      </c>
      <c r="BE283" s="408">
        <v>1</v>
      </c>
      <c r="BF283" s="408">
        <v>1</v>
      </c>
      <c r="BG283" s="408">
        <v>1</v>
      </c>
      <c r="BH283" s="408">
        <v>1</v>
      </c>
      <c r="BI283" s="408">
        <v>1</v>
      </c>
      <c r="BJ283" s="408">
        <v>2</v>
      </c>
      <c r="BK283" s="408">
        <v>1</v>
      </c>
      <c r="BL283" s="408">
        <v>1</v>
      </c>
      <c r="BM283" s="408">
        <v>1</v>
      </c>
      <c r="BN283" s="408">
        <v>1</v>
      </c>
      <c r="BO283" s="408">
        <v>2</v>
      </c>
      <c r="BP283" s="408">
        <v>1</v>
      </c>
      <c r="BQ283" s="408">
        <v>1</v>
      </c>
      <c r="BR283" s="408">
        <v>2</v>
      </c>
      <c r="BS283" s="408">
        <v>1</v>
      </c>
      <c r="BT283" s="408">
        <v>1</v>
      </c>
    </row>
    <row r="284" spans="1:72" s="408" customFormat="1" ht="115.2" x14ac:dyDescent="0.3">
      <c r="A284" s="408">
        <v>625</v>
      </c>
      <c r="B284" s="409"/>
      <c r="C284" s="408">
        <v>625</v>
      </c>
      <c r="D284" s="1126" t="s">
        <v>820</v>
      </c>
      <c r="F284" s="408">
        <v>0</v>
      </c>
      <c r="G284" s="408">
        <v>0</v>
      </c>
      <c r="H284" s="408">
        <v>0</v>
      </c>
      <c r="I284" s="408">
        <v>0</v>
      </c>
      <c r="J284" s="408">
        <v>0</v>
      </c>
      <c r="K284" s="408">
        <v>0</v>
      </c>
      <c r="L284" s="408">
        <v>0</v>
      </c>
      <c r="M284" s="408">
        <v>0</v>
      </c>
      <c r="N284" s="408">
        <v>0</v>
      </c>
      <c r="O284" s="408">
        <v>0</v>
      </c>
      <c r="P284" s="408">
        <v>0</v>
      </c>
      <c r="Q284" s="408">
        <v>0</v>
      </c>
      <c r="R284" s="408">
        <v>0</v>
      </c>
      <c r="S284" s="408">
        <v>0</v>
      </c>
      <c r="T284" s="408">
        <v>0</v>
      </c>
      <c r="U284" s="408">
        <v>0</v>
      </c>
      <c r="V284" s="408">
        <v>0</v>
      </c>
      <c r="W284" s="408">
        <v>0</v>
      </c>
      <c r="X284" s="408">
        <v>0</v>
      </c>
      <c r="Y284" s="408">
        <v>0</v>
      </c>
      <c r="Z284" s="408">
        <v>0</v>
      </c>
      <c r="AA284" s="408">
        <v>0</v>
      </c>
      <c r="AB284" s="408">
        <v>0</v>
      </c>
      <c r="AC284" s="408">
        <v>0</v>
      </c>
      <c r="AD284" s="408">
        <v>0</v>
      </c>
      <c r="AE284" s="408">
        <v>0</v>
      </c>
      <c r="AF284" s="408">
        <v>0</v>
      </c>
      <c r="AG284" s="408">
        <v>0</v>
      </c>
      <c r="AH284" s="408">
        <v>0</v>
      </c>
      <c r="AI284" s="408">
        <v>0</v>
      </c>
      <c r="AJ284" s="408">
        <v>0</v>
      </c>
      <c r="AK284" s="408">
        <v>0</v>
      </c>
      <c r="AL284" s="408">
        <v>0</v>
      </c>
      <c r="AM284" s="408">
        <v>0</v>
      </c>
      <c r="AN284" s="408">
        <v>0</v>
      </c>
      <c r="AO284" s="408">
        <v>0</v>
      </c>
      <c r="AP284" s="408">
        <v>0</v>
      </c>
      <c r="AQ284" s="408">
        <v>0</v>
      </c>
      <c r="AR284" s="408">
        <v>0</v>
      </c>
      <c r="AS284" s="408">
        <v>0</v>
      </c>
      <c r="AT284" s="408">
        <v>0</v>
      </c>
      <c r="AU284" s="408">
        <v>0</v>
      </c>
      <c r="AV284" s="408">
        <v>0</v>
      </c>
      <c r="AW284" s="408">
        <v>0</v>
      </c>
      <c r="AX284" s="408">
        <v>0</v>
      </c>
      <c r="AY284" s="408">
        <v>0</v>
      </c>
      <c r="AZ284" s="408">
        <v>0</v>
      </c>
      <c r="BA284" s="408">
        <v>0</v>
      </c>
      <c r="BB284" s="408">
        <v>0</v>
      </c>
      <c r="BC284" s="408">
        <v>0</v>
      </c>
      <c r="BD284" s="408">
        <v>0</v>
      </c>
      <c r="BE284" s="408">
        <v>0</v>
      </c>
      <c r="BF284" s="408">
        <v>0</v>
      </c>
      <c r="BG284" s="408">
        <v>0</v>
      </c>
      <c r="BH284" s="408">
        <v>0</v>
      </c>
      <c r="BI284" s="408">
        <v>0</v>
      </c>
      <c r="BJ284" s="408">
        <v>0</v>
      </c>
      <c r="BK284" s="408">
        <v>0</v>
      </c>
      <c r="BL284" s="408">
        <v>0</v>
      </c>
      <c r="BM284" s="408">
        <v>0</v>
      </c>
      <c r="BN284" s="408">
        <v>0</v>
      </c>
      <c r="BO284" s="408">
        <v>0</v>
      </c>
      <c r="BP284" s="408">
        <v>0</v>
      </c>
      <c r="BQ284" s="408">
        <v>0</v>
      </c>
      <c r="BR284" s="408">
        <v>0</v>
      </c>
      <c r="BS284" s="408">
        <v>0</v>
      </c>
      <c r="BT284" s="408">
        <v>0</v>
      </c>
    </row>
    <row r="285" spans="1:72" s="408" customFormat="1" x14ac:dyDescent="0.3">
      <c r="A285" s="408">
        <v>626</v>
      </c>
      <c r="B285" s="409">
        <v>626</v>
      </c>
      <c r="C285" s="408">
        <v>626</v>
      </c>
      <c r="D285" s="408" t="s">
        <v>741</v>
      </c>
      <c r="F285" s="408">
        <v>1323299</v>
      </c>
      <c r="G285" s="408">
        <v>486657</v>
      </c>
      <c r="H285" s="408">
        <v>19381</v>
      </c>
      <c r="I285" s="408">
        <v>3565158</v>
      </c>
      <c r="J285" s="408">
        <v>276</v>
      </c>
      <c r="K285" s="408">
        <v>123362</v>
      </c>
      <c r="L285" s="408">
        <v>335513</v>
      </c>
      <c r="M285" s="408">
        <v>13792</v>
      </c>
      <c r="N285" s="408">
        <v>13631759</v>
      </c>
      <c r="O285" s="408">
        <v>138</v>
      </c>
      <c r="P285" s="408">
        <v>948421</v>
      </c>
      <c r="Q285" s="408">
        <v>153759</v>
      </c>
      <c r="R285" s="408">
        <v>4324885</v>
      </c>
      <c r="S285" s="408">
        <v>53478684</v>
      </c>
      <c r="T285" s="408">
        <v>0</v>
      </c>
      <c r="U285" s="408">
        <v>57717</v>
      </c>
      <c r="V285" s="408">
        <v>987729</v>
      </c>
      <c r="W285" s="408">
        <v>57917</v>
      </c>
      <c r="X285" s="408">
        <v>12430</v>
      </c>
      <c r="Y285" s="408">
        <v>3910</v>
      </c>
      <c r="Z285" s="408">
        <v>702057</v>
      </c>
      <c r="AA285" s="408">
        <v>0</v>
      </c>
      <c r="AB285" s="408">
        <v>0</v>
      </c>
      <c r="AC285" s="408">
        <v>5294</v>
      </c>
      <c r="AD285" s="408">
        <v>3804592</v>
      </c>
      <c r="AE285" s="408">
        <v>274015</v>
      </c>
      <c r="AF285" s="408">
        <v>2153</v>
      </c>
      <c r="AG285" s="408">
        <v>17897</v>
      </c>
      <c r="AH285" s="408">
        <v>0</v>
      </c>
      <c r="AI285" s="408">
        <v>1548759</v>
      </c>
      <c r="AJ285" s="408">
        <v>602900</v>
      </c>
      <c r="AK285" s="408">
        <v>139519</v>
      </c>
      <c r="AL285" s="408">
        <v>0</v>
      </c>
      <c r="AM285" s="408">
        <v>0</v>
      </c>
      <c r="AN285" s="408">
        <v>1318</v>
      </c>
      <c r="AO285" s="408">
        <v>152885</v>
      </c>
      <c r="AP285" s="408">
        <v>217125</v>
      </c>
      <c r="AQ285" s="408">
        <v>488838</v>
      </c>
      <c r="AR285" s="408">
        <v>2744</v>
      </c>
      <c r="AS285" s="408">
        <v>10723</v>
      </c>
      <c r="AT285" s="408">
        <v>16979</v>
      </c>
      <c r="AU285" s="408">
        <v>271226</v>
      </c>
      <c r="AV285" s="408">
        <v>88435</v>
      </c>
      <c r="AW285" s="408">
        <v>0</v>
      </c>
      <c r="AX285" s="408">
        <v>1170004</v>
      </c>
      <c r="AY285" s="408">
        <v>166104</v>
      </c>
      <c r="AZ285" s="408">
        <v>2605879</v>
      </c>
      <c r="BA285" s="408">
        <v>130648</v>
      </c>
      <c r="BB285" s="408">
        <v>9821</v>
      </c>
      <c r="BC285" s="408">
        <v>1413855</v>
      </c>
      <c r="BD285" s="408">
        <v>82598</v>
      </c>
      <c r="BE285" s="408">
        <v>1791</v>
      </c>
      <c r="BF285" s="408">
        <v>18090</v>
      </c>
      <c r="BG285" s="408">
        <v>1740845</v>
      </c>
      <c r="BH285" s="408">
        <v>17308</v>
      </c>
      <c r="BI285" s="408">
        <v>66777</v>
      </c>
      <c r="BJ285" s="408">
        <v>937071</v>
      </c>
      <c r="BK285" s="408">
        <v>106868</v>
      </c>
      <c r="BL285" s="408">
        <v>101756</v>
      </c>
      <c r="BM285" s="408">
        <v>9850</v>
      </c>
      <c r="BN285" s="408">
        <v>2710</v>
      </c>
      <c r="BO285" s="408">
        <v>144510</v>
      </c>
      <c r="BP285" s="408">
        <v>13797</v>
      </c>
      <c r="BQ285" s="408">
        <v>458218</v>
      </c>
      <c r="BR285" s="408">
        <v>10161668</v>
      </c>
      <c r="BS285" s="408">
        <v>292786</v>
      </c>
      <c r="BT285" s="408">
        <v>1188663</v>
      </c>
    </row>
    <row r="286" spans="1:72" s="408" customFormat="1" x14ac:dyDescent="0.3">
      <c r="A286" s="408">
        <v>627</v>
      </c>
      <c r="B286" s="409">
        <v>627</v>
      </c>
      <c r="C286" s="408">
        <v>627</v>
      </c>
      <c r="D286" s="408" t="s">
        <v>733</v>
      </c>
      <c r="F286" s="408">
        <v>0</v>
      </c>
      <c r="G286" s="408">
        <v>0</v>
      </c>
      <c r="H286" s="408">
        <v>0</v>
      </c>
      <c r="I286" s="408">
        <v>0</v>
      </c>
      <c r="J286" s="408">
        <v>0</v>
      </c>
      <c r="K286" s="408">
        <v>0</v>
      </c>
      <c r="L286" s="408">
        <v>0</v>
      </c>
      <c r="M286" s="408">
        <v>0</v>
      </c>
      <c r="N286" s="408">
        <v>0</v>
      </c>
      <c r="O286" s="408">
        <v>0</v>
      </c>
      <c r="P286" s="408">
        <v>0</v>
      </c>
      <c r="Q286" s="408">
        <v>0</v>
      </c>
      <c r="R286" s="408">
        <v>0</v>
      </c>
      <c r="S286" s="408">
        <v>0</v>
      </c>
      <c r="T286" s="408">
        <v>0</v>
      </c>
      <c r="U286" s="408">
        <v>54601</v>
      </c>
      <c r="V286" s="408">
        <v>0</v>
      </c>
      <c r="W286" s="408">
        <v>0</v>
      </c>
      <c r="X286" s="408">
        <v>0</v>
      </c>
      <c r="Y286" s="408">
        <v>0</v>
      </c>
      <c r="Z286" s="408">
        <v>0</v>
      </c>
      <c r="AA286" s="408">
        <v>0</v>
      </c>
      <c r="AB286" s="408">
        <v>0</v>
      </c>
      <c r="AC286" s="408">
        <v>0</v>
      </c>
      <c r="AD286" s="408">
        <v>0</v>
      </c>
      <c r="AE286" s="408">
        <v>0</v>
      </c>
      <c r="AF286" s="408">
        <v>0</v>
      </c>
      <c r="AG286" s="408">
        <v>0</v>
      </c>
      <c r="AH286" s="408">
        <v>0</v>
      </c>
      <c r="AI286" s="408">
        <v>0</v>
      </c>
      <c r="AJ286" s="408">
        <v>0</v>
      </c>
      <c r="AK286" s="408">
        <v>0</v>
      </c>
      <c r="AL286" s="408">
        <v>0</v>
      </c>
      <c r="AM286" s="408">
        <v>0</v>
      </c>
      <c r="AN286" s="408">
        <v>0</v>
      </c>
      <c r="AO286" s="408">
        <v>0</v>
      </c>
      <c r="AP286" s="408">
        <v>0</v>
      </c>
      <c r="AQ286" s="408">
        <v>0</v>
      </c>
      <c r="AR286" s="408">
        <v>0</v>
      </c>
      <c r="AS286" s="408">
        <v>0</v>
      </c>
      <c r="AT286" s="408">
        <v>0</v>
      </c>
      <c r="AU286" s="408">
        <v>0</v>
      </c>
      <c r="AV286" s="408">
        <v>0</v>
      </c>
      <c r="AW286" s="408">
        <v>0</v>
      </c>
      <c r="AX286" s="408">
        <v>0</v>
      </c>
      <c r="AY286" s="408">
        <v>0</v>
      </c>
      <c r="AZ286" s="408">
        <v>0</v>
      </c>
      <c r="BA286" s="408">
        <v>0</v>
      </c>
      <c r="BB286" s="408">
        <v>0</v>
      </c>
      <c r="BC286" s="408">
        <v>0</v>
      </c>
      <c r="BD286" s="408">
        <v>0</v>
      </c>
      <c r="BE286" s="408">
        <v>0</v>
      </c>
      <c r="BF286" s="408">
        <v>0</v>
      </c>
      <c r="BG286" s="408">
        <v>0</v>
      </c>
      <c r="BH286" s="408">
        <v>0</v>
      </c>
      <c r="BI286" s="408">
        <v>0</v>
      </c>
      <c r="BJ286" s="408">
        <v>0</v>
      </c>
      <c r="BK286" s="408">
        <v>0</v>
      </c>
      <c r="BL286" s="408">
        <v>0</v>
      </c>
      <c r="BM286" s="408">
        <v>0</v>
      </c>
      <c r="BN286" s="408">
        <v>0</v>
      </c>
      <c r="BO286" s="408">
        <v>0</v>
      </c>
      <c r="BP286" s="408">
        <v>0</v>
      </c>
      <c r="BQ286" s="408">
        <v>177199</v>
      </c>
      <c r="BR286" s="408">
        <v>0</v>
      </c>
      <c r="BS286" s="408">
        <v>0</v>
      </c>
      <c r="BT286" s="408">
        <v>0</v>
      </c>
    </row>
    <row r="287" spans="1:72" s="408" customFormat="1" x14ac:dyDescent="0.3">
      <c r="A287" s="408">
        <v>628</v>
      </c>
      <c r="B287" s="409">
        <v>628</v>
      </c>
      <c r="C287" s="408">
        <v>628</v>
      </c>
      <c r="D287" s="408" t="s">
        <v>738</v>
      </c>
      <c r="F287" s="408">
        <v>89835</v>
      </c>
      <c r="G287" s="408">
        <v>51024</v>
      </c>
      <c r="H287" s="408">
        <v>1463</v>
      </c>
      <c r="I287" s="408">
        <v>475643</v>
      </c>
      <c r="J287" s="408">
        <v>0</v>
      </c>
      <c r="K287" s="408">
        <v>9000</v>
      </c>
      <c r="L287" s="408">
        <v>13379</v>
      </c>
      <c r="M287" s="408">
        <v>4824</v>
      </c>
      <c r="N287" s="408">
        <v>774077</v>
      </c>
      <c r="O287" s="408">
        <v>0</v>
      </c>
      <c r="P287" s="408">
        <v>279074</v>
      </c>
      <c r="Q287" s="408">
        <v>0</v>
      </c>
      <c r="R287" s="408">
        <v>1249739</v>
      </c>
      <c r="S287" s="408">
        <v>3186037</v>
      </c>
      <c r="T287" s="408">
        <v>0</v>
      </c>
      <c r="U287" s="408">
        <v>0</v>
      </c>
      <c r="V287" s="408">
        <v>97866</v>
      </c>
      <c r="W287" s="408">
        <v>0</v>
      </c>
      <c r="X287" s="408">
        <v>0</v>
      </c>
      <c r="Y287" s="408">
        <v>1180</v>
      </c>
      <c r="Z287" s="408">
        <v>103908</v>
      </c>
      <c r="AA287" s="408">
        <v>0</v>
      </c>
      <c r="AB287" s="408">
        <v>0</v>
      </c>
      <c r="AC287" s="408">
        <v>292</v>
      </c>
      <c r="AD287" s="408">
        <v>135000</v>
      </c>
      <c r="AE287" s="408">
        <v>0</v>
      </c>
      <c r="AF287" s="408">
        <v>0</v>
      </c>
      <c r="AG287" s="408">
        <v>0</v>
      </c>
      <c r="AH287" s="408">
        <v>0</v>
      </c>
      <c r="AI287" s="408">
        <v>230490</v>
      </c>
      <c r="AJ287" s="408">
        <v>0</v>
      </c>
      <c r="AK287" s="408">
        <v>0</v>
      </c>
      <c r="AL287" s="408">
        <v>0</v>
      </c>
      <c r="AM287" s="408">
        <v>0</v>
      </c>
      <c r="AN287" s="408">
        <v>0</v>
      </c>
      <c r="AO287" s="408">
        <v>0</v>
      </c>
      <c r="AP287" s="408">
        <v>0</v>
      </c>
      <c r="AQ287" s="408">
        <v>0</v>
      </c>
      <c r="AR287" s="408">
        <v>0</v>
      </c>
      <c r="AS287" s="408">
        <v>0</v>
      </c>
      <c r="AT287" s="408">
        <v>6492</v>
      </c>
      <c r="AU287" s="408">
        <v>0</v>
      </c>
      <c r="AV287" s="408">
        <v>35847</v>
      </c>
      <c r="AW287" s="408">
        <v>0</v>
      </c>
      <c r="AX287" s="408">
        <v>161574</v>
      </c>
      <c r="AY287" s="408">
        <v>12439</v>
      </c>
      <c r="AZ287" s="408">
        <v>85000</v>
      </c>
      <c r="BA287" s="408">
        <v>0</v>
      </c>
      <c r="BB287" s="408">
        <v>0</v>
      </c>
      <c r="BC287" s="408">
        <v>53804</v>
      </c>
      <c r="BD287" s="408">
        <v>0</v>
      </c>
      <c r="BE287" s="408">
        <v>0</v>
      </c>
      <c r="BF287" s="408">
        <v>0</v>
      </c>
      <c r="BG287" s="408">
        <v>320000</v>
      </c>
      <c r="BH287" s="408">
        <v>2923</v>
      </c>
      <c r="BI287" s="408">
        <v>0</v>
      </c>
      <c r="BJ287" s="408">
        <v>189426</v>
      </c>
      <c r="BK287" s="408">
        <v>2500</v>
      </c>
      <c r="BL287" s="408">
        <v>37789</v>
      </c>
      <c r="BM287" s="408">
        <v>1500</v>
      </c>
      <c r="BN287" s="408">
        <v>0</v>
      </c>
      <c r="BO287" s="408">
        <v>31378</v>
      </c>
      <c r="BP287" s="408">
        <v>1304</v>
      </c>
      <c r="BQ287" s="408">
        <v>0</v>
      </c>
      <c r="BR287" s="408">
        <v>703139</v>
      </c>
      <c r="BS287" s="408">
        <v>71082</v>
      </c>
      <c r="BT287" s="408">
        <v>235132</v>
      </c>
    </row>
    <row r="288" spans="1:72" s="408" customFormat="1" x14ac:dyDescent="0.3">
      <c r="A288" s="408">
        <v>629</v>
      </c>
      <c r="B288" s="409">
        <v>629</v>
      </c>
      <c r="C288" s="408">
        <v>629</v>
      </c>
      <c r="D288" s="408" t="s">
        <v>737</v>
      </c>
      <c r="F288" s="408">
        <v>0</v>
      </c>
      <c r="G288" s="408">
        <v>0</v>
      </c>
      <c r="H288" s="408">
        <v>0</v>
      </c>
      <c r="I288" s="408">
        <v>0</v>
      </c>
      <c r="J288" s="408">
        <v>0</v>
      </c>
      <c r="K288" s="408">
        <v>0</v>
      </c>
      <c r="L288" s="408">
        <v>0</v>
      </c>
      <c r="M288" s="408">
        <v>0</v>
      </c>
      <c r="N288" s="408">
        <v>0</v>
      </c>
      <c r="O288" s="408">
        <v>0</v>
      </c>
      <c r="P288" s="408">
        <v>0</v>
      </c>
      <c r="Q288" s="408">
        <v>0</v>
      </c>
      <c r="R288" s="408">
        <v>0</v>
      </c>
      <c r="S288" s="408">
        <v>0</v>
      </c>
      <c r="T288" s="408">
        <v>0</v>
      </c>
      <c r="U288" s="408">
        <v>0</v>
      </c>
      <c r="V288" s="408">
        <v>0</v>
      </c>
      <c r="W288" s="408">
        <v>0</v>
      </c>
      <c r="X288" s="408">
        <v>0</v>
      </c>
      <c r="Y288" s="408">
        <v>0</v>
      </c>
      <c r="Z288" s="408">
        <v>0</v>
      </c>
      <c r="AA288" s="408">
        <v>0</v>
      </c>
      <c r="AB288" s="408">
        <v>0</v>
      </c>
      <c r="AC288" s="408">
        <v>0</v>
      </c>
      <c r="AD288" s="408">
        <v>0</v>
      </c>
      <c r="AE288" s="408">
        <v>0</v>
      </c>
      <c r="AF288" s="408">
        <v>0</v>
      </c>
      <c r="AG288" s="408">
        <v>0</v>
      </c>
      <c r="AH288" s="408">
        <v>0</v>
      </c>
      <c r="AI288" s="408">
        <v>0</v>
      </c>
      <c r="AJ288" s="408">
        <v>0</v>
      </c>
      <c r="AK288" s="408">
        <v>0</v>
      </c>
      <c r="AL288" s="408">
        <v>0</v>
      </c>
      <c r="AM288" s="408">
        <v>0</v>
      </c>
      <c r="AN288" s="408">
        <v>0</v>
      </c>
      <c r="AO288" s="408">
        <v>0</v>
      </c>
      <c r="AP288" s="408">
        <v>0</v>
      </c>
      <c r="AQ288" s="408">
        <v>0</v>
      </c>
      <c r="AR288" s="408">
        <v>0</v>
      </c>
      <c r="AS288" s="408">
        <v>0</v>
      </c>
      <c r="AT288" s="408">
        <v>0</v>
      </c>
      <c r="AU288" s="408">
        <v>0</v>
      </c>
      <c r="AV288" s="408">
        <v>0</v>
      </c>
      <c r="AW288" s="408">
        <v>0</v>
      </c>
      <c r="AX288" s="408">
        <v>0</v>
      </c>
      <c r="AY288" s="408">
        <v>0</v>
      </c>
      <c r="AZ288" s="408">
        <v>0</v>
      </c>
      <c r="BA288" s="408">
        <v>0</v>
      </c>
      <c r="BB288" s="408">
        <v>0</v>
      </c>
      <c r="BC288" s="408">
        <v>0</v>
      </c>
      <c r="BD288" s="408">
        <v>0</v>
      </c>
      <c r="BE288" s="408">
        <v>0</v>
      </c>
      <c r="BF288" s="408">
        <v>0</v>
      </c>
      <c r="BG288" s="408">
        <v>0</v>
      </c>
      <c r="BH288" s="408">
        <v>0</v>
      </c>
      <c r="BI288" s="408">
        <v>0</v>
      </c>
      <c r="BJ288" s="408">
        <v>0</v>
      </c>
      <c r="BK288" s="408">
        <v>0</v>
      </c>
      <c r="BL288" s="408">
        <v>0</v>
      </c>
      <c r="BM288" s="408">
        <v>0</v>
      </c>
      <c r="BN288" s="408">
        <v>0</v>
      </c>
      <c r="BO288" s="408">
        <v>0</v>
      </c>
      <c r="BP288" s="408">
        <v>0</v>
      </c>
      <c r="BQ288" s="408">
        <v>0</v>
      </c>
      <c r="BR288" s="408">
        <v>0</v>
      </c>
      <c r="BS288" s="408">
        <v>0</v>
      </c>
      <c r="BT288" s="408">
        <v>0</v>
      </c>
    </row>
    <row r="289" spans="1:72" s="408" customFormat="1" x14ac:dyDescent="0.3">
      <c r="A289" s="408">
        <v>630</v>
      </c>
      <c r="B289" s="409">
        <v>630</v>
      </c>
      <c r="C289" s="408">
        <v>630</v>
      </c>
      <c r="D289" s="408" t="s">
        <v>736</v>
      </c>
      <c r="F289" s="408">
        <v>0</v>
      </c>
      <c r="G289" s="408">
        <v>0</v>
      </c>
      <c r="H289" s="408">
        <v>0</v>
      </c>
      <c r="I289" s="408">
        <v>5000</v>
      </c>
      <c r="J289" s="408">
        <v>0</v>
      </c>
      <c r="K289" s="408">
        <v>0</v>
      </c>
      <c r="L289" s="408">
        <v>0</v>
      </c>
      <c r="M289" s="408">
        <v>0</v>
      </c>
      <c r="N289" s="408">
        <v>0</v>
      </c>
      <c r="O289" s="408">
        <v>0</v>
      </c>
      <c r="P289" s="408">
        <v>375476</v>
      </c>
      <c r="Q289" s="408">
        <v>0</v>
      </c>
      <c r="R289" s="408">
        <v>24746</v>
      </c>
      <c r="S289" s="408">
        <v>0</v>
      </c>
      <c r="T289" s="408">
        <v>0</v>
      </c>
      <c r="U289" s="408">
        <v>0</v>
      </c>
      <c r="V289" s="408">
        <v>0</v>
      </c>
      <c r="W289" s="408">
        <v>0</v>
      </c>
      <c r="X289" s="408">
        <v>0</v>
      </c>
      <c r="Y289" s="408">
        <v>0</v>
      </c>
      <c r="Z289" s="408">
        <v>0</v>
      </c>
      <c r="AA289" s="408">
        <v>0</v>
      </c>
      <c r="AB289" s="408">
        <v>0</v>
      </c>
      <c r="AC289" s="408">
        <v>0</v>
      </c>
      <c r="AD289" s="408">
        <v>36376</v>
      </c>
      <c r="AE289" s="408">
        <v>0</v>
      </c>
      <c r="AF289" s="408">
        <v>0</v>
      </c>
      <c r="AG289" s="408">
        <v>0</v>
      </c>
      <c r="AH289" s="408">
        <v>0</v>
      </c>
      <c r="AI289" s="408">
        <v>0</v>
      </c>
      <c r="AJ289" s="408">
        <v>0</v>
      </c>
      <c r="AK289" s="408">
        <v>0</v>
      </c>
      <c r="AL289" s="408">
        <v>0</v>
      </c>
      <c r="AM289" s="408">
        <v>0</v>
      </c>
      <c r="AN289" s="408">
        <v>0</v>
      </c>
      <c r="AO289" s="408">
        <v>76308</v>
      </c>
      <c r="AP289" s="408">
        <v>0</v>
      </c>
      <c r="AQ289" s="408">
        <v>0</v>
      </c>
      <c r="AR289" s="408">
        <v>0</v>
      </c>
      <c r="AS289" s="408">
        <v>0</v>
      </c>
      <c r="AT289" s="408">
        <v>0</v>
      </c>
      <c r="AU289" s="408">
        <v>0</v>
      </c>
      <c r="AV289" s="408">
        <v>0</v>
      </c>
      <c r="AW289" s="408">
        <v>0</v>
      </c>
      <c r="AX289" s="408">
        <v>0</v>
      </c>
      <c r="AY289" s="408">
        <v>0</v>
      </c>
      <c r="AZ289" s="408">
        <v>178914</v>
      </c>
      <c r="BA289" s="408">
        <v>0</v>
      </c>
      <c r="BB289" s="408">
        <v>0</v>
      </c>
      <c r="BC289" s="408">
        <v>0</v>
      </c>
      <c r="BD289" s="408">
        <v>24554</v>
      </c>
      <c r="BE289" s="408">
        <v>0</v>
      </c>
      <c r="BF289" s="408">
        <v>0</v>
      </c>
      <c r="BG289" s="408">
        <v>0</v>
      </c>
      <c r="BH289" s="408">
        <v>0</v>
      </c>
      <c r="BI289" s="408">
        <v>617</v>
      </c>
      <c r="BJ289" s="408">
        <v>0</v>
      </c>
      <c r="BK289" s="408">
        <v>0</v>
      </c>
      <c r="BL289" s="408">
        <v>0</v>
      </c>
      <c r="BM289" s="408">
        <v>0</v>
      </c>
      <c r="BN289" s="408">
        <v>0</v>
      </c>
      <c r="BO289" s="408">
        <v>0</v>
      </c>
      <c r="BP289" s="408">
        <v>0</v>
      </c>
      <c r="BQ289" s="408">
        <v>0</v>
      </c>
      <c r="BR289" s="408">
        <v>0</v>
      </c>
      <c r="BS289" s="408">
        <v>0</v>
      </c>
      <c r="BT289" s="408">
        <v>675</v>
      </c>
    </row>
    <row r="290" spans="1:72" s="408" customFormat="1" x14ac:dyDescent="0.3">
      <c r="A290" s="408">
        <v>631</v>
      </c>
      <c r="B290" s="409">
        <v>631</v>
      </c>
      <c r="C290" s="408">
        <v>631</v>
      </c>
      <c r="D290" s="408" t="s">
        <v>735</v>
      </c>
      <c r="F290" s="408">
        <v>0</v>
      </c>
      <c r="G290" s="408">
        <v>0</v>
      </c>
      <c r="H290" s="408">
        <v>0</v>
      </c>
      <c r="I290" s="408">
        <v>0</v>
      </c>
      <c r="J290" s="408">
        <v>0</v>
      </c>
      <c r="K290" s="408">
        <v>0</v>
      </c>
      <c r="L290" s="408">
        <v>0</v>
      </c>
      <c r="M290" s="408">
        <v>0</v>
      </c>
      <c r="N290" s="408">
        <v>0</v>
      </c>
      <c r="O290" s="408">
        <v>0</v>
      </c>
      <c r="P290" s="408">
        <v>0</v>
      </c>
      <c r="Q290" s="408">
        <v>0</v>
      </c>
      <c r="R290" s="408">
        <v>0</v>
      </c>
      <c r="S290" s="408">
        <v>0</v>
      </c>
      <c r="T290" s="408">
        <v>0</v>
      </c>
      <c r="U290" s="408">
        <v>0</v>
      </c>
      <c r="V290" s="408">
        <v>0</v>
      </c>
      <c r="W290" s="408">
        <v>0</v>
      </c>
      <c r="X290" s="408">
        <v>0</v>
      </c>
      <c r="Y290" s="408">
        <v>0</v>
      </c>
      <c r="Z290" s="408">
        <v>0</v>
      </c>
      <c r="AA290" s="408">
        <v>0</v>
      </c>
      <c r="AB290" s="408">
        <v>0</v>
      </c>
      <c r="AC290" s="408">
        <v>0</v>
      </c>
      <c r="AD290" s="408">
        <v>0</v>
      </c>
      <c r="AE290" s="408">
        <v>0</v>
      </c>
      <c r="AF290" s="408">
        <v>0</v>
      </c>
      <c r="AG290" s="408">
        <v>0</v>
      </c>
      <c r="AH290" s="408">
        <v>0</v>
      </c>
      <c r="AI290" s="408">
        <v>0</v>
      </c>
      <c r="AJ290" s="408">
        <v>0</v>
      </c>
      <c r="AK290" s="408">
        <v>0</v>
      </c>
      <c r="AL290" s="408">
        <v>0</v>
      </c>
      <c r="AM290" s="408">
        <v>0</v>
      </c>
      <c r="AN290" s="408">
        <v>0</v>
      </c>
      <c r="AO290" s="408">
        <v>0</v>
      </c>
      <c r="AP290" s="408">
        <v>0</v>
      </c>
      <c r="AQ290" s="408">
        <v>0</v>
      </c>
      <c r="AR290" s="408">
        <v>0</v>
      </c>
      <c r="AS290" s="408">
        <v>0</v>
      </c>
      <c r="AT290" s="408">
        <v>0</v>
      </c>
      <c r="AU290" s="408">
        <v>0</v>
      </c>
      <c r="AV290" s="408">
        <v>0</v>
      </c>
      <c r="AW290" s="408">
        <v>0</v>
      </c>
      <c r="AX290" s="408">
        <v>0</v>
      </c>
      <c r="AY290" s="408">
        <v>0</v>
      </c>
      <c r="AZ290" s="408">
        <v>0</v>
      </c>
      <c r="BA290" s="408">
        <v>0</v>
      </c>
      <c r="BB290" s="408">
        <v>0</v>
      </c>
      <c r="BC290" s="408">
        <v>0</v>
      </c>
      <c r="BD290" s="408">
        <v>0</v>
      </c>
      <c r="BE290" s="408">
        <v>0</v>
      </c>
      <c r="BF290" s="408">
        <v>0</v>
      </c>
      <c r="BG290" s="408">
        <v>0</v>
      </c>
      <c r="BH290" s="408">
        <v>0</v>
      </c>
      <c r="BI290" s="408">
        <v>0</v>
      </c>
      <c r="BJ290" s="408">
        <v>0</v>
      </c>
      <c r="BK290" s="408">
        <v>0</v>
      </c>
      <c r="BL290" s="408">
        <v>0</v>
      </c>
      <c r="BM290" s="408">
        <v>0</v>
      </c>
      <c r="BN290" s="408">
        <v>0</v>
      </c>
      <c r="BO290" s="408">
        <v>0</v>
      </c>
      <c r="BP290" s="408">
        <v>0</v>
      </c>
      <c r="BQ290" s="408">
        <v>0</v>
      </c>
      <c r="BR290" s="408">
        <v>0</v>
      </c>
      <c r="BS290" s="408">
        <v>0</v>
      </c>
      <c r="BT290" s="408">
        <v>0</v>
      </c>
    </row>
    <row r="291" spans="1:72" s="408" customFormat="1" x14ac:dyDescent="0.3">
      <c r="A291" s="408">
        <v>632</v>
      </c>
      <c r="B291" s="409">
        <v>632</v>
      </c>
      <c r="C291" s="408">
        <v>632</v>
      </c>
      <c r="D291" s="408" t="s">
        <v>734</v>
      </c>
      <c r="F291" s="408">
        <v>0</v>
      </c>
      <c r="G291" s="408">
        <v>0</v>
      </c>
      <c r="H291" s="408">
        <v>0</v>
      </c>
      <c r="I291" s="408">
        <v>0</v>
      </c>
      <c r="J291" s="408">
        <v>0</v>
      </c>
      <c r="K291" s="408">
        <v>0</v>
      </c>
      <c r="L291" s="408">
        <v>0</v>
      </c>
      <c r="M291" s="408">
        <v>0</v>
      </c>
      <c r="N291" s="408">
        <v>0</v>
      </c>
      <c r="O291" s="408">
        <v>0</v>
      </c>
      <c r="P291" s="408">
        <v>0</v>
      </c>
      <c r="Q291" s="408">
        <v>0</v>
      </c>
      <c r="R291" s="408">
        <v>0</v>
      </c>
      <c r="S291" s="408">
        <v>0</v>
      </c>
      <c r="T291" s="408">
        <v>0</v>
      </c>
      <c r="U291" s="408">
        <v>0</v>
      </c>
      <c r="V291" s="408">
        <v>0</v>
      </c>
      <c r="W291" s="408">
        <v>0</v>
      </c>
      <c r="X291" s="408">
        <v>0</v>
      </c>
      <c r="Y291" s="408">
        <v>0</v>
      </c>
      <c r="Z291" s="408">
        <v>0</v>
      </c>
      <c r="AA291" s="408">
        <v>0</v>
      </c>
      <c r="AB291" s="408">
        <v>0</v>
      </c>
      <c r="AC291" s="408">
        <v>0</v>
      </c>
      <c r="AD291" s="408">
        <v>0</v>
      </c>
      <c r="AE291" s="408">
        <v>0</v>
      </c>
      <c r="AF291" s="408">
        <v>0</v>
      </c>
      <c r="AG291" s="408">
        <v>0</v>
      </c>
      <c r="AH291" s="408">
        <v>0</v>
      </c>
      <c r="AI291" s="408">
        <v>0</v>
      </c>
      <c r="AJ291" s="408">
        <v>0</v>
      </c>
      <c r="AK291" s="408">
        <v>0</v>
      </c>
      <c r="AL291" s="408">
        <v>0</v>
      </c>
      <c r="AM291" s="408">
        <v>0</v>
      </c>
      <c r="AN291" s="408">
        <v>0</v>
      </c>
      <c r="AO291" s="408">
        <v>0</v>
      </c>
      <c r="AP291" s="408">
        <v>0</v>
      </c>
      <c r="AQ291" s="408">
        <v>0</v>
      </c>
      <c r="AR291" s="408">
        <v>0</v>
      </c>
      <c r="AS291" s="408">
        <v>0</v>
      </c>
      <c r="AT291" s="408">
        <v>0</v>
      </c>
      <c r="AU291" s="408">
        <v>0</v>
      </c>
      <c r="AV291" s="408">
        <v>0</v>
      </c>
      <c r="AW291" s="408">
        <v>0</v>
      </c>
      <c r="AX291" s="408">
        <v>0</v>
      </c>
      <c r="AY291" s="408">
        <v>0</v>
      </c>
      <c r="AZ291" s="408">
        <v>0</v>
      </c>
      <c r="BA291" s="408">
        <v>0</v>
      </c>
      <c r="BB291" s="408">
        <v>0</v>
      </c>
      <c r="BC291" s="408">
        <v>0</v>
      </c>
      <c r="BD291" s="408">
        <v>0</v>
      </c>
      <c r="BE291" s="408">
        <v>0</v>
      </c>
      <c r="BF291" s="408">
        <v>0</v>
      </c>
      <c r="BG291" s="408">
        <v>0</v>
      </c>
      <c r="BH291" s="408">
        <v>0</v>
      </c>
      <c r="BI291" s="408">
        <v>0</v>
      </c>
      <c r="BJ291" s="408">
        <v>0</v>
      </c>
      <c r="BK291" s="408">
        <v>0</v>
      </c>
      <c r="BL291" s="408">
        <v>0</v>
      </c>
      <c r="BM291" s="408">
        <v>0</v>
      </c>
      <c r="BN291" s="408">
        <v>0</v>
      </c>
      <c r="BO291" s="408">
        <v>0</v>
      </c>
      <c r="BP291" s="408">
        <v>0</v>
      </c>
      <c r="BQ291" s="408">
        <v>0</v>
      </c>
      <c r="BR291" s="408">
        <v>0</v>
      </c>
      <c r="BS291" s="408">
        <v>0</v>
      </c>
      <c r="BT291" s="408">
        <v>0</v>
      </c>
    </row>
    <row r="292" spans="1:72" s="408" customFormat="1" x14ac:dyDescent="0.3">
      <c r="A292" s="408">
        <v>633</v>
      </c>
      <c r="B292" s="409">
        <v>633</v>
      </c>
      <c r="C292" s="408">
        <v>633</v>
      </c>
      <c r="D292" s="408" t="s">
        <v>742</v>
      </c>
      <c r="F292" s="408">
        <v>497280</v>
      </c>
      <c r="G292" s="408">
        <v>614947</v>
      </c>
      <c r="H292" s="408">
        <v>37855</v>
      </c>
      <c r="I292" s="408">
        <v>2703846</v>
      </c>
      <c r="J292" s="408">
        <v>0</v>
      </c>
      <c r="K292" s="408">
        <v>567397</v>
      </c>
      <c r="L292" s="408">
        <v>1014038</v>
      </c>
      <c r="M292" s="408">
        <v>67127</v>
      </c>
      <c r="N292" s="408">
        <v>5292863</v>
      </c>
      <c r="O292" s="408">
        <v>0</v>
      </c>
      <c r="P292" s="408">
        <v>1510845</v>
      </c>
      <c r="Q292" s="408">
        <v>0</v>
      </c>
      <c r="R292" s="408">
        <v>2370543</v>
      </c>
      <c r="S292" s="408">
        <v>42488703</v>
      </c>
      <c r="T292" s="408">
        <v>0</v>
      </c>
      <c r="U292" s="408">
        <v>14000</v>
      </c>
      <c r="V292" s="408">
        <v>127558</v>
      </c>
      <c r="W292" s="408">
        <v>224374</v>
      </c>
      <c r="X292" s="408">
        <v>32957</v>
      </c>
      <c r="Y292" s="408">
        <v>15141</v>
      </c>
      <c r="Z292" s="408">
        <v>525455</v>
      </c>
      <c r="AA292" s="408">
        <v>0</v>
      </c>
      <c r="AB292" s="408">
        <v>0</v>
      </c>
      <c r="AC292" s="408">
        <v>251209</v>
      </c>
      <c r="AD292" s="408">
        <v>736531</v>
      </c>
      <c r="AE292" s="408">
        <v>98486</v>
      </c>
      <c r="AF292" s="408">
        <v>320035</v>
      </c>
      <c r="AG292" s="408">
        <v>0</v>
      </c>
      <c r="AH292" s="408">
        <v>0</v>
      </c>
      <c r="AI292" s="408">
        <v>1499623</v>
      </c>
      <c r="AJ292" s="408">
        <v>653513</v>
      </c>
      <c r="AK292" s="408">
        <v>413934</v>
      </c>
      <c r="AL292" s="408">
        <v>0</v>
      </c>
      <c r="AM292" s="408">
        <v>0</v>
      </c>
      <c r="AN292" s="408">
        <v>0</v>
      </c>
      <c r="AO292" s="408">
        <v>1134160</v>
      </c>
      <c r="AP292" s="408">
        <v>83</v>
      </c>
      <c r="AQ292" s="408">
        <v>749813</v>
      </c>
      <c r="AR292" s="408">
        <v>0</v>
      </c>
      <c r="AS292" s="408">
        <v>618607</v>
      </c>
      <c r="AT292" s="408">
        <v>139724</v>
      </c>
      <c r="AU292" s="408">
        <v>16433</v>
      </c>
      <c r="AV292" s="408">
        <v>157224</v>
      </c>
      <c r="AW292" s="408">
        <v>0</v>
      </c>
      <c r="AX292" s="408">
        <v>445533</v>
      </c>
      <c r="AY292" s="408">
        <v>52159</v>
      </c>
      <c r="AZ292" s="408">
        <v>685238</v>
      </c>
      <c r="BA292" s="408">
        <v>0</v>
      </c>
      <c r="BB292" s="408">
        <v>0</v>
      </c>
      <c r="BC292" s="408">
        <v>0</v>
      </c>
      <c r="BD292" s="408">
        <v>204706</v>
      </c>
      <c r="BE292" s="408">
        <v>0</v>
      </c>
      <c r="BF292" s="408">
        <v>13869</v>
      </c>
      <c r="BG292" s="408">
        <v>1256811</v>
      </c>
      <c r="BH292" s="408">
        <v>489186</v>
      </c>
      <c r="BI292" s="408">
        <v>49554</v>
      </c>
      <c r="BJ292" s="408">
        <v>2196821</v>
      </c>
      <c r="BK292" s="408">
        <v>80391</v>
      </c>
      <c r="BL292" s="408">
        <v>202793</v>
      </c>
      <c r="BM292" s="408">
        <v>0</v>
      </c>
      <c r="BN292" s="408">
        <v>288</v>
      </c>
      <c r="BO292" s="408">
        <v>350273</v>
      </c>
      <c r="BP292" s="408">
        <v>367385</v>
      </c>
      <c r="BQ292" s="408">
        <v>300517</v>
      </c>
      <c r="BR292" s="408">
        <v>4715144</v>
      </c>
      <c r="BS292" s="408">
        <v>451393</v>
      </c>
      <c r="BT292" s="408">
        <v>0</v>
      </c>
    </row>
    <row r="293" spans="1:72" s="408" customFormat="1" x14ac:dyDescent="0.3">
      <c r="A293" s="408">
        <v>634</v>
      </c>
      <c r="B293" s="409">
        <v>634</v>
      </c>
      <c r="C293" s="408">
        <v>634</v>
      </c>
      <c r="D293" s="408" t="s">
        <v>743</v>
      </c>
      <c r="F293" s="408">
        <v>0</v>
      </c>
      <c r="G293" s="408">
        <v>0</v>
      </c>
      <c r="H293" s="408">
        <v>0</v>
      </c>
      <c r="I293" s="408">
        <v>0</v>
      </c>
      <c r="J293" s="408">
        <v>0</v>
      </c>
      <c r="K293" s="408">
        <v>0</v>
      </c>
      <c r="L293" s="408">
        <v>94350</v>
      </c>
      <c r="M293" s="408">
        <v>30000</v>
      </c>
      <c r="N293" s="408">
        <v>0</v>
      </c>
      <c r="O293" s="408">
        <v>0</v>
      </c>
      <c r="P293" s="408">
        <v>0</v>
      </c>
      <c r="Q293" s="408">
        <v>0</v>
      </c>
      <c r="R293" s="408">
        <v>0</v>
      </c>
      <c r="S293" s="408">
        <v>0</v>
      </c>
      <c r="T293" s="408">
        <v>0</v>
      </c>
      <c r="U293" s="408">
        <v>14000</v>
      </c>
      <c r="V293" s="408">
        <v>0</v>
      </c>
      <c r="W293" s="408">
        <v>0</v>
      </c>
      <c r="X293" s="408">
        <v>0</v>
      </c>
      <c r="Y293" s="408">
        <v>0</v>
      </c>
      <c r="Z293" s="408">
        <v>0</v>
      </c>
      <c r="AA293" s="408">
        <v>0</v>
      </c>
      <c r="AB293" s="408">
        <v>0</v>
      </c>
      <c r="AC293" s="408">
        <v>0</v>
      </c>
      <c r="AD293" s="408">
        <v>0</v>
      </c>
      <c r="AE293" s="408">
        <v>0</v>
      </c>
      <c r="AF293" s="408">
        <v>48862</v>
      </c>
      <c r="AG293" s="408">
        <v>0</v>
      </c>
      <c r="AH293" s="408">
        <v>0</v>
      </c>
      <c r="AI293" s="408">
        <v>0</v>
      </c>
      <c r="AJ293" s="408">
        <v>0</v>
      </c>
      <c r="AK293" s="408">
        <v>0</v>
      </c>
      <c r="AL293" s="408">
        <v>0</v>
      </c>
      <c r="AM293" s="408">
        <v>0</v>
      </c>
      <c r="AN293" s="408">
        <v>0</v>
      </c>
      <c r="AO293" s="408">
        <v>17000</v>
      </c>
      <c r="AP293" s="408">
        <v>0</v>
      </c>
      <c r="AQ293" s="408">
        <v>0</v>
      </c>
      <c r="AR293" s="408">
        <v>0</v>
      </c>
      <c r="AS293" s="408">
        <v>0</v>
      </c>
      <c r="AT293" s="408">
        <v>0</v>
      </c>
      <c r="AU293" s="408">
        <v>0</v>
      </c>
      <c r="AV293" s="408">
        <v>0</v>
      </c>
      <c r="AW293" s="408">
        <v>0</v>
      </c>
      <c r="AX293" s="408">
        <v>0</v>
      </c>
      <c r="AY293" s="408">
        <v>0</v>
      </c>
      <c r="AZ293" s="408">
        <v>0</v>
      </c>
      <c r="BA293" s="408">
        <v>0</v>
      </c>
      <c r="BB293" s="408">
        <v>0</v>
      </c>
      <c r="BC293" s="408">
        <v>0</v>
      </c>
      <c r="BD293" s="408">
        <v>0</v>
      </c>
      <c r="BE293" s="408">
        <v>0</v>
      </c>
      <c r="BF293" s="408">
        <v>0</v>
      </c>
      <c r="BG293" s="408">
        <v>0</v>
      </c>
      <c r="BH293" s="408">
        <v>0</v>
      </c>
      <c r="BI293" s="408">
        <v>0</v>
      </c>
      <c r="BJ293" s="408">
        <v>0</v>
      </c>
      <c r="BK293" s="408">
        <v>0</v>
      </c>
      <c r="BL293" s="408">
        <v>0</v>
      </c>
      <c r="BM293" s="408">
        <v>0</v>
      </c>
      <c r="BN293" s="408">
        <v>0</v>
      </c>
      <c r="BO293" s="408">
        <v>0</v>
      </c>
      <c r="BP293" s="408">
        <v>59741</v>
      </c>
      <c r="BQ293" s="408">
        <v>99320</v>
      </c>
      <c r="BR293" s="408">
        <v>0</v>
      </c>
      <c r="BS293" s="408">
        <v>0</v>
      </c>
      <c r="BT293" s="408">
        <v>0</v>
      </c>
    </row>
    <row r="294" spans="1:72" s="408" customFormat="1" x14ac:dyDescent="0.3">
      <c r="A294" s="408">
        <v>635</v>
      </c>
      <c r="B294" s="409">
        <v>635</v>
      </c>
      <c r="C294" s="408">
        <v>635</v>
      </c>
      <c r="D294" s="408" t="s">
        <v>744</v>
      </c>
      <c r="F294" s="408">
        <v>15495</v>
      </c>
      <c r="G294" s="408">
        <v>12619</v>
      </c>
      <c r="H294" s="408">
        <v>0</v>
      </c>
      <c r="I294" s="408">
        <v>97030</v>
      </c>
      <c r="J294" s="408">
        <v>0</v>
      </c>
      <c r="K294" s="408">
        <v>17000</v>
      </c>
      <c r="L294" s="408">
        <v>3436</v>
      </c>
      <c r="M294" s="408">
        <v>0</v>
      </c>
      <c r="N294" s="408">
        <v>138969</v>
      </c>
      <c r="O294" s="408">
        <v>0</v>
      </c>
      <c r="P294" s="408">
        <v>23779</v>
      </c>
      <c r="Q294" s="408">
        <v>0</v>
      </c>
      <c r="R294" s="408">
        <v>254763</v>
      </c>
      <c r="S294" s="408">
        <v>301295</v>
      </c>
      <c r="T294" s="408">
        <v>0</v>
      </c>
      <c r="U294" s="408">
        <v>0</v>
      </c>
      <c r="V294" s="408">
        <v>9006</v>
      </c>
      <c r="W294" s="408">
        <v>0</v>
      </c>
      <c r="X294" s="408">
        <v>0</v>
      </c>
      <c r="Y294" s="408">
        <v>0</v>
      </c>
      <c r="Z294" s="408">
        <v>8222</v>
      </c>
      <c r="AA294" s="408">
        <v>0</v>
      </c>
      <c r="AB294" s="408">
        <v>0</v>
      </c>
      <c r="AC294" s="408">
        <v>0</v>
      </c>
      <c r="AD294" s="408">
        <v>45000</v>
      </c>
      <c r="AE294" s="408">
        <v>0</v>
      </c>
      <c r="AF294" s="408">
        <v>0</v>
      </c>
      <c r="AG294" s="408">
        <v>0</v>
      </c>
      <c r="AH294" s="408">
        <v>0</v>
      </c>
      <c r="AI294" s="408">
        <v>51491</v>
      </c>
      <c r="AJ294" s="408">
        <v>0</v>
      </c>
      <c r="AK294" s="408">
        <v>0</v>
      </c>
      <c r="AL294" s="408">
        <v>0</v>
      </c>
      <c r="AM294" s="408">
        <v>0</v>
      </c>
      <c r="AN294" s="408">
        <v>0</v>
      </c>
      <c r="AO294" s="408">
        <v>25000</v>
      </c>
      <c r="AP294" s="408">
        <v>0</v>
      </c>
      <c r="AQ294" s="408">
        <v>0</v>
      </c>
      <c r="AR294" s="408">
        <v>0</v>
      </c>
      <c r="AS294" s="408">
        <v>6307</v>
      </c>
      <c r="AT294" s="408">
        <v>1351</v>
      </c>
      <c r="AU294" s="408">
        <v>0</v>
      </c>
      <c r="AV294" s="408">
        <v>27216</v>
      </c>
      <c r="AW294" s="408">
        <v>0</v>
      </c>
      <c r="AX294" s="408">
        <v>22673</v>
      </c>
      <c r="AY294" s="408">
        <v>8770</v>
      </c>
      <c r="AZ294" s="408">
        <v>29143</v>
      </c>
      <c r="BA294" s="408">
        <v>0</v>
      </c>
      <c r="BB294" s="408">
        <v>0</v>
      </c>
      <c r="BC294" s="408">
        <v>0</v>
      </c>
      <c r="BD294" s="408">
        <v>0</v>
      </c>
      <c r="BE294" s="408">
        <v>0</v>
      </c>
      <c r="BF294" s="408">
        <v>0</v>
      </c>
      <c r="BG294" s="408">
        <v>120000</v>
      </c>
      <c r="BH294" s="408">
        <v>8519</v>
      </c>
      <c r="BI294" s="408">
        <v>0</v>
      </c>
      <c r="BJ294" s="408">
        <v>81283</v>
      </c>
      <c r="BK294" s="408">
        <v>0</v>
      </c>
      <c r="BL294" s="408">
        <v>10503</v>
      </c>
      <c r="BM294" s="408">
        <v>0</v>
      </c>
      <c r="BN294" s="408">
        <v>0</v>
      </c>
      <c r="BO294" s="408">
        <v>33613</v>
      </c>
      <c r="BP294" s="408">
        <v>5839</v>
      </c>
      <c r="BQ294" s="408">
        <v>10409</v>
      </c>
      <c r="BR294" s="408">
        <v>76414</v>
      </c>
      <c r="BS294" s="408">
        <v>47155</v>
      </c>
      <c r="BT294" s="408">
        <v>0</v>
      </c>
    </row>
    <row r="295" spans="1:72" s="408" customFormat="1" x14ac:dyDescent="0.3">
      <c r="A295" s="408">
        <v>636</v>
      </c>
      <c r="B295" s="409">
        <v>636</v>
      </c>
      <c r="C295" s="408">
        <v>636</v>
      </c>
      <c r="D295" s="408" t="s">
        <v>739</v>
      </c>
      <c r="F295" s="408">
        <v>0</v>
      </c>
      <c r="G295" s="408">
        <v>0</v>
      </c>
      <c r="H295" s="408">
        <v>0</v>
      </c>
      <c r="I295" s="408">
        <v>0</v>
      </c>
      <c r="J295" s="408">
        <v>0</v>
      </c>
      <c r="K295" s="408">
        <v>0</v>
      </c>
      <c r="L295" s="408">
        <v>0</v>
      </c>
      <c r="M295" s="408">
        <v>0</v>
      </c>
      <c r="N295" s="408">
        <v>0</v>
      </c>
      <c r="O295" s="408">
        <v>0</v>
      </c>
      <c r="P295" s="408">
        <v>0</v>
      </c>
      <c r="Q295" s="408">
        <v>0</v>
      </c>
      <c r="R295" s="408">
        <v>0</v>
      </c>
      <c r="S295" s="408">
        <v>0</v>
      </c>
      <c r="T295" s="408">
        <v>0</v>
      </c>
      <c r="U295" s="408">
        <v>0</v>
      </c>
      <c r="V295" s="408">
        <v>0</v>
      </c>
      <c r="W295" s="408">
        <v>0</v>
      </c>
      <c r="X295" s="408">
        <v>0</v>
      </c>
      <c r="Y295" s="408">
        <v>0</v>
      </c>
      <c r="Z295" s="408">
        <v>0</v>
      </c>
      <c r="AA295" s="408">
        <v>0</v>
      </c>
      <c r="AB295" s="408">
        <v>0</v>
      </c>
      <c r="AC295" s="408">
        <v>0</v>
      </c>
      <c r="AD295" s="408">
        <v>0</v>
      </c>
      <c r="AE295" s="408">
        <v>0</v>
      </c>
      <c r="AF295" s="408">
        <v>0</v>
      </c>
      <c r="AG295" s="408">
        <v>0</v>
      </c>
      <c r="AH295" s="408">
        <v>0</v>
      </c>
      <c r="AI295" s="408">
        <v>0</v>
      </c>
      <c r="AJ295" s="408">
        <v>0</v>
      </c>
      <c r="AK295" s="408">
        <v>0</v>
      </c>
      <c r="AL295" s="408">
        <v>0</v>
      </c>
      <c r="AM295" s="408">
        <v>0</v>
      </c>
      <c r="AN295" s="408">
        <v>0</v>
      </c>
      <c r="AO295" s="408">
        <v>0</v>
      </c>
      <c r="AP295" s="408">
        <v>0</v>
      </c>
      <c r="AQ295" s="408">
        <v>0</v>
      </c>
      <c r="AR295" s="408">
        <v>0</v>
      </c>
      <c r="AS295" s="408">
        <v>0</v>
      </c>
      <c r="AT295" s="408">
        <v>0</v>
      </c>
      <c r="AU295" s="408">
        <v>0</v>
      </c>
      <c r="AV295" s="408">
        <v>0</v>
      </c>
      <c r="AW295" s="408">
        <v>0</v>
      </c>
      <c r="AX295" s="408">
        <v>0</v>
      </c>
      <c r="AY295" s="408">
        <v>0</v>
      </c>
      <c r="AZ295" s="408">
        <v>0</v>
      </c>
      <c r="BA295" s="408">
        <v>0</v>
      </c>
      <c r="BB295" s="408">
        <v>0</v>
      </c>
      <c r="BC295" s="408">
        <v>0</v>
      </c>
      <c r="BD295" s="408">
        <v>0</v>
      </c>
      <c r="BE295" s="408">
        <v>0</v>
      </c>
      <c r="BF295" s="408">
        <v>0</v>
      </c>
      <c r="BG295" s="408">
        <v>0</v>
      </c>
      <c r="BH295" s="408">
        <v>0</v>
      </c>
      <c r="BI295" s="408">
        <v>0</v>
      </c>
      <c r="BJ295" s="408">
        <v>0</v>
      </c>
      <c r="BK295" s="408">
        <v>0</v>
      </c>
      <c r="BL295" s="408">
        <v>0</v>
      </c>
      <c r="BM295" s="408">
        <v>0</v>
      </c>
      <c r="BN295" s="408">
        <v>0</v>
      </c>
      <c r="BO295" s="408">
        <v>0</v>
      </c>
      <c r="BP295" s="408">
        <v>0</v>
      </c>
      <c r="BQ295" s="408">
        <v>0</v>
      </c>
      <c r="BR295" s="408">
        <v>0</v>
      </c>
      <c r="BS295" s="408">
        <v>0</v>
      </c>
      <c r="BT295" s="408">
        <v>0</v>
      </c>
    </row>
    <row r="296" spans="1:72" s="408" customFormat="1" x14ac:dyDescent="0.3">
      <c r="A296" s="408">
        <v>637</v>
      </c>
      <c r="B296" s="409">
        <v>637</v>
      </c>
      <c r="C296" s="408">
        <v>637</v>
      </c>
      <c r="D296" s="408" t="s">
        <v>740</v>
      </c>
      <c r="F296" s="408">
        <v>0</v>
      </c>
      <c r="G296" s="408">
        <v>0</v>
      </c>
      <c r="H296" s="408">
        <v>0</v>
      </c>
      <c r="I296" s="408">
        <v>155571</v>
      </c>
      <c r="J296" s="408">
        <v>0</v>
      </c>
      <c r="K296" s="408">
        <v>76334</v>
      </c>
      <c r="L296" s="408">
        <v>0</v>
      </c>
      <c r="M296" s="408">
        <v>0</v>
      </c>
      <c r="N296" s="408">
        <v>0</v>
      </c>
      <c r="O296" s="408">
        <v>0</v>
      </c>
      <c r="P296" s="408">
        <v>357598</v>
      </c>
      <c r="Q296" s="408">
        <v>0</v>
      </c>
      <c r="R296" s="408">
        <v>0</v>
      </c>
      <c r="S296" s="408">
        <v>0</v>
      </c>
      <c r="T296" s="408">
        <v>0</v>
      </c>
      <c r="U296" s="408">
        <v>0</v>
      </c>
      <c r="V296" s="408">
        <v>12769</v>
      </c>
      <c r="W296" s="408">
        <v>0</v>
      </c>
      <c r="X296" s="408">
        <v>0</v>
      </c>
      <c r="Y296" s="408">
        <v>0</v>
      </c>
      <c r="Z296" s="408">
        <v>0</v>
      </c>
      <c r="AA296" s="408">
        <v>0</v>
      </c>
      <c r="AB296" s="408">
        <v>0</v>
      </c>
      <c r="AC296" s="408">
        <v>0</v>
      </c>
      <c r="AD296" s="408">
        <v>0</v>
      </c>
      <c r="AE296" s="408">
        <v>44614</v>
      </c>
      <c r="AF296" s="408">
        <v>0</v>
      </c>
      <c r="AG296" s="408">
        <v>0</v>
      </c>
      <c r="AH296" s="408">
        <v>0</v>
      </c>
      <c r="AI296" s="408">
        <v>209613</v>
      </c>
      <c r="AJ296" s="408">
        <v>0</v>
      </c>
      <c r="AK296" s="408">
        <v>58120</v>
      </c>
      <c r="AL296" s="408">
        <v>0</v>
      </c>
      <c r="AM296" s="408">
        <v>0</v>
      </c>
      <c r="AN296" s="408">
        <v>0</v>
      </c>
      <c r="AO296" s="408">
        <v>43390</v>
      </c>
      <c r="AP296" s="408">
        <v>0</v>
      </c>
      <c r="AQ296" s="408">
        <v>133400</v>
      </c>
      <c r="AR296" s="408">
        <v>0</v>
      </c>
      <c r="AS296" s="408">
        <v>0</v>
      </c>
      <c r="AT296" s="408">
        <v>58006</v>
      </c>
      <c r="AU296" s="408">
        <v>0</v>
      </c>
      <c r="AV296" s="408">
        <v>0</v>
      </c>
      <c r="AW296" s="408">
        <v>0</v>
      </c>
      <c r="AX296" s="408">
        <v>0</v>
      </c>
      <c r="AY296" s="408">
        <v>0</v>
      </c>
      <c r="AZ296" s="408">
        <v>206564</v>
      </c>
      <c r="BA296" s="408">
        <v>0</v>
      </c>
      <c r="BB296" s="408">
        <v>0</v>
      </c>
      <c r="BC296" s="408">
        <v>0</v>
      </c>
      <c r="BD296" s="408">
        <v>0</v>
      </c>
      <c r="BE296" s="408">
        <v>0</v>
      </c>
      <c r="BF296" s="408">
        <v>13869</v>
      </c>
      <c r="BG296" s="408">
        <v>0</v>
      </c>
      <c r="BH296" s="408">
        <v>47487</v>
      </c>
      <c r="BI296" s="408">
        <v>13796</v>
      </c>
      <c r="BJ296" s="408">
        <v>9005</v>
      </c>
      <c r="BK296" s="408">
        <v>21886</v>
      </c>
      <c r="BL296" s="408">
        <v>34095</v>
      </c>
      <c r="BM296" s="408">
        <v>0</v>
      </c>
      <c r="BN296" s="408">
        <v>0</v>
      </c>
      <c r="BO296" s="408">
        <v>90089</v>
      </c>
      <c r="BP296" s="408">
        <v>207323</v>
      </c>
      <c r="BQ296" s="408">
        <v>0</v>
      </c>
      <c r="BR296" s="408">
        <v>551118</v>
      </c>
      <c r="BS296" s="408">
        <v>99112</v>
      </c>
      <c r="BT296" s="408">
        <v>0</v>
      </c>
    </row>
    <row r="297" spans="1:72" s="408" customFormat="1" x14ac:dyDescent="0.3">
      <c r="A297" s="408">
        <v>638</v>
      </c>
      <c r="B297" s="409">
        <v>638</v>
      </c>
      <c r="C297" s="408">
        <v>638</v>
      </c>
      <c r="D297" s="408" t="s">
        <v>745</v>
      </c>
      <c r="F297" s="408">
        <v>0</v>
      </c>
      <c r="G297" s="408">
        <v>0</v>
      </c>
      <c r="H297" s="408">
        <v>0</v>
      </c>
      <c r="I297" s="408">
        <v>0</v>
      </c>
      <c r="J297" s="408">
        <v>0</v>
      </c>
      <c r="K297" s="408">
        <v>0</v>
      </c>
      <c r="L297" s="408">
        <v>0</v>
      </c>
      <c r="M297" s="408">
        <v>0</v>
      </c>
      <c r="N297" s="408">
        <v>0</v>
      </c>
      <c r="O297" s="408">
        <v>0</v>
      </c>
      <c r="P297" s="408">
        <v>0</v>
      </c>
      <c r="Q297" s="408">
        <v>0</v>
      </c>
      <c r="R297" s="408">
        <v>0</v>
      </c>
      <c r="S297" s="408">
        <v>0</v>
      </c>
      <c r="T297" s="408">
        <v>0</v>
      </c>
      <c r="U297" s="408">
        <v>0</v>
      </c>
      <c r="V297" s="408">
        <v>0</v>
      </c>
      <c r="W297" s="408">
        <v>0</v>
      </c>
      <c r="X297" s="408">
        <v>0</v>
      </c>
      <c r="Y297" s="408">
        <v>0</v>
      </c>
      <c r="Z297" s="408">
        <v>0</v>
      </c>
      <c r="AA297" s="408">
        <v>0</v>
      </c>
      <c r="AB297" s="408">
        <v>0</v>
      </c>
      <c r="AC297" s="408">
        <v>0</v>
      </c>
      <c r="AD297" s="408">
        <v>0</v>
      </c>
      <c r="AE297" s="408">
        <v>0</v>
      </c>
      <c r="AF297" s="408">
        <v>0</v>
      </c>
      <c r="AG297" s="408">
        <v>0</v>
      </c>
      <c r="AH297" s="408">
        <v>0</v>
      </c>
      <c r="AI297" s="408">
        <v>0</v>
      </c>
      <c r="AJ297" s="408">
        <v>0</v>
      </c>
      <c r="AK297" s="408">
        <v>0</v>
      </c>
      <c r="AL297" s="408">
        <v>0</v>
      </c>
      <c r="AM297" s="408">
        <v>0</v>
      </c>
      <c r="AN297" s="408">
        <v>0</v>
      </c>
      <c r="AO297" s="408">
        <v>0</v>
      </c>
      <c r="AP297" s="408">
        <v>0</v>
      </c>
      <c r="AQ297" s="408">
        <v>0</v>
      </c>
      <c r="AR297" s="408">
        <v>0</v>
      </c>
      <c r="AS297" s="408">
        <v>0</v>
      </c>
      <c r="AT297" s="408">
        <v>0</v>
      </c>
      <c r="AU297" s="408">
        <v>0</v>
      </c>
      <c r="AV297" s="408">
        <v>0</v>
      </c>
      <c r="AW297" s="408">
        <v>0</v>
      </c>
      <c r="AX297" s="408">
        <v>0</v>
      </c>
      <c r="AY297" s="408">
        <v>0</v>
      </c>
      <c r="AZ297" s="408">
        <v>0</v>
      </c>
      <c r="BA297" s="408">
        <v>0</v>
      </c>
      <c r="BB297" s="408">
        <v>0</v>
      </c>
      <c r="BC297" s="408">
        <v>0</v>
      </c>
      <c r="BD297" s="408">
        <v>0</v>
      </c>
      <c r="BE297" s="408">
        <v>0</v>
      </c>
      <c r="BF297" s="408">
        <v>0</v>
      </c>
      <c r="BG297" s="408">
        <v>0</v>
      </c>
      <c r="BH297" s="408">
        <v>0</v>
      </c>
      <c r="BI297" s="408">
        <v>0</v>
      </c>
      <c r="BJ297" s="408">
        <v>0</v>
      </c>
      <c r="BK297" s="408">
        <v>0</v>
      </c>
      <c r="BL297" s="408">
        <v>0</v>
      </c>
      <c r="BM297" s="408">
        <v>0</v>
      </c>
      <c r="BN297" s="408">
        <v>0</v>
      </c>
      <c r="BO297" s="408">
        <v>0</v>
      </c>
      <c r="BP297" s="408">
        <v>0</v>
      </c>
      <c r="BQ297" s="408">
        <v>0</v>
      </c>
      <c r="BR297" s="408">
        <v>0</v>
      </c>
      <c r="BS297" s="408">
        <v>0</v>
      </c>
      <c r="BT297" s="408">
        <v>0</v>
      </c>
    </row>
    <row r="298" spans="1:72" s="408" customFormat="1" x14ac:dyDescent="0.3">
      <c r="A298" s="408">
        <v>639</v>
      </c>
      <c r="B298" s="409">
        <v>639</v>
      </c>
      <c r="C298" s="408">
        <v>639</v>
      </c>
      <c r="D298" s="408" t="s">
        <v>746</v>
      </c>
      <c r="F298" s="408">
        <v>0</v>
      </c>
      <c r="G298" s="408">
        <v>0</v>
      </c>
      <c r="H298" s="408">
        <v>0</v>
      </c>
      <c r="I298" s="408">
        <v>3763672</v>
      </c>
      <c r="J298" s="408">
        <v>0</v>
      </c>
      <c r="K298" s="408">
        <v>0</v>
      </c>
      <c r="L298" s="408">
        <v>0</v>
      </c>
      <c r="M298" s="408">
        <v>0</v>
      </c>
      <c r="N298" s="408">
        <v>5941670</v>
      </c>
      <c r="O298" s="408">
        <v>0</v>
      </c>
      <c r="P298" s="408">
        <v>0</v>
      </c>
      <c r="Q298" s="408">
        <v>0</v>
      </c>
      <c r="R298" s="408">
        <v>0</v>
      </c>
      <c r="S298" s="408">
        <v>0</v>
      </c>
      <c r="T298" s="408">
        <v>0</v>
      </c>
      <c r="U298" s="408">
        <v>0</v>
      </c>
      <c r="V298" s="408">
        <v>0</v>
      </c>
      <c r="W298" s="408">
        <v>0</v>
      </c>
      <c r="X298" s="408">
        <v>0</v>
      </c>
      <c r="Y298" s="408">
        <v>0</v>
      </c>
      <c r="Z298" s="408">
        <v>1517386</v>
      </c>
      <c r="AA298" s="408">
        <v>0</v>
      </c>
      <c r="AB298" s="408">
        <v>0</v>
      </c>
      <c r="AC298" s="408">
        <v>0</v>
      </c>
      <c r="AD298" s="408">
        <v>0</v>
      </c>
      <c r="AE298" s="408">
        <v>0</v>
      </c>
      <c r="AF298" s="408">
        <v>0</v>
      </c>
      <c r="AG298" s="408">
        <v>0</v>
      </c>
      <c r="AH298" s="408">
        <v>0</v>
      </c>
      <c r="AI298" s="408">
        <v>0</v>
      </c>
      <c r="AJ298" s="408">
        <v>0</v>
      </c>
      <c r="AK298" s="408">
        <v>276489</v>
      </c>
      <c r="AL298" s="408">
        <v>0</v>
      </c>
      <c r="AM298" s="408">
        <v>0</v>
      </c>
      <c r="AN298" s="408">
        <v>0</v>
      </c>
      <c r="AO298" s="408">
        <v>602518</v>
      </c>
      <c r="AP298" s="408">
        <v>0</v>
      </c>
      <c r="AQ298" s="408">
        <v>0</v>
      </c>
      <c r="AR298" s="408">
        <v>0</v>
      </c>
      <c r="AS298" s="408">
        <v>0</v>
      </c>
      <c r="AT298" s="408">
        <v>0</v>
      </c>
      <c r="AU298" s="408">
        <v>0</v>
      </c>
      <c r="AV298" s="408">
        <v>0</v>
      </c>
      <c r="AW298" s="408">
        <v>0</v>
      </c>
      <c r="AX298" s="408">
        <v>0</v>
      </c>
      <c r="AY298" s="408">
        <v>0</v>
      </c>
      <c r="AZ298" s="408">
        <v>0</v>
      </c>
      <c r="BA298" s="408">
        <v>0</v>
      </c>
      <c r="BB298" s="408">
        <v>0</v>
      </c>
      <c r="BC298" s="408">
        <v>0</v>
      </c>
      <c r="BD298" s="408">
        <v>0</v>
      </c>
      <c r="BE298" s="408">
        <v>0</v>
      </c>
      <c r="BF298" s="408">
        <v>0</v>
      </c>
      <c r="BG298" s="408">
        <v>0</v>
      </c>
      <c r="BH298" s="408">
        <v>0</v>
      </c>
      <c r="BI298" s="408">
        <v>39025</v>
      </c>
      <c r="BJ298" s="408">
        <v>0</v>
      </c>
      <c r="BK298" s="408">
        <v>0</v>
      </c>
      <c r="BL298" s="408">
        <v>0</v>
      </c>
      <c r="BM298" s="408">
        <v>0</v>
      </c>
      <c r="BN298" s="408">
        <v>0</v>
      </c>
      <c r="BO298" s="408">
        <v>0</v>
      </c>
      <c r="BP298" s="408">
        <v>0</v>
      </c>
      <c r="BQ298" s="408">
        <v>0</v>
      </c>
      <c r="BR298" s="408">
        <v>0</v>
      </c>
      <c r="BS298" s="408">
        <v>0</v>
      </c>
      <c r="BT298" s="408">
        <v>0</v>
      </c>
    </row>
    <row r="299" spans="1:72" s="408" customFormat="1" x14ac:dyDescent="0.3">
      <c r="A299" s="408">
        <v>640</v>
      </c>
      <c r="B299" s="409">
        <v>640</v>
      </c>
      <c r="C299" s="408">
        <v>640</v>
      </c>
      <c r="D299" s="408" t="s">
        <v>1765</v>
      </c>
      <c r="F299" s="408">
        <v>0</v>
      </c>
      <c r="G299" s="408">
        <v>0</v>
      </c>
      <c r="H299" s="408">
        <v>0</v>
      </c>
      <c r="I299" s="408">
        <v>0</v>
      </c>
      <c r="J299" s="408">
        <v>0</v>
      </c>
      <c r="K299" s="408">
        <v>0</v>
      </c>
      <c r="L299" s="408">
        <v>0</v>
      </c>
      <c r="M299" s="408">
        <v>0</v>
      </c>
      <c r="N299" s="408">
        <v>0</v>
      </c>
      <c r="O299" s="408">
        <v>0</v>
      </c>
      <c r="P299" s="408">
        <v>0</v>
      </c>
      <c r="Q299" s="408">
        <v>0</v>
      </c>
      <c r="R299" s="408">
        <v>0</v>
      </c>
      <c r="S299" s="408">
        <v>0</v>
      </c>
      <c r="T299" s="408">
        <v>0</v>
      </c>
      <c r="U299" s="408">
        <v>0</v>
      </c>
      <c r="V299" s="408">
        <v>0</v>
      </c>
      <c r="W299" s="408">
        <v>0</v>
      </c>
      <c r="X299" s="408">
        <v>0</v>
      </c>
      <c r="Y299" s="408">
        <v>0</v>
      </c>
      <c r="Z299" s="408">
        <v>0</v>
      </c>
      <c r="AA299" s="408">
        <v>0</v>
      </c>
      <c r="AB299" s="408">
        <v>0</v>
      </c>
      <c r="AC299" s="408">
        <v>0</v>
      </c>
      <c r="AD299" s="408">
        <v>0</v>
      </c>
      <c r="AE299" s="408">
        <v>0</v>
      </c>
      <c r="AF299" s="408">
        <v>0</v>
      </c>
      <c r="AG299" s="408">
        <v>0</v>
      </c>
      <c r="AH299" s="408">
        <v>0</v>
      </c>
      <c r="AI299" s="408">
        <v>0</v>
      </c>
      <c r="AJ299" s="408">
        <v>0</v>
      </c>
      <c r="AK299" s="408">
        <v>0</v>
      </c>
      <c r="AL299" s="408">
        <v>0</v>
      </c>
      <c r="AM299" s="408">
        <v>0</v>
      </c>
      <c r="AN299" s="408">
        <v>0</v>
      </c>
      <c r="AO299" s="408">
        <v>0</v>
      </c>
      <c r="AP299" s="408">
        <v>0</v>
      </c>
      <c r="AQ299" s="408">
        <v>0</v>
      </c>
      <c r="AR299" s="408">
        <v>0</v>
      </c>
      <c r="AS299" s="408">
        <v>0</v>
      </c>
      <c r="AT299" s="408">
        <v>0</v>
      </c>
      <c r="AU299" s="408">
        <v>0</v>
      </c>
      <c r="AV299" s="408">
        <v>0</v>
      </c>
      <c r="AW299" s="408">
        <v>0</v>
      </c>
      <c r="AX299" s="408">
        <v>0</v>
      </c>
      <c r="AY299" s="408">
        <v>0</v>
      </c>
      <c r="AZ299" s="408">
        <v>0</v>
      </c>
      <c r="BA299" s="408">
        <v>0</v>
      </c>
      <c r="BB299" s="408">
        <v>0</v>
      </c>
      <c r="BC299" s="408">
        <v>0</v>
      </c>
      <c r="BD299" s="408">
        <v>0</v>
      </c>
      <c r="BE299" s="408">
        <v>0</v>
      </c>
      <c r="BF299" s="408">
        <v>0</v>
      </c>
      <c r="BG299" s="408">
        <v>0</v>
      </c>
      <c r="BH299" s="408">
        <v>0</v>
      </c>
      <c r="BI299" s="408">
        <v>0</v>
      </c>
      <c r="BJ299" s="408">
        <v>0</v>
      </c>
      <c r="BK299" s="408">
        <v>0</v>
      </c>
      <c r="BL299" s="408">
        <v>0</v>
      </c>
      <c r="BM299" s="408">
        <v>0</v>
      </c>
      <c r="BN299" s="408">
        <v>0</v>
      </c>
      <c r="BO299" s="408">
        <v>0</v>
      </c>
      <c r="BP299" s="408">
        <v>0</v>
      </c>
      <c r="BQ299" s="408">
        <v>0</v>
      </c>
      <c r="BR299" s="408">
        <v>0</v>
      </c>
      <c r="BS299" s="408">
        <v>0</v>
      </c>
      <c r="BT299" s="408">
        <v>0</v>
      </c>
    </row>
    <row r="300" spans="1:72" s="408" customFormat="1" x14ac:dyDescent="0.3">
      <c r="A300" s="408">
        <v>641</v>
      </c>
      <c r="B300" s="409">
        <v>641</v>
      </c>
      <c r="C300" s="408">
        <v>641</v>
      </c>
      <c r="D300" s="408" t="s">
        <v>748</v>
      </c>
      <c r="F300" s="408">
        <v>0</v>
      </c>
      <c r="G300" s="408">
        <v>0</v>
      </c>
      <c r="H300" s="408">
        <v>0</v>
      </c>
      <c r="I300" s="408">
        <v>110713</v>
      </c>
      <c r="J300" s="408">
        <v>0</v>
      </c>
      <c r="K300" s="408">
        <v>0</v>
      </c>
      <c r="L300" s="408">
        <v>0</v>
      </c>
      <c r="M300" s="408">
        <v>0</v>
      </c>
      <c r="N300" s="408">
        <v>91171</v>
      </c>
      <c r="O300" s="408">
        <v>0</v>
      </c>
      <c r="P300" s="408">
        <v>0</v>
      </c>
      <c r="Q300" s="408">
        <v>0</v>
      </c>
      <c r="R300" s="408">
        <v>0</v>
      </c>
      <c r="S300" s="408">
        <v>0</v>
      </c>
      <c r="T300" s="408">
        <v>0</v>
      </c>
      <c r="U300" s="408">
        <v>0</v>
      </c>
      <c r="V300" s="408">
        <v>0</v>
      </c>
      <c r="W300" s="408">
        <v>0</v>
      </c>
      <c r="X300" s="408">
        <v>0</v>
      </c>
      <c r="Y300" s="408">
        <v>0</v>
      </c>
      <c r="Z300" s="408">
        <v>26831</v>
      </c>
      <c r="AA300" s="408">
        <v>0</v>
      </c>
      <c r="AB300" s="408">
        <v>0</v>
      </c>
      <c r="AC300" s="408">
        <v>0</v>
      </c>
      <c r="AD300" s="408">
        <v>0</v>
      </c>
      <c r="AE300" s="408">
        <v>0</v>
      </c>
      <c r="AF300" s="408">
        <v>0</v>
      </c>
      <c r="AG300" s="408">
        <v>0</v>
      </c>
      <c r="AH300" s="408">
        <v>0</v>
      </c>
      <c r="AI300" s="408">
        <v>0</v>
      </c>
      <c r="AJ300" s="408">
        <v>0</v>
      </c>
      <c r="AK300" s="408">
        <v>0</v>
      </c>
      <c r="AL300" s="408">
        <v>0</v>
      </c>
      <c r="AM300" s="408">
        <v>0</v>
      </c>
      <c r="AN300" s="408">
        <v>0</v>
      </c>
      <c r="AO300" s="408">
        <v>10000</v>
      </c>
      <c r="AP300" s="408">
        <v>0</v>
      </c>
      <c r="AQ300" s="408">
        <v>0</v>
      </c>
      <c r="AR300" s="408">
        <v>0</v>
      </c>
      <c r="AS300" s="408">
        <v>0</v>
      </c>
      <c r="AT300" s="408">
        <v>0</v>
      </c>
      <c r="AU300" s="408">
        <v>0</v>
      </c>
      <c r="AV300" s="408">
        <v>0</v>
      </c>
      <c r="AW300" s="408">
        <v>0</v>
      </c>
      <c r="AX300" s="408">
        <v>0</v>
      </c>
      <c r="AY300" s="408">
        <v>0</v>
      </c>
      <c r="AZ300" s="408">
        <v>0</v>
      </c>
      <c r="BA300" s="408">
        <v>0</v>
      </c>
      <c r="BB300" s="408">
        <v>0</v>
      </c>
      <c r="BC300" s="408">
        <v>0</v>
      </c>
      <c r="BD300" s="408">
        <v>0</v>
      </c>
      <c r="BE300" s="408">
        <v>0</v>
      </c>
      <c r="BF300" s="408">
        <v>0</v>
      </c>
      <c r="BG300" s="408">
        <v>0</v>
      </c>
      <c r="BH300" s="408">
        <v>0</v>
      </c>
      <c r="BI300" s="408">
        <v>0</v>
      </c>
      <c r="BJ300" s="408">
        <v>0</v>
      </c>
      <c r="BK300" s="408">
        <v>0</v>
      </c>
      <c r="BL300" s="408">
        <v>0</v>
      </c>
      <c r="BM300" s="408">
        <v>0</v>
      </c>
      <c r="BN300" s="408">
        <v>0</v>
      </c>
      <c r="BO300" s="408">
        <v>0</v>
      </c>
      <c r="BP300" s="408">
        <v>0</v>
      </c>
      <c r="BQ300" s="408">
        <v>0</v>
      </c>
      <c r="BR300" s="408">
        <v>0</v>
      </c>
      <c r="BS300" s="408">
        <v>0</v>
      </c>
      <c r="BT300" s="408">
        <v>0</v>
      </c>
    </row>
    <row r="301" spans="1:72" s="408" customFormat="1" x14ac:dyDescent="0.3">
      <c r="A301" s="408">
        <v>642</v>
      </c>
      <c r="B301" s="409">
        <v>642</v>
      </c>
      <c r="C301" s="408">
        <v>642</v>
      </c>
      <c r="D301" s="408" t="s">
        <v>749</v>
      </c>
      <c r="F301" s="408">
        <v>0</v>
      </c>
      <c r="G301" s="408">
        <v>0</v>
      </c>
      <c r="H301" s="408">
        <v>0</v>
      </c>
      <c r="I301" s="408">
        <v>0</v>
      </c>
      <c r="J301" s="408">
        <v>0</v>
      </c>
      <c r="K301" s="408">
        <v>0</v>
      </c>
      <c r="L301" s="408">
        <v>0</v>
      </c>
      <c r="M301" s="408">
        <v>0</v>
      </c>
      <c r="N301" s="408">
        <v>0</v>
      </c>
      <c r="O301" s="408">
        <v>0</v>
      </c>
      <c r="P301" s="408">
        <v>0</v>
      </c>
      <c r="Q301" s="408">
        <v>0</v>
      </c>
      <c r="R301" s="408">
        <v>0</v>
      </c>
      <c r="S301" s="408">
        <v>0</v>
      </c>
      <c r="T301" s="408">
        <v>0</v>
      </c>
      <c r="U301" s="408">
        <v>0</v>
      </c>
      <c r="V301" s="408">
        <v>0</v>
      </c>
      <c r="W301" s="408">
        <v>0</v>
      </c>
      <c r="X301" s="408">
        <v>0</v>
      </c>
      <c r="Y301" s="408">
        <v>0</v>
      </c>
      <c r="Z301" s="408">
        <v>0</v>
      </c>
      <c r="AA301" s="408">
        <v>0</v>
      </c>
      <c r="AB301" s="408">
        <v>0</v>
      </c>
      <c r="AC301" s="408">
        <v>0</v>
      </c>
      <c r="AD301" s="408">
        <v>0</v>
      </c>
      <c r="AE301" s="408">
        <v>0</v>
      </c>
      <c r="AF301" s="408">
        <v>0</v>
      </c>
      <c r="AG301" s="408">
        <v>0</v>
      </c>
      <c r="AH301" s="408">
        <v>0</v>
      </c>
      <c r="AI301" s="408">
        <v>0</v>
      </c>
      <c r="AJ301" s="408">
        <v>0</v>
      </c>
      <c r="AK301" s="408">
        <v>0</v>
      </c>
      <c r="AL301" s="408">
        <v>0</v>
      </c>
      <c r="AM301" s="408">
        <v>0</v>
      </c>
      <c r="AN301" s="408">
        <v>0</v>
      </c>
      <c r="AO301" s="408">
        <v>0</v>
      </c>
      <c r="AP301" s="408">
        <v>0</v>
      </c>
      <c r="AQ301" s="408">
        <v>0</v>
      </c>
      <c r="AR301" s="408">
        <v>0</v>
      </c>
      <c r="AS301" s="408">
        <v>0</v>
      </c>
      <c r="AT301" s="408">
        <v>0</v>
      </c>
      <c r="AU301" s="408">
        <v>0</v>
      </c>
      <c r="AV301" s="408">
        <v>0</v>
      </c>
      <c r="AW301" s="408">
        <v>0</v>
      </c>
      <c r="AX301" s="408">
        <v>0</v>
      </c>
      <c r="AY301" s="408">
        <v>0</v>
      </c>
      <c r="AZ301" s="408">
        <v>0</v>
      </c>
      <c r="BA301" s="408">
        <v>0</v>
      </c>
      <c r="BB301" s="408">
        <v>0</v>
      </c>
      <c r="BC301" s="408">
        <v>0</v>
      </c>
      <c r="BD301" s="408">
        <v>0</v>
      </c>
      <c r="BE301" s="408">
        <v>0</v>
      </c>
      <c r="BF301" s="408">
        <v>0</v>
      </c>
      <c r="BG301" s="408">
        <v>0</v>
      </c>
      <c r="BH301" s="408">
        <v>0</v>
      </c>
      <c r="BI301" s="408">
        <v>0</v>
      </c>
      <c r="BJ301" s="408">
        <v>0</v>
      </c>
      <c r="BK301" s="408">
        <v>0</v>
      </c>
      <c r="BL301" s="408">
        <v>0</v>
      </c>
      <c r="BM301" s="408">
        <v>0</v>
      </c>
      <c r="BN301" s="408">
        <v>0</v>
      </c>
      <c r="BO301" s="408">
        <v>0</v>
      </c>
      <c r="BP301" s="408">
        <v>0</v>
      </c>
      <c r="BQ301" s="408">
        <v>0</v>
      </c>
      <c r="BR301" s="408">
        <v>0</v>
      </c>
      <c r="BS301" s="408">
        <v>0</v>
      </c>
      <c r="BT301" s="408">
        <v>0</v>
      </c>
    </row>
    <row r="302" spans="1:72" s="408" customFormat="1" x14ac:dyDescent="0.3">
      <c r="A302" s="408">
        <v>643</v>
      </c>
      <c r="B302" s="409">
        <v>643</v>
      </c>
      <c r="C302" s="408">
        <v>643</v>
      </c>
      <c r="D302" s="408" t="s">
        <v>750</v>
      </c>
      <c r="F302" s="408">
        <v>0</v>
      </c>
      <c r="G302" s="408">
        <v>0</v>
      </c>
      <c r="H302" s="408">
        <v>0</v>
      </c>
      <c r="I302" s="408">
        <v>978053</v>
      </c>
      <c r="J302" s="408">
        <v>0</v>
      </c>
      <c r="K302" s="408">
        <v>0</v>
      </c>
      <c r="L302" s="408">
        <v>0</v>
      </c>
      <c r="M302" s="408">
        <v>0</v>
      </c>
      <c r="N302" s="408">
        <v>0</v>
      </c>
      <c r="O302" s="408">
        <v>0</v>
      </c>
      <c r="P302" s="408">
        <v>0</v>
      </c>
      <c r="Q302" s="408">
        <v>0</v>
      </c>
      <c r="R302" s="408">
        <v>0</v>
      </c>
      <c r="S302" s="408">
        <v>0</v>
      </c>
      <c r="T302" s="408">
        <v>0</v>
      </c>
      <c r="U302" s="408">
        <v>0</v>
      </c>
      <c r="V302" s="408">
        <v>0</v>
      </c>
      <c r="W302" s="408">
        <v>0</v>
      </c>
      <c r="X302" s="408">
        <v>0</v>
      </c>
      <c r="Y302" s="408">
        <v>0</v>
      </c>
      <c r="Z302" s="408">
        <v>0</v>
      </c>
      <c r="AA302" s="408">
        <v>0</v>
      </c>
      <c r="AB302" s="408">
        <v>0</v>
      </c>
      <c r="AC302" s="408">
        <v>0</v>
      </c>
      <c r="AD302" s="408">
        <v>0</v>
      </c>
      <c r="AE302" s="408">
        <v>0</v>
      </c>
      <c r="AF302" s="408">
        <v>0</v>
      </c>
      <c r="AG302" s="408">
        <v>0</v>
      </c>
      <c r="AH302" s="408">
        <v>0</v>
      </c>
      <c r="AI302" s="408">
        <v>0</v>
      </c>
      <c r="AJ302" s="408">
        <v>0</v>
      </c>
      <c r="AK302" s="408">
        <v>182691</v>
      </c>
      <c r="AL302" s="408">
        <v>0</v>
      </c>
      <c r="AM302" s="408">
        <v>0</v>
      </c>
      <c r="AN302" s="408">
        <v>0</v>
      </c>
      <c r="AO302" s="408">
        <v>203042</v>
      </c>
      <c r="AP302" s="408">
        <v>0</v>
      </c>
      <c r="AQ302" s="408">
        <v>0</v>
      </c>
      <c r="AR302" s="408">
        <v>0</v>
      </c>
      <c r="AS302" s="408">
        <v>0</v>
      </c>
      <c r="AT302" s="408">
        <v>0</v>
      </c>
      <c r="AU302" s="408">
        <v>0</v>
      </c>
      <c r="AV302" s="408">
        <v>0</v>
      </c>
      <c r="AW302" s="408">
        <v>0</v>
      </c>
      <c r="AX302" s="408">
        <v>0</v>
      </c>
      <c r="AY302" s="408">
        <v>0</v>
      </c>
      <c r="AZ302" s="408">
        <v>0</v>
      </c>
      <c r="BA302" s="408">
        <v>0</v>
      </c>
      <c r="BB302" s="408">
        <v>0</v>
      </c>
      <c r="BC302" s="408">
        <v>0</v>
      </c>
      <c r="BD302" s="408">
        <v>0</v>
      </c>
      <c r="BE302" s="408">
        <v>0</v>
      </c>
      <c r="BF302" s="408">
        <v>0</v>
      </c>
      <c r="BG302" s="408">
        <v>0</v>
      </c>
      <c r="BH302" s="408">
        <v>0</v>
      </c>
      <c r="BI302" s="408">
        <v>19062</v>
      </c>
      <c r="BJ302" s="408">
        <v>0</v>
      </c>
      <c r="BK302" s="408">
        <v>0</v>
      </c>
      <c r="BL302" s="408">
        <v>0</v>
      </c>
      <c r="BM302" s="408">
        <v>0</v>
      </c>
      <c r="BN302" s="408">
        <v>0</v>
      </c>
      <c r="BO302" s="408">
        <v>0</v>
      </c>
      <c r="BP302" s="408">
        <v>0</v>
      </c>
      <c r="BQ302" s="408">
        <v>0</v>
      </c>
      <c r="BR302" s="408">
        <v>0</v>
      </c>
      <c r="BS302" s="408">
        <v>0</v>
      </c>
      <c r="BT302" s="408">
        <v>0</v>
      </c>
    </row>
    <row r="303" spans="1:72" s="408" customFormat="1" x14ac:dyDescent="0.3">
      <c r="A303" s="408">
        <v>644</v>
      </c>
      <c r="B303" s="409">
        <v>644</v>
      </c>
      <c r="C303" s="408">
        <v>644</v>
      </c>
      <c r="D303" s="408" t="s">
        <v>751</v>
      </c>
      <c r="F303" s="408">
        <v>0</v>
      </c>
      <c r="G303" s="408">
        <v>0</v>
      </c>
      <c r="H303" s="408">
        <v>0</v>
      </c>
      <c r="I303" s="408">
        <v>0</v>
      </c>
      <c r="J303" s="408">
        <v>0</v>
      </c>
      <c r="K303" s="408">
        <v>0</v>
      </c>
      <c r="L303" s="408">
        <v>0</v>
      </c>
      <c r="M303" s="408">
        <v>0</v>
      </c>
      <c r="N303" s="408">
        <v>0</v>
      </c>
      <c r="O303" s="408">
        <v>0</v>
      </c>
      <c r="P303" s="408">
        <v>0</v>
      </c>
      <c r="Q303" s="408">
        <v>0</v>
      </c>
      <c r="R303" s="408">
        <v>0</v>
      </c>
      <c r="S303" s="408">
        <v>0</v>
      </c>
      <c r="T303" s="408">
        <v>0</v>
      </c>
      <c r="U303" s="408">
        <v>0</v>
      </c>
      <c r="V303" s="408">
        <v>0</v>
      </c>
      <c r="W303" s="408">
        <v>0</v>
      </c>
      <c r="X303" s="408">
        <v>0</v>
      </c>
      <c r="Y303" s="408">
        <v>0</v>
      </c>
      <c r="Z303" s="408">
        <v>0</v>
      </c>
      <c r="AA303" s="408">
        <v>0</v>
      </c>
      <c r="AB303" s="408">
        <v>0</v>
      </c>
      <c r="AC303" s="408">
        <v>0</v>
      </c>
      <c r="AD303" s="408">
        <v>0</v>
      </c>
      <c r="AE303" s="408">
        <v>0</v>
      </c>
      <c r="AF303" s="408">
        <v>0</v>
      </c>
      <c r="AG303" s="408">
        <v>0</v>
      </c>
      <c r="AH303" s="408">
        <v>0</v>
      </c>
      <c r="AI303" s="408">
        <v>0</v>
      </c>
      <c r="AJ303" s="408">
        <v>0</v>
      </c>
      <c r="AK303" s="408">
        <v>0</v>
      </c>
      <c r="AL303" s="408">
        <v>0</v>
      </c>
      <c r="AM303" s="408">
        <v>0</v>
      </c>
      <c r="AN303" s="408">
        <v>0</v>
      </c>
      <c r="AO303" s="408">
        <v>0</v>
      </c>
      <c r="AP303" s="408">
        <v>0</v>
      </c>
      <c r="AQ303" s="408">
        <v>0</v>
      </c>
      <c r="AR303" s="408">
        <v>0</v>
      </c>
      <c r="AS303" s="408">
        <v>0</v>
      </c>
      <c r="AT303" s="408">
        <v>0</v>
      </c>
      <c r="AU303" s="408">
        <v>0</v>
      </c>
      <c r="AV303" s="408">
        <v>0</v>
      </c>
      <c r="AW303" s="408">
        <v>0</v>
      </c>
      <c r="AX303" s="408">
        <v>0</v>
      </c>
      <c r="AY303" s="408">
        <v>0</v>
      </c>
      <c r="AZ303" s="408">
        <v>0</v>
      </c>
      <c r="BA303" s="408">
        <v>0</v>
      </c>
      <c r="BB303" s="408">
        <v>0</v>
      </c>
      <c r="BC303" s="408">
        <v>0</v>
      </c>
      <c r="BD303" s="408">
        <v>0</v>
      </c>
      <c r="BE303" s="408">
        <v>0</v>
      </c>
      <c r="BF303" s="408">
        <v>0</v>
      </c>
      <c r="BG303" s="408">
        <v>0</v>
      </c>
      <c r="BH303" s="408">
        <v>0</v>
      </c>
      <c r="BI303" s="408">
        <v>0</v>
      </c>
      <c r="BJ303" s="408">
        <v>0</v>
      </c>
      <c r="BK303" s="408">
        <v>0</v>
      </c>
      <c r="BL303" s="408">
        <v>0</v>
      </c>
      <c r="BM303" s="408">
        <v>0</v>
      </c>
      <c r="BN303" s="408">
        <v>0</v>
      </c>
      <c r="BO303" s="408">
        <v>0</v>
      </c>
      <c r="BP303" s="408">
        <v>0</v>
      </c>
      <c r="BQ303" s="408">
        <v>0</v>
      </c>
      <c r="BR303" s="408">
        <v>0</v>
      </c>
      <c r="BS303" s="408">
        <v>0</v>
      </c>
      <c r="BT303" s="408">
        <v>0</v>
      </c>
    </row>
    <row r="304" spans="1:72" s="408" customFormat="1" x14ac:dyDescent="0.3">
      <c r="A304" s="408">
        <v>645</v>
      </c>
      <c r="B304" s="409">
        <v>645</v>
      </c>
      <c r="C304" s="408">
        <v>645</v>
      </c>
      <c r="D304" s="408" t="s">
        <v>1766</v>
      </c>
      <c r="F304" s="408">
        <v>81823</v>
      </c>
      <c r="G304" s="408">
        <v>0</v>
      </c>
      <c r="H304" s="408">
        <v>504732</v>
      </c>
      <c r="I304" s="408">
        <v>643832</v>
      </c>
      <c r="J304" s="408">
        <v>0</v>
      </c>
      <c r="K304" s="408">
        <v>100704</v>
      </c>
      <c r="L304" s="408">
        <v>0</v>
      </c>
      <c r="M304" s="408">
        <v>0</v>
      </c>
      <c r="N304" s="408">
        <v>2370000</v>
      </c>
      <c r="O304" s="408">
        <v>0</v>
      </c>
      <c r="P304" s="408">
        <v>4075193</v>
      </c>
      <c r="Q304" s="408">
        <v>0</v>
      </c>
      <c r="R304" s="408">
        <v>2311236</v>
      </c>
      <c r="S304" s="408">
        <v>38845206</v>
      </c>
      <c r="T304" s="408">
        <v>0</v>
      </c>
      <c r="U304" s="408">
        <v>0</v>
      </c>
      <c r="V304" s="408">
        <v>0</v>
      </c>
      <c r="W304" s="408">
        <v>0</v>
      </c>
      <c r="X304" s="408">
        <v>0</v>
      </c>
      <c r="Y304" s="408">
        <v>0</v>
      </c>
      <c r="Z304" s="408">
        <v>59627</v>
      </c>
      <c r="AA304" s="408">
        <v>0</v>
      </c>
      <c r="AB304" s="408">
        <v>0</v>
      </c>
      <c r="AC304" s="408">
        <v>184588</v>
      </c>
      <c r="AD304" s="408">
        <v>362969</v>
      </c>
      <c r="AE304" s="408">
        <v>434820</v>
      </c>
      <c r="AF304" s="408">
        <v>0</v>
      </c>
      <c r="AG304" s="408">
        <v>381004</v>
      </c>
      <c r="AH304" s="408">
        <v>9085</v>
      </c>
      <c r="AI304" s="408">
        <v>0</v>
      </c>
      <c r="AJ304" s="408">
        <v>1531254</v>
      </c>
      <c r="AK304" s="408">
        <v>0</v>
      </c>
      <c r="AL304" s="408">
        <v>0</v>
      </c>
      <c r="AM304" s="408">
        <v>0</v>
      </c>
      <c r="AN304" s="408">
        <v>0</v>
      </c>
      <c r="AO304" s="408">
        <v>0</v>
      </c>
      <c r="AP304" s="408">
        <v>0</v>
      </c>
      <c r="AQ304" s="408">
        <v>0</v>
      </c>
      <c r="AR304" s="408">
        <v>0</v>
      </c>
      <c r="AS304" s="408">
        <v>0</v>
      </c>
      <c r="AT304" s="408">
        <v>160000</v>
      </c>
      <c r="AU304" s="408">
        <v>0</v>
      </c>
      <c r="AV304" s="408">
        <v>0</v>
      </c>
      <c r="AW304" s="408">
        <v>0</v>
      </c>
      <c r="AX304" s="408">
        <v>743121</v>
      </c>
      <c r="AY304" s="408">
        <v>409846</v>
      </c>
      <c r="AZ304" s="408">
        <v>228000</v>
      </c>
      <c r="BA304" s="408">
        <v>0</v>
      </c>
      <c r="BB304" s="408">
        <v>14975</v>
      </c>
      <c r="BC304" s="408">
        <v>40169</v>
      </c>
      <c r="BD304" s="408">
        <v>0</v>
      </c>
      <c r="BE304" s="408">
        <v>0</v>
      </c>
      <c r="BF304" s="408">
        <v>38000</v>
      </c>
      <c r="BG304" s="408">
        <v>1387154</v>
      </c>
      <c r="BH304" s="408">
        <v>0</v>
      </c>
      <c r="BI304" s="408">
        <v>0</v>
      </c>
      <c r="BJ304" s="408">
        <v>603707</v>
      </c>
      <c r="BK304" s="408">
        <v>0</v>
      </c>
      <c r="BL304" s="408">
        <v>25882</v>
      </c>
      <c r="BM304" s="408">
        <v>1000</v>
      </c>
      <c r="BN304" s="408">
        <v>59002</v>
      </c>
      <c r="BO304" s="408">
        <v>0</v>
      </c>
      <c r="BP304" s="408">
        <v>151819</v>
      </c>
      <c r="BQ304" s="408">
        <v>0</v>
      </c>
      <c r="BR304" s="408">
        <v>13825183</v>
      </c>
      <c r="BS304" s="408">
        <v>213320</v>
      </c>
      <c r="BT304" s="408">
        <v>392403</v>
      </c>
    </row>
    <row r="305" spans="1:72" s="408" customFormat="1" x14ac:dyDescent="0.3">
      <c r="A305" s="408">
        <v>646</v>
      </c>
      <c r="B305" s="409">
        <v>646</v>
      </c>
      <c r="C305" s="408">
        <v>646</v>
      </c>
      <c r="D305" s="408" t="s">
        <v>753</v>
      </c>
      <c r="F305" s="408">
        <v>3099140</v>
      </c>
      <c r="G305" s="408">
        <v>473258</v>
      </c>
      <c r="H305" s="408">
        <v>2042851</v>
      </c>
      <c r="I305" s="408">
        <v>5324773</v>
      </c>
      <c r="J305" s="408">
        <v>487160</v>
      </c>
      <c r="K305" s="408">
        <v>853497</v>
      </c>
      <c r="L305" s="408">
        <v>4062583</v>
      </c>
      <c r="M305" s="408">
        <v>215894</v>
      </c>
      <c r="N305" s="408">
        <v>28904552</v>
      </c>
      <c r="O305" s="408">
        <v>84501</v>
      </c>
      <c r="P305" s="408">
        <v>4539905</v>
      </c>
      <c r="Q305" s="408">
        <v>1123732</v>
      </c>
      <c r="R305" s="408">
        <v>12441071</v>
      </c>
      <c r="S305" s="408">
        <v>18066274</v>
      </c>
      <c r="T305" s="408">
        <v>0</v>
      </c>
      <c r="U305" s="408">
        <v>1000041</v>
      </c>
      <c r="V305" s="408">
        <v>3596633</v>
      </c>
      <c r="W305" s="408">
        <v>1003563</v>
      </c>
      <c r="X305" s="408">
        <v>319146</v>
      </c>
      <c r="Y305" s="408">
        <v>339822</v>
      </c>
      <c r="Z305" s="408">
        <v>624917</v>
      </c>
      <c r="AA305" s="408">
        <v>0</v>
      </c>
      <c r="AB305" s="408">
        <v>0</v>
      </c>
      <c r="AC305" s="408">
        <v>555359</v>
      </c>
      <c r="AD305" s="408">
        <v>5670916</v>
      </c>
      <c r="AE305" s="408">
        <v>1888409</v>
      </c>
      <c r="AF305" s="408">
        <v>55481</v>
      </c>
      <c r="AG305" s="408">
        <v>314848</v>
      </c>
      <c r="AH305" s="408">
        <v>148268</v>
      </c>
      <c r="AI305" s="408">
        <v>3280623</v>
      </c>
      <c r="AJ305" s="408">
        <v>5703468</v>
      </c>
      <c r="AK305" s="408">
        <v>860786</v>
      </c>
      <c r="AL305" s="408">
        <v>0</v>
      </c>
      <c r="AM305" s="408">
        <v>0</v>
      </c>
      <c r="AN305" s="408">
        <v>0</v>
      </c>
      <c r="AO305" s="408">
        <v>2191924</v>
      </c>
      <c r="AP305" s="408">
        <v>2525740</v>
      </c>
      <c r="AQ305" s="408">
        <v>1590223</v>
      </c>
      <c r="AR305" s="408">
        <v>331641</v>
      </c>
      <c r="AS305" s="408">
        <v>1435620</v>
      </c>
      <c r="AT305" s="408">
        <v>715224</v>
      </c>
      <c r="AU305" s="408">
        <v>3072907</v>
      </c>
      <c r="AV305" s="408">
        <v>1573195</v>
      </c>
      <c r="AW305" s="408">
        <v>0</v>
      </c>
      <c r="AX305" s="408">
        <v>3379370</v>
      </c>
      <c r="AY305" s="408">
        <v>589457</v>
      </c>
      <c r="AZ305" s="408">
        <v>4337838</v>
      </c>
      <c r="BA305" s="408">
        <v>0</v>
      </c>
      <c r="BB305" s="408">
        <v>439544</v>
      </c>
      <c r="BC305" s="408">
        <v>1017421</v>
      </c>
      <c r="BD305" s="408">
        <v>778693</v>
      </c>
      <c r="BE305" s="408">
        <v>662053</v>
      </c>
      <c r="BF305" s="408">
        <v>288704</v>
      </c>
      <c r="BG305" s="408">
        <v>10077910</v>
      </c>
      <c r="BH305" s="408">
        <v>768045</v>
      </c>
      <c r="BI305" s="408">
        <v>228511</v>
      </c>
      <c r="BJ305" s="408">
        <v>1660220</v>
      </c>
      <c r="BK305" s="408">
        <v>368459</v>
      </c>
      <c r="BL305" s="408">
        <v>810188</v>
      </c>
      <c r="BM305" s="408">
        <v>610960</v>
      </c>
      <c r="BN305" s="408">
        <v>1186426</v>
      </c>
      <c r="BO305" s="408">
        <v>2450905</v>
      </c>
      <c r="BP305" s="408">
        <v>675156</v>
      </c>
      <c r="BQ305" s="408">
        <v>2884756</v>
      </c>
      <c r="BR305" s="408">
        <v>7491548</v>
      </c>
      <c r="BS305" s="408">
        <v>1154127</v>
      </c>
      <c r="BT305" s="408">
        <v>6239679</v>
      </c>
    </row>
    <row r="306" spans="1:72" s="408" customFormat="1" x14ac:dyDescent="0.3">
      <c r="A306" s="408">
        <v>647</v>
      </c>
      <c r="B306" s="409">
        <v>647</v>
      </c>
      <c r="C306" s="408">
        <v>647</v>
      </c>
      <c r="D306" s="408" t="s">
        <v>754</v>
      </c>
      <c r="F306" s="408">
        <v>0</v>
      </c>
      <c r="G306" s="408">
        <v>0</v>
      </c>
      <c r="H306" s="408">
        <v>0</v>
      </c>
      <c r="I306" s="408">
        <v>0</v>
      </c>
      <c r="J306" s="408">
        <v>0</v>
      </c>
      <c r="K306" s="408">
        <v>0</v>
      </c>
      <c r="L306" s="408">
        <v>0</v>
      </c>
      <c r="M306" s="408">
        <v>0</v>
      </c>
      <c r="N306" s="408">
        <v>0</v>
      </c>
      <c r="O306" s="408">
        <v>0</v>
      </c>
      <c r="P306" s="408">
        <v>0</v>
      </c>
      <c r="Q306" s="408">
        <v>0</v>
      </c>
      <c r="R306" s="408">
        <v>0</v>
      </c>
      <c r="S306" s="408">
        <v>0</v>
      </c>
      <c r="T306" s="408">
        <v>0</v>
      </c>
      <c r="U306" s="408">
        <v>0</v>
      </c>
      <c r="V306" s="408">
        <v>0</v>
      </c>
      <c r="W306" s="408">
        <v>0</v>
      </c>
      <c r="X306" s="408">
        <v>0</v>
      </c>
      <c r="Y306" s="408">
        <v>0</v>
      </c>
      <c r="Z306" s="408">
        <v>0</v>
      </c>
      <c r="AA306" s="408">
        <v>0</v>
      </c>
      <c r="AB306" s="408">
        <v>0</v>
      </c>
      <c r="AC306" s="408">
        <v>0</v>
      </c>
      <c r="AD306" s="408">
        <v>0</v>
      </c>
      <c r="AE306" s="408">
        <v>0</v>
      </c>
      <c r="AF306" s="408">
        <v>0</v>
      </c>
      <c r="AG306" s="408">
        <v>0</v>
      </c>
      <c r="AH306" s="408">
        <v>0</v>
      </c>
      <c r="AI306" s="408">
        <v>0</v>
      </c>
      <c r="AJ306" s="408">
        <v>0</v>
      </c>
      <c r="AK306" s="408">
        <v>0</v>
      </c>
      <c r="AL306" s="408">
        <v>0</v>
      </c>
      <c r="AM306" s="408">
        <v>0</v>
      </c>
      <c r="AN306" s="408">
        <v>0</v>
      </c>
      <c r="AO306" s="408">
        <v>0</v>
      </c>
      <c r="AP306" s="408">
        <v>0</v>
      </c>
      <c r="AQ306" s="408">
        <v>0</v>
      </c>
      <c r="AR306" s="408">
        <v>0</v>
      </c>
      <c r="AS306" s="408">
        <v>0</v>
      </c>
      <c r="AT306" s="408">
        <v>0</v>
      </c>
      <c r="AU306" s="408">
        <v>0</v>
      </c>
      <c r="AV306" s="408">
        <v>0</v>
      </c>
      <c r="AW306" s="408">
        <v>0</v>
      </c>
      <c r="AX306" s="408">
        <v>0</v>
      </c>
      <c r="AY306" s="408">
        <v>0</v>
      </c>
      <c r="AZ306" s="408">
        <v>0</v>
      </c>
      <c r="BA306" s="408">
        <v>0</v>
      </c>
      <c r="BB306" s="408">
        <v>0</v>
      </c>
      <c r="BC306" s="408">
        <v>0</v>
      </c>
      <c r="BD306" s="408">
        <v>0</v>
      </c>
      <c r="BE306" s="408">
        <v>0</v>
      </c>
      <c r="BF306" s="408">
        <v>0</v>
      </c>
      <c r="BG306" s="408">
        <v>0</v>
      </c>
      <c r="BH306" s="408">
        <v>0</v>
      </c>
      <c r="BI306" s="408">
        <v>0</v>
      </c>
      <c r="BJ306" s="408">
        <v>0</v>
      </c>
      <c r="BK306" s="408">
        <v>0</v>
      </c>
      <c r="BL306" s="408">
        <v>0</v>
      </c>
      <c r="BM306" s="408">
        <v>0</v>
      </c>
      <c r="BN306" s="408">
        <v>0</v>
      </c>
      <c r="BO306" s="408">
        <v>0</v>
      </c>
      <c r="BP306" s="408">
        <v>0</v>
      </c>
      <c r="BQ306" s="408">
        <v>0</v>
      </c>
      <c r="BR306" s="408">
        <v>0</v>
      </c>
      <c r="BS306" s="408">
        <v>0</v>
      </c>
      <c r="BT306" s="408">
        <v>0</v>
      </c>
    </row>
    <row r="307" spans="1:72" s="408" customFormat="1" x14ac:dyDescent="0.3">
      <c r="A307" s="408">
        <v>654</v>
      </c>
      <c r="B307" s="409">
        <v>654</v>
      </c>
      <c r="C307" s="408">
        <v>654</v>
      </c>
      <c r="D307" s="408" t="s">
        <v>814</v>
      </c>
      <c r="F307" s="408">
        <v>3240273</v>
      </c>
      <c r="G307" s="408">
        <v>1507399</v>
      </c>
      <c r="H307" s="408">
        <v>321569</v>
      </c>
      <c r="I307" s="408">
        <v>6711496</v>
      </c>
      <c r="J307" s="408">
        <v>0</v>
      </c>
      <c r="K307" s="408">
        <v>682346</v>
      </c>
      <c r="L307" s="408">
        <v>4863606</v>
      </c>
      <c r="M307" s="408">
        <v>182009</v>
      </c>
      <c r="N307" s="408">
        <v>64469477</v>
      </c>
      <c r="O307" s="408">
        <v>0</v>
      </c>
      <c r="P307" s="408">
        <v>7912666</v>
      </c>
      <c r="Q307" s="408">
        <v>0</v>
      </c>
      <c r="R307" s="408">
        <v>15021117</v>
      </c>
      <c r="S307" s="408">
        <v>75138015</v>
      </c>
      <c r="T307" s="408">
        <v>0</v>
      </c>
      <c r="U307" s="408">
        <v>152717</v>
      </c>
      <c r="V307" s="408">
        <v>1575831</v>
      </c>
      <c r="W307" s="408">
        <v>487021</v>
      </c>
      <c r="X307" s="408">
        <v>149646</v>
      </c>
      <c r="Y307" s="408">
        <v>43417</v>
      </c>
      <c r="Z307" s="408">
        <v>1180135</v>
      </c>
      <c r="AA307" s="408">
        <v>0</v>
      </c>
      <c r="AB307" s="408">
        <v>0</v>
      </c>
      <c r="AC307" s="408">
        <v>303543</v>
      </c>
      <c r="AD307" s="408">
        <v>2061738</v>
      </c>
      <c r="AE307" s="408">
        <v>1755560</v>
      </c>
      <c r="AF307" s="408">
        <v>126142</v>
      </c>
      <c r="AG307" s="408">
        <v>0</v>
      </c>
      <c r="AH307" s="408">
        <v>0</v>
      </c>
      <c r="AI307" s="408">
        <v>3171026</v>
      </c>
      <c r="AJ307" s="408">
        <v>2749242</v>
      </c>
      <c r="AK307" s="408">
        <v>240604</v>
      </c>
      <c r="AL307" s="408">
        <v>0</v>
      </c>
      <c r="AM307" s="408">
        <v>0</v>
      </c>
      <c r="AN307" s="408">
        <v>0</v>
      </c>
      <c r="AO307" s="408">
        <v>882317</v>
      </c>
      <c r="AP307" s="408">
        <v>1949827</v>
      </c>
      <c r="AQ307" s="408">
        <v>1510522</v>
      </c>
      <c r="AR307" s="408">
        <v>0</v>
      </c>
      <c r="AS307" s="408">
        <v>493230</v>
      </c>
      <c r="AT307" s="408">
        <v>1017662</v>
      </c>
      <c r="AU307" s="408">
        <v>463664</v>
      </c>
      <c r="AV307" s="408">
        <v>1427600</v>
      </c>
      <c r="AW307" s="408">
        <v>0</v>
      </c>
      <c r="AX307" s="408">
        <v>1288880</v>
      </c>
      <c r="AY307" s="408">
        <v>765882</v>
      </c>
      <c r="AZ307" s="408">
        <v>2902143</v>
      </c>
      <c r="BA307" s="408">
        <v>78137</v>
      </c>
      <c r="BB307" s="408">
        <v>0</v>
      </c>
      <c r="BC307" s="408">
        <v>0</v>
      </c>
      <c r="BD307" s="408">
        <v>813768</v>
      </c>
      <c r="BE307" s="408">
        <v>0</v>
      </c>
      <c r="BF307" s="408">
        <v>13521</v>
      </c>
      <c r="BG307" s="408">
        <v>22190940</v>
      </c>
      <c r="BH307" s="408">
        <v>972977</v>
      </c>
      <c r="BI307" s="408">
        <v>751920</v>
      </c>
      <c r="BJ307" s="408">
        <v>1613422</v>
      </c>
      <c r="BK307" s="408">
        <v>139817</v>
      </c>
      <c r="BL307" s="408">
        <v>724200</v>
      </c>
      <c r="BM307" s="408">
        <v>0</v>
      </c>
      <c r="BN307" s="408">
        <v>201362</v>
      </c>
      <c r="BO307" s="408">
        <v>829383</v>
      </c>
      <c r="BP307" s="408">
        <v>1385411</v>
      </c>
      <c r="BQ307" s="408">
        <v>3243230</v>
      </c>
      <c r="BR307" s="408">
        <v>86977531</v>
      </c>
      <c r="BS307" s="408">
        <v>2284830</v>
      </c>
      <c r="BT307" s="408">
        <v>0</v>
      </c>
    </row>
    <row r="308" spans="1:72" s="408" customFormat="1" x14ac:dyDescent="0.3">
      <c r="A308" s="408">
        <v>655</v>
      </c>
      <c r="B308" s="409">
        <v>655</v>
      </c>
      <c r="C308" s="408">
        <v>655</v>
      </c>
      <c r="D308" s="408" t="s">
        <v>855</v>
      </c>
      <c r="F308" s="408">
        <v>112587</v>
      </c>
      <c r="G308" s="408">
        <v>257364</v>
      </c>
      <c r="H308" s="408">
        <v>6414</v>
      </c>
      <c r="I308" s="408">
        <v>155571</v>
      </c>
      <c r="J308" s="408">
        <v>0</v>
      </c>
      <c r="K308" s="408">
        <v>76334</v>
      </c>
      <c r="L308" s="408">
        <v>0</v>
      </c>
      <c r="M308" s="408">
        <v>0</v>
      </c>
      <c r="N308" s="408">
        <v>992045</v>
      </c>
      <c r="O308" s="408">
        <v>0</v>
      </c>
      <c r="P308" s="408">
        <v>422163</v>
      </c>
      <c r="Q308" s="408">
        <v>0</v>
      </c>
      <c r="R308" s="408">
        <v>623998</v>
      </c>
      <c r="S308" s="408">
        <v>0</v>
      </c>
      <c r="T308" s="408">
        <v>0</v>
      </c>
      <c r="U308" s="408">
        <v>0</v>
      </c>
      <c r="V308" s="408">
        <v>12769</v>
      </c>
      <c r="W308" s="408">
        <v>36620</v>
      </c>
      <c r="X308" s="408">
        <v>26019</v>
      </c>
      <c r="Y308" s="408">
        <v>0</v>
      </c>
      <c r="Z308" s="408">
        <v>0</v>
      </c>
      <c r="AA308" s="408">
        <v>0</v>
      </c>
      <c r="AB308" s="408">
        <v>0</v>
      </c>
      <c r="AC308" s="408">
        <v>0</v>
      </c>
      <c r="AD308" s="408">
        <v>0</v>
      </c>
      <c r="AE308" s="408">
        <v>44614</v>
      </c>
      <c r="AF308" s="408">
        <v>0</v>
      </c>
      <c r="AG308" s="408">
        <v>0</v>
      </c>
      <c r="AH308" s="408">
        <v>0</v>
      </c>
      <c r="AI308" s="408">
        <v>374211</v>
      </c>
      <c r="AJ308" s="408">
        <v>239517</v>
      </c>
      <c r="AK308" s="408">
        <v>58120</v>
      </c>
      <c r="AL308" s="408">
        <v>0</v>
      </c>
      <c r="AM308" s="408">
        <v>0</v>
      </c>
      <c r="AN308" s="408">
        <v>0</v>
      </c>
      <c r="AO308" s="408">
        <v>43390</v>
      </c>
      <c r="AP308" s="408">
        <v>0</v>
      </c>
      <c r="AQ308" s="408">
        <v>133400</v>
      </c>
      <c r="AR308" s="408">
        <v>0</v>
      </c>
      <c r="AS308" s="408">
        <v>64955</v>
      </c>
      <c r="AT308" s="408">
        <v>127564</v>
      </c>
      <c r="AU308" s="408">
        <v>0</v>
      </c>
      <c r="AV308" s="408">
        <v>0</v>
      </c>
      <c r="AW308" s="408">
        <v>0</v>
      </c>
      <c r="AX308" s="408">
        <v>174154</v>
      </c>
      <c r="AY308" s="408">
        <v>85793</v>
      </c>
      <c r="AZ308" s="408">
        <v>2111197</v>
      </c>
      <c r="BA308" s="408">
        <v>0</v>
      </c>
      <c r="BB308" s="408">
        <v>0</v>
      </c>
      <c r="BC308" s="408">
        <v>0</v>
      </c>
      <c r="BD308" s="408">
        <v>87355</v>
      </c>
      <c r="BE308" s="408">
        <v>0</v>
      </c>
      <c r="BF308" s="408">
        <v>1</v>
      </c>
      <c r="BG308" s="408">
        <v>308389</v>
      </c>
      <c r="BH308" s="408">
        <v>47487</v>
      </c>
      <c r="BI308" s="408">
        <v>13796</v>
      </c>
      <c r="BJ308" s="408">
        <v>292567</v>
      </c>
      <c r="BK308" s="408">
        <v>21886</v>
      </c>
      <c r="BL308" s="408">
        <v>34095</v>
      </c>
      <c r="BM308" s="408">
        <v>0</v>
      </c>
      <c r="BN308" s="408">
        <v>0</v>
      </c>
      <c r="BO308" s="408">
        <v>375407</v>
      </c>
      <c r="BP308" s="408">
        <v>18191</v>
      </c>
      <c r="BQ308" s="408">
        <v>101048</v>
      </c>
      <c r="BR308" s="408">
        <v>551118</v>
      </c>
      <c r="BS308" s="408">
        <v>99112</v>
      </c>
      <c r="BT308" s="408">
        <v>0</v>
      </c>
    </row>
    <row r="309" spans="1:72" s="408" customFormat="1" x14ac:dyDescent="0.3">
      <c r="A309" s="408">
        <v>656</v>
      </c>
      <c r="B309" s="409">
        <v>656</v>
      </c>
      <c r="C309" s="408">
        <v>656</v>
      </c>
      <c r="D309" s="408" t="s">
        <v>822</v>
      </c>
      <c r="F309" s="408">
        <v>0</v>
      </c>
      <c r="G309" s="408">
        <v>2</v>
      </c>
      <c r="H309" s="408">
        <v>2</v>
      </c>
      <c r="I309" s="408">
        <v>2</v>
      </c>
      <c r="J309" s="408">
        <v>2</v>
      </c>
      <c r="K309" s="408">
        <v>2</v>
      </c>
      <c r="L309" s="408">
        <v>2</v>
      </c>
      <c r="M309" s="408">
        <v>2</v>
      </c>
      <c r="N309" s="408">
        <v>0</v>
      </c>
      <c r="O309" s="408">
        <v>2</v>
      </c>
      <c r="P309" s="408">
        <v>0</v>
      </c>
      <c r="Q309" s="408">
        <v>2</v>
      </c>
      <c r="R309" s="408">
        <v>0</v>
      </c>
      <c r="S309" s="408">
        <v>2</v>
      </c>
      <c r="T309" s="408">
        <v>0</v>
      </c>
      <c r="U309" s="408">
        <v>2</v>
      </c>
      <c r="V309" s="408">
        <v>1</v>
      </c>
      <c r="W309" s="408">
        <v>2</v>
      </c>
      <c r="X309" s="408">
        <v>2</v>
      </c>
      <c r="Y309" s="408">
        <v>2</v>
      </c>
      <c r="Z309" s="408">
        <v>2</v>
      </c>
      <c r="AA309" s="408">
        <v>0</v>
      </c>
      <c r="AB309" s="408">
        <v>0</v>
      </c>
      <c r="AC309" s="408">
        <v>2</v>
      </c>
      <c r="AD309" s="408">
        <v>0</v>
      </c>
      <c r="AE309" s="408">
        <v>2</v>
      </c>
      <c r="AF309" s="408">
        <v>2</v>
      </c>
      <c r="AG309" s="408">
        <v>2</v>
      </c>
      <c r="AH309" s="408">
        <v>0</v>
      </c>
      <c r="AI309" s="408">
        <v>2</v>
      </c>
      <c r="AJ309" s="408">
        <v>2</v>
      </c>
      <c r="AK309" s="408">
        <v>2</v>
      </c>
      <c r="AL309" s="408">
        <v>0</v>
      </c>
      <c r="AM309" s="408">
        <v>0</v>
      </c>
      <c r="AN309" s="408">
        <v>2</v>
      </c>
      <c r="AO309" s="408">
        <v>2</v>
      </c>
      <c r="AP309" s="408">
        <v>2</v>
      </c>
      <c r="AQ309" s="408">
        <v>2</v>
      </c>
      <c r="AR309" s="408">
        <v>0</v>
      </c>
      <c r="AS309" s="408">
        <v>2</v>
      </c>
      <c r="AT309" s="408">
        <v>2</v>
      </c>
      <c r="AU309" s="408">
        <v>2</v>
      </c>
      <c r="AV309" s="408">
        <v>2</v>
      </c>
      <c r="AW309" s="408">
        <v>0</v>
      </c>
      <c r="AX309" s="408">
        <v>0</v>
      </c>
      <c r="AY309" s="408">
        <v>2</v>
      </c>
      <c r="AZ309" s="408">
        <v>2</v>
      </c>
      <c r="BA309" s="408">
        <v>2</v>
      </c>
      <c r="BB309" s="408">
        <v>2</v>
      </c>
      <c r="BC309" s="408">
        <v>2</v>
      </c>
      <c r="BD309" s="408">
        <v>2</v>
      </c>
      <c r="BE309" s="408">
        <v>2</v>
      </c>
      <c r="BF309" s="408">
        <v>0</v>
      </c>
      <c r="BG309" s="408">
        <v>2</v>
      </c>
      <c r="BH309" s="408">
        <v>0</v>
      </c>
      <c r="BI309" s="408">
        <v>2</v>
      </c>
      <c r="BJ309" s="408">
        <v>2</v>
      </c>
      <c r="BK309" s="408">
        <v>0</v>
      </c>
      <c r="BL309" s="408">
        <v>0</v>
      </c>
      <c r="BM309" s="408">
        <v>2</v>
      </c>
      <c r="BN309" s="408">
        <v>0</v>
      </c>
      <c r="BO309" s="408">
        <v>2</v>
      </c>
      <c r="BP309" s="408">
        <v>2</v>
      </c>
      <c r="BQ309" s="408">
        <v>2</v>
      </c>
      <c r="BR309" s="408">
        <v>2</v>
      </c>
      <c r="BS309" s="408">
        <v>2</v>
      </c>
      <c r="BT309" s="408">
        <v>0</v>
      </c>
    </row>
    <row r="310" spans="1:72" s="408" customFormat="1" x14ac:dyDescent="0.3">
      <c r="A310" s="408">
        <v>657</v>
      </c>
      <c r="B310" s="409">
        <v>657</v>
      </c>
      <c r="C310" s="408">
        <v>657</v>
      </c>
      <c r="D310" s="408" t="s">
        <v>1767</v>
      </c>
      <c r="F310" s="408">
        <v>0</v>
      </c>
      <c r="G310" s="408">
        <v>0</v>
      </c>
      <c r="H310" s="408">
        <v>0</v>
      </c>
      <c r="I310" s="408">
        <v>18231735</v>
      </c>
      <c r="J310" s="408">
        <v>0</v>
      </c>
      <c r="K310" s="408">
        <v>0</v>
      </c>
      <c r="L310" s="408">
        <v>0</v>
      </c>
      <c r="M310" s="408">
        <v>0</v>
      </c>
      <c r="N310" s="408">
        <v>26995262</v>
      </c>
      <c r="O310" s="408">
        <v>0</v>
      </c>
      <c r="P310" s="408">
        <v>0</v>
      </c>
      <c r="Q310" s="408">
        <v>0</v>
      </c>
      <c r="R310" s="408">
        <v>0</v>
      </c>
      <c r="S310" s="408">
        <v>0</v>
      </c>
      <c r="T310" s="408">
        <v>0</v>
      </c>
      <c r="U310" s="408">
        <v>0</v>
      </c>
      <c r="V310" s="408">
        <v>0</v>
      </c>
      <c r="W310" s="408">
        <v>0</v>
      </c>
      <c r="X310" s="408">
        <v>0</v>
      </c>
      <c r="Y310" s="408">
        <v>0</v>
      </c>
      <c r="Z310" s="408">
        <v>6728173</v>
      </c>
      <c r="AA310" s="408">
        <v>0</v>
      </c>
      <c r="AB310" s="408">
        <v>0</v>
      </c>
      <c r="AC310" s="408">
        <v>0</v>
      </c>
      <c r="AD310" s="408">
        <v>0</v>
      </c>
      <c r="AE310" s="408">
        <v>0</v>
      </c>
      <c r="AF310" s="408">
        <v>0</v>
      </c>
      <c r="AG310" s="408">
        <v>0</v>
      </c>
      <c r="AH310" s="408">
        <v>0</v>
      </c>
      <c r="AI310" s="408">
        <v>0</v>
      </c>
      <c r="AJ310" s="408">
        <v>0</v>
      </c>
      <c r="AK310" s="408">
        <v>985825</v>
      </c>
      <c r="AL310" s="408">
        <v>0</v>
      </c>
      <c r="AM310" s="408">
        <v>0</v>
      </c>
      <c r="AN310" s="408">
        <v>0</v>
      </c>
      <c r="AO310" s="408">
        <v>2241777</v>
      </c>
      <c r="AP310" s="408">
        <v>0</v>
      </c>
      <c r="AQ310" s="408">
        <v>0</v>
      </c>
      <c r="AR310" s="408">
        <v>0</v>
      </c>
      <c r="AS310" s="408">
        <v>0</v>
      </c>
      <c r="AT310" s="408">
        <v>0</v>
      </c>
      <c r="AU310" s="408">
        <v>0</v>
      </c>
      <c r="AV310" s="408">
        <v>0</v>
      </c>
      <c r="AW310" s="408">
        <v>0</v>
      </c>
      <c r="AX310" s="408">
        <v>0</v>
      </c>
      <c r="AY310" s="408">
        <v>0</v>
      </c>
      <c r="AZ310" s="408">
        <v>0</v>
      </c>
      <c r="BA310" s="408">
        <v>0</v>
      </c>
      <c r="BB310" s="408">
        <v>0</v>
      </c>
      <c r="BC310" s="408">
        <v>0</v>
      </c>
      <c r="BD310" s="408">
        <v>0</v>
      </c>
      <c r="BE310" s="408">
        <v>0</v>
      </c>
      <c r="BF310" s="408">
        <v>0</v>
      </c>
      <c r="BG310" s="408">
        <v>0</v>
      </c>
      <c r="BH310" s="408">
        <v>0</v>
      </c>
      <c r="BI310" s="408">
        <v>1530958</v>
      </c>
      <c r="BJ310" s="408">
        <v>0</v>
      </c>
      <c r="BK310" s="408">
        <v>0</v>
      </c>
      <c r="BL310" s="408">
        <v>0</v>
      </c>
      <c r="BM310" s="408">
        <v>0</v>
      </c>
      <c r="BN310" s="408">
        <v>0</v>
      </c>
      <c r="BO310" s="408">
        <v>0</v>
      </c>
      <c r="BP310" s="408">
        <v>0</v>
      </c>
      <c r="BQ310" s="408">
        <v>0</v>
      </c>
      <c r="BR310" s="408">
        <v>0</v>
      </c>
      <c r="BS310" s="408">
        <v>0</v>
      </c>
      <c r="BT310" s="408">
        <v>0</v>
      </c>
    </row>
    <row r="311" spans="1:72" s="408" customFormat="1" x14ac:dyDescent="0.3">
      <c r="A311" s="408">
        <v>658</v>
      </c>
      <c r="B311" s="409">
        <v>658</v>
      </c>
      <c r="C311" s="408">
        <v>658</v>
      </c>
      <c r="D311" s="408" t="s">
        <v>854</v>
      </c>
      <c r="F311" s="408">
        <v>0</v>
      </c>
      <c r="G311" s="408">
        <v>0</v>
      </c>
      <c r="H311" s="408">
        <v>0</v>
      </c>
      <c r="I311" s="408">
        <v>978053</v>
      </c>
      <c r="J311" s="408">
        <v>0</v>
      </c>
      <c r="K311" s="408">
        <v>0</v>
      </c>
      <c r="L311" s="408">
        <v>0</v>
      </c>
      <c r="M311" s="408">
        <v>0</v>
      </c>
      <c r="N311" s="408">
        <v>5689088</v>
      </c>
      <c r="O311" s="408">
        <v>0</v>
      </c>
      <c r="P311" s="408">
        <v>0</v>
      </c>
      <c r="Q311" s="408">
        <v>0</v>
      </c>
      <c r="R311" s="408">
        <v>0</v>
      </c>
      <c r="S311" s="408">
        <v>0</v>
      </c>
      <c r="T311" s="408">
        <v>0</v>
      </c>
      <c r="U311" s="408">
        <v>0</v>
      </c>
      <c r="V311" s="408">
        <v>0</v>
      </c>
      <c r="W311" s="408">
        <v>0</v>
      </c>
      <c r="X311" s="408">
        <v>0</v>
      </c>
      <c r="Y311" s="408">
        <v>0</v>
      </c>
      <c r="Z311" s="408">
        <v>222753</v>
      </c>
      <c r="AA311" s="408">
        <v>0</v>
      </c>
      <c r="AB311" s="408">
        <v>0</v>
      </c>
      <c r="AC311" s="408">
        <v>0</v>
      </c>
      <c r="AD311" s="408">
        <v>0</v>
      </c>
      <c r="AE311" s="408">
        <v>0</v>
      </c>
      <c r="AF311" s="408">
        <v>0</v>
      </c>
      <c r="AG311" s="408">
        <v>0</v>
      </c>
      <c r="AH311" s="408">
        <v>0</v>
      </c>
      <c r="AI311" s="408">
        <v>0</v>
      </c>
      <c r="AJ311" s="408">
        <v>0</v>
      </c>
      <c r="AK311" s="408">
        <v>182961</v>
      </c>
      <c r="AL311" s="408">
        <v>0</v>
      </c>
      <c r="AM311" s="408">
        <v>0</v>
      </c>
      <c r="AN311" s="408">
        <v>0</v>
      </c>
      <c r="AO311" s="408">
        <v>203042</v>
      </c>
      <c r="AP311" s="408">
        <v>0</v>
      </c>
      <c r="AQ311" s="408">
        <v>0</v>
      </c>
      <c r="AR311" s="408">
        <v>0</v>
      </c>
      <c r="AS311" s="408">
        <v>0</v>
      </c>
      <c r="AT311" s="408">
        <v>0</v>
      </c>
      <c r="AU311" s="408">
        <v>0</v>
      </c>
      <c r="AV311" s="408">
        <v>0</v>
      </c>
      <c r="AW311" s="408">
        <v>0</v>
      </c>
      <c r="AX311" s="408">
        <v>0</v>
      </c>
      <c r="AY311" s="408">
        <v>0</v>
      </c>
      <c r="AZ311" s="408">
        <v>0</v>
      </c>
      <c r="BA311" s="408">
        <v>0</v>
      </c>
      <c r="BB311" s="408">
        <v>0</v>
      </c>
      <c r="BC311" s="408">
        <v>0</v>
      </c>
      <c r="BD311" s="408">
        <v>0</v>
      </c>
      <c r="BE311" s="408">
        <v>0</v>
      </c>
      <c r="BF311" s="408">
        <v>0</v>
      </c>
      <c r="BG311" s="408">
        <v>0</v>
      </c>
      <c r="BH311" s="408">
        <v>0</v>
      </c>
      <c r="BI311" s="408">
        <v>19062</v>
      </c>
      <c r="BJ311" s="408">
        <v>0</v>
      </c>
      <c r="BK311" s="408">
        <v>0</v>
      </c>
      <c r="BL311" s="408">
        <v>0</v>
      </c>
      <c r="BM311" s="408">
        <v>0</v>
      </c>
      <c r="BN311" s="408">
        <v>0</v>
      </c>
      <c r="BO311" s="408">
        <v>0</v>
      </c>
      <c r="BP311" s="408">
        <v>0</v>
      </c>
      <c r="BQ311" s="408">
        <v>0</v>
      </c>
      <c r="BR311" s="408">
        <v>0</v>
      </c>
      <c r="BS311" s="408">
        <v>0</v>
      </c>
      <c r="BT311" s="408">
        <v>0</v>
      </c>
    </row>
    <row r="312" spans="1:72" s="408" customFormat="1" ht="57.6" x14ac:dyDescent="0.3">
      <c r="A312" s="408">
        <v>659</v>
      </c>
      <c r="B312" s="409">
        <v>659</v>
      </c>
      <c r="C312" s="408">
        <v>659</v>
      </c>
      <c r="D312" s="1126" t="s">
        <v>817</v>
      </c>
      <c r="F312" s="408">
        <v>3897975</v>
      </c>
      <c r="G312" s="408">
        <v>3855344</v>
      </c>
      <c r="H312" s="408">
        <v>0</v>
      </c>
      <c r="I312" s="408">
        <v>10834679</v>
      </c>
      <c r="J312" s="408">
        <v>0</v>
      </c>
      <c r="K312" s="408">
        <v>0</v>
      </c>
      <c r="L312" s="408">
        <v>1294913</v>
      </c>
      <c r="M312" s="408">
        <v>0</v>
      </c>
      <c r="N312" s="408">
        <v>41807091</v>
      </c>
      <c r="O312" s="408">
        <v>0</v>
      </c>
      <c r="P312" s="408">
        <v>325770</v>
      </c>
      <c r="Q312" s="408">
        <v>0</v>
      </c>
      <c r="R312" s="408">
        <v>1689695</v>
      </c>
      <c r="S312" s="408">
        <v>36408645</v>
      </c>
      <c r="T312" s="408">
        <v>0</v>
      </c>
      <c r="U312" s="408">
        <v>0</v>
      </c>
      <c r="V312" s="408">
        <v>1473735</v>
      </c>
      <c r="W312" s="408">
        <v>0</v>
      </c>
      <c r="X312" s="408">
        <v>0</v>
      </c>
      <c r="Y312" s="408">
        <v>0</v>
      </c>
      <c r="Z312" s="408">
        <v>30831</v>
      </c>
      <c r="AA312" s="408">
        <v>0</v>
      </c>
      <c r="AB312" s="408">
        <v>0</v>
      </c>
      <c r="AC312" s="408">
        <v>0</v>
      </c>
      <c r="AD312" s="408">
        <v>0</v>
      </c>
      <c r="AE312" s="408">
        <v>6900</v>
      </c>
      <c r="AF312" s="408">
        <v>0</v>
      </c>
      <c r="AG312" s="408">
        <v>0</v>
      </c>
      <c r="AH312" s="408">
        <v>0</v>
      </c>
      <c r="AI312" s="408">
        <v>0</v>
      </c>
      <c r="AJ312" s="408">
        <v>0</v>
      </c>
      <c r="AK312" s="408">
        <v>333614</v>
      </c>
      <c r="AL312" s="408">
        <v>0</v>
      </c>
      <c r="AM312" s="408">
        <v>0</v>
      </c>
      <c r="AN312" s="408">
        <v>0</v>
      </c>
      <c r="AO312" s="408">
        <v>388218</v>
      </c>
      <c r="AP312" s="408">
        <v>0</v>
      </c>
      <c r="AQ312" s="408">
        <v>217547</v>
      </c>
      <c r="AR312" s="408">
        <v>0</v>
      </c>
      <c r="AS312" s="408">
        <v>0</v>
      </c>
      <c r="AT312" s="408">
        <v>0</v>
      </c>
      <c r="AU312" s="408">
        <v>0</v>
      </c>
      <c r="AV312" s="408">
        <v>0</v>
      </c>
      <c r="AW312" s="408">
        <v>0</v>
      </c>
      <c r="AX312" s="408">
        <v>0</v>
      </c>
      <c r="AY312" s="408">
        <v>0</v>
      </c>
      <c r="AZ312" s="408">
        <v>58804</v>
      </c>
      <c r="BA312" s="408">
        <v>0</v>
      </c>
      <c r="BB312" s="408">
        <v>0</v>
      </c>
      <c r="BC312" s="408">
        <v>1136232</v>
      </c>
      <c r="BD312" s="408">
        <v>0</v>
      </c>
      <c r="BE312" s="408">
        <v>0</v>
      </c>
      <c r="BF312" s="408">
        <v>0</v>
      </c>
      <c r="BG312" s="408">
        <v>151893</v>
      </c>
      <c r="BH312" s="408">
        <v>0</v>
      </c>
      <c r="BI312" s="408">
        <v>0</v>
      </c>
      <c r="BJ312" s="408">
        <v>143459</v>
      </c>
      <c r="BK312" s="408">
        <v>0</v>
      </c>
      <c r="BL312" s="408">
        <v>0</v>
      </c>
      <c r="BM312" s="408">
        <v>0</v>
      </c>
      <c r="BN312" s="408">
        <v>0</v>
      </c>
      <c r="BO312" s="408">
        <v>0</v>
      </c>
      <c r="BP312" s="408">
        <v>0</v>
      </c>
      <c r="BQ312" s="408">
        <v>0</v>
      </c>
      <c r="BR312" s="408">
        <v>29480119</v>
      </c>
      <c r="BS312" s="408">
        <v>3637891</v>
      </c>
      <c r="BT312" s="408">
        <v>199846</v>
      </c>
    </row>
    <row r="313" spans="1:72" s="408" customFormat="1" ht="57.6" x14ac:dyDescent="0.3">
      <c r="A313" s="408">
        <v>660</v>
      </c>
      <c r="B313" s="409">
        <v>660</v>
      </c>
      <c r="C313" s="408">
        <v>660</v>
      </c>
      <c r="D313" s="1126" t="s">
        <v>818</v>
      </c>
      <c r="F313" s="408">
        <v>0</v>
      </c>
      <c r="G313" s="408">
        <v>0</v>
      </c>
      <c r="H313" s="408">
        <v>0</v>
      </c>
      <c r="I313" s="408">
        <v>0</v>
      </c>
      <c r="J313" s="408">
        <v>0</v>
      </c>
      <c r="K313" s="408">
        <v>0</v>
      </c>
      <c r="L313" s="408">
        <v>0</v>
      </c>
      <c r="M313" s="408">
        <v>0</v>
      </c>
      <c r="N313" s="408">
        <v>624030</v>
      </c>
      <c r="O313" s="408">
        <v>0</v>
      </c>
      <c r="P313" s="408">
        <v>0</v>
      </c>
      <c r="Q313" s="408">
        <v>0</v>
      </c>
      <c r="R313" s="408">
        <v>0</v>
      </c>
      <c r="S313" s="408">
        <v>13958636</v>
      </c>
      <c r="T313" s="408">
        <v>0</v>
      </c>
      <c r="U313" s="408">
        <v>0</v>
      </c>
      <c r="V313" s="408">
        <v>0</v>
      </c>
      <c r="W313" s="408">
        <v>0</v>
      </c>
      <c r="X313" s="408">
        <v>0</v>
      </c>
      <c r="Y313" s="408">
        <v>0</v>
      </c>
      <c r="Z313" s="408">
        <v>0</v>
      </c>
      <c r="AA313" s="408">
        <v>0</v>
      </c>
      <c r="AB313" s="408">
        <v>0</v>
      </c>
      <c r="AC313" s="408">
        <v>0</v>
      </c>
      <c r="AD313" s="408">
        <v>0</v>
      </c>
      <c r="AE313" s="408">
        <v>0</v>
      </c>
      <c r="AF313" s="408">
        <v>0</v>
      </c>
      <c r="AG313" s="408">
        <v>0</v>
      </c>
      <c r="AH313" s="408">
        <v>0</v>
      </c>
      <c r="AI313" s="408">
        <v>0</v>
      </c>
      <c r="AJ313" s="408">
        <v>0</v>
      </c>
      <c r="AK313" s="408">
        <v>0</v>
      </c>
      <c r="AL313" s="408">
        <v>0</v>
      </c>
      <c r="AM313" s="408">
        <v>0</v>
      </c>
      <c r="AN313" s="408">
        <v>0</v>
      </c>
      <c r="AO313" s="408">
        <v>0</v>
      </c>
      <c r="AP313" s="408">
        <v>0</v>
      </c>
      <c r="AQ313" s="408">
        <v>0</v>
      </c>
      <c r="AR313" s="408">
        <v>0</v>
      </c>
      <c r="AS313" s="408">
        <v>0</v>
      </c>
      <c r="AT313" s="408">
        <v>0</v>
      </c>
      <c r="AU313" s="408">
        <v>0</v>
      </c>
      <c r="AV313" s="408">
        <v>0</v>
      </c>
      <c r="AW313" s="408">
        <v>0</v>
      </c>
      <c r="AX313" s="408">
        <v>0</v>
      </c>
      <c r="AY313" s="408">
        <v>0</v>
      </c>
      <c r="AZ313" s="408">
        <v>0</v>
      </c>
      <c r="BA313" s="408">
        <v>0</v>
      </c>
      <c r="BB313" s="408">
        <v>0</v>
      </c>
      <c r="BC313" s="408">
        <v>0</v>
      </c>
      <c r="BD313" s="408">
        <v>0</v>
      </c>
      <c r="BE313" s="408">
        <v>0</v>
      </c>
      <c r="BF313" s="408">
        <v>0</v>
      </c>
      <c r="BG313" s="408">
        <v>0</v>
      </c>
      <c r="BH313" s="408">
        <v>0</v>
      </c>
      <c r="BI313" s="408">
        <v>0</v>
      </c>
      <c r="BJ313" s="408">
        <v>269789</v>
      </c>
      <c r="BK313" s="408">
        <v>0</v>
      </c>
      <c r="BL313" s="408">
        <v>0</v>
      </c>
      <c r="BM313" s="408">
        <v>0</v>
      </c>
      <c r="BN313" s="408">
        <v>0</v>
      </c>
      <c r="BO313" s="408">
        <v>0</v>
      </c>
      <c r="BP313" s="408">
        <v>0</v>
      </c>
      <c r="BQ313" s="408">
        <v>0</v>
      </c>
      <c r="BR313" s="408">
        <v>0</v>
      </c>
      <c r="BS313" s="408">
        <v>0</v>
      </c>
      <c r="BT313" s="408">
        <v>0</v>
      </c>
    </row>
    <row r="314" spans="1:72" s="408" customFormat="1" x14ac:dyDescent="0.3">
      <c r="A314" s="408">
        <v>661</v>
      </c>
      <c r="B314" s="409">
        <v>661</v>
      </c>
      <c r="C314" s="408">
        <v>661</v>
      </c>
      <c r="D314" s="408" t="s">
        <v>821</v>
      </c>
      <c r="F314" s="1171">
        <v>0</v>
      </c>
      <c r="G314" s="1171">
        <v>0</v>
      </c>
      <c r="H314" s="1171">
        <v>0</v>
      </c>
      <c r="I314" s="1171">
        <v>0</v>
      </c>
      <c r="J314" s="1171">
        <v>0</v>
      </c>
      <c r="K314" s="1171">
        <v>0</v>
      </c>
      <c r="L314" s="1171">
        <v>0</v>
      </c>
      <c r="M314" s="1171">
        <v>0</v>
      </c>
      <c r="N314" s="1171">
        <v>1.5</v>
      </c>
      <c r="O314" s="1171">
        <v>0</v>
      </c>
      <c r="P314" s="1171">
        <v>0</v>
      </c>
      <c r="Q314" s="1171">
        <v>0</v>
      </c>
      <c r="R314" s="1171">
        <v>0</v>
      </c>
      <c r="S314" s="1171">
        <v>38.299999999999997</v>
      </c>
      <c r="T314" s="1171">
        <v>0</v>
      </c>
      <c r="U314" s="1171">
        <v>0</v>
      </c>
      <c r="V314" s="1171">
        <v>0</v>
      </c>
      <c r="W314" s="1171">
        <v>0</v>
      </c>
      <c r="X314" s="1171">
        <v>0</v>
      </c>
      <c r="Y314" s="1171">
        <v>0</v>
      </c>
      <c r="Z314" s="1171">
        <v>0</v>
      </c>
      <c r="AA314" s="1171">
        <v>0</v>
      </c>
      <c r="AB314" s="1171">
        <v>0</v>
      </c>
      <c r="AC314" s="1171">
        <v>0</v>
      </c>
      <c r="AD314" s="1171">
        <v>0</v>
      </c>
      <c r="AE314" s="1171">
        <v>0</v>
      </c>
      <c r="AF314" s="1171">
        <v>0</v>
      </c>
      <c r="AG314" s="1171">
        <v>0</v>
      </c>
      <c r="AH314" s="1171">
        <v>0</v>
      </c>
      <c r="AI314" s="1171">
        <v>0</v>
      </c>
      <c r="AJ314" s="1171">
        <v>0</v>
      </c>
      <c r="AK314" s="1171">
        <v>0</v>
      </c>
      <c r="AL314" s="1171">
        <v>0</v>
      </c>
      <c r="AM314" s="1171">
        <v>0</v>
      </c>
      <c r="AN314" s="1171">
        <v>0</v>
      </c>
      <c r="AO314" s="1171">
        <v>0</v>
      </c>
      <c r="AP314" s="1171">
        <v>0</v>
      </c>
      <c r="AQ314" s="1171">
        <v>0</v>
      </c>
      <c r="AR314" s="1171">
        <v>0</v>
      </c>
      <c r="AS314" s="1171">
        <v>0</v>
      </c>
      <c r="AT314" s="1171">
        <v>0</v>
      </c>
      <c r="AU314" s="1171">
        <v>0</v>
      </c>
      <c r="AV314" s="1171">
        <v>0</v>
      </c>
      <c r="AW314" s="1171">
        <v>0</v>
      </c>
      <c r="AX314" s="1171">
        <v>0</v>
      </c>
      <c r="AY314" s="1171">
        <v>0</v>
      </c>
      <c r="AZ314" s="1171">
        <v>0</v>
      </c>
      <c r="BA314" s="1171">
        <v>0</v>
      </c>
      <c r="BB314" s="1171">
        <v>0</v>
      </c>
      <c r="BC314" s="1171">
        <v>0</v>
      </c>
      <c r="BD314" s="1171">
        <v>0</v>
      </c>
      <c r="BE314" s="1171">
        <v>0</v>
      </c>
      <c r="BF314" s="1171">
        <v>0</v>
      </c>
      <c r="BG314" s="1171">
        <v>0</v>
      </c>
      <c r="BH314" s="1171">
        <v>0</v>
      </c>
      <c r="BI314" s="1171">
        <v>0</v>
      </c>
      <c r="BJ314" s="1171">
        <v>188.1</v>
      </c>
      <c r="BK314" s="1171">
        <v>0</v>
      </c>
      <c r="BL314" s="1171">
        <v>0</v>
      </c>
      <c r="BM314" s="1171">
        <v>0</v>
      </c>
      <c r="BN314" s="1171">
        <v>0</v>
      </c>
      <c r="BO314" s="1171">
        <v>0</v>
      </c>
      <c r="BP314" s="1171">
        <v>0</v>
      </c>
      <c r="BQ314" s="1171">
        <v>0</v>
      </c>
      <c r="BR314" s="1171">
        <v>0</v>
      </c>
      <c r="BS314" s="1171">
        <v>0</v>
      </c>
      <c r="BT314" s="1171">
        <v>0</v>
      </c>
    </row>
    <row r="315" spans="1:72" s="408" customFormat="1" x14ac:dyDescent="0.3">
      <c r="A315" s="408">
        <v>662</v>
      </c>
      <c r="B315" s="409">
        <v>662</v>
      </c>
      <c r="C315" s="408">
        <v>662</v>
      </c>
      <c r="D315" s="408" t="s">
        <v>858</v>
      </c>
      <c r="F315" s="408">
        <v>0</v>
      </c>
      <c r="G315" s="408">
        <v>0</v>
      </c>
      <c r="H315" s="408">
        <v>0</v>
      </c>
      <c r="I315" s="408">
        <v>0</v>
      </c>
      <c r="J315" s="408">
        <v>0</v>
      </c>
      <c r="K315" s="408">
        <v>0</v>
      </c>
      <c r="L315" s="408">
        <v>0</v>
      </c>
      <c r="M315" s="408">
        <v>0</v>
      </c>
      <c r="N315" s="408">
        <v>33455</v>
      </c>
      <c r="O315" s="408">
        <v>0</v>
      </c>
      <c r="P315" s="408">
        <v>0</v>
      </c>
      <c r="Q315" s="408">
        <v>0</v>
      </c>
      <c r="R315" s="408">
        <v>79363</v>
      </c>
      <c r="S315" s="408">
        <v>674603</v>
      </c>
      <c r="T315" s="408">
        <v>0</v>
      </c>
      <c r="U315" s="408">
        <v>0</v>
      </c>
      <c r="V315" s="408">
        <v>0</v>
      </c>
      <c r="W315" s="408">
        <v>0</v>
      </c>
      <c r="X315" s="408">
        <v>0</v>
      </c>
      <c r="Y315" s="408">
        <v>0</v>
      </c>
      <c r="Z315" s="408">
        <v>0</v>
      </c>
      <c r="AA315" s="408">
        <v>0</v>
      </c>
      <c r="AB315" s="408">
        <v>0</v>
      </c>
      <c r="AC315" s="408">
        <v>0</v>
      </c>
      <c r="AD315" s="408">
        <v>0</v>
      </c>
      <c r="AE315" s="408">
        <v>0</v>
      </c>
      <c r="AF315" s="408">
        <v>0</v>
      </c>
      <c r="AG315" s="408">
        <v>0</v>
      </c>
      <c r="AH315" s="408">
        <v>0</v>
      </c>
      <c r="AI315" s="408">
        <v>0</v>
      </c>
      <c r="AJ315" s="408">
        <v>0</v>
      </c>
      <c r="AK315" s="408">
        <v>0</v>
      </c>
      <c r="AL315" s="408">
        <v>0</v>
      </c>
      <c r="AM315" s="408">
        <v>0</v>
      </c>
      <c r="AN315" s="408">
        <v>0</v>
      </c>
      <c r="AO315" s="408">
        <v>0</v>
      </c>
      <c r="AP315" s="408">
        <v>0</v>
      </c>
      <c r="AQ315" s="408">
        <v>0</v>
      </c>
      <c r="AR315" s="408">
        <v>0</v>
      </c>
      <c r="AS315" s="408">
        <v>0</v>
      </c>
      <c r="AT315" s="408">
        <v>0</v>
      </c>
      <c r="AU315" s="408">
        <v>0</v>
      </c>
      <c r="AV315" s="408">
        <v>0</v>
      </c>
      <c r="AW315" s="408">
        <v>0</v>
      </c>
      <c r="AX315" s="408">
        <v>0</v>
      </c>
      <c r="AY315" s="408">
        <v>0</v>
      </c>
      <c r="AZ315" s="408">
        <v>0</v>
      </c>
      <c r="BA315" s="408">
        <v>0</v>
      </c>
      <c r="BB315" s="408">
        <v>0</v>
      </c>
      <c r="BC315" s="408">
        <v>3014</v>
      </c>
      <c r="BD315" s="408">
        <v>0</v>
      </c>
      <c r="BE315" s="408">
        <v>0</v>
      </c>
      <c r="BF315" s="408">
        <v>0</v>
      </c>
      <c r="BG315" s="408">
        <v>0</v>
      </c>
      <c r="BH315" s="408">
        <v>0</v>
      </c>
      <c r="BI315" s="408">
        <v>0</v>
      </c>
      <c r="BJ315" s="408">
        <v>105518</v>
      </c>
      <c r="BK315" s="408">
        <v>0</v>
      </c>
      <c r="BL315" s="408">
        <v>0</v>
      </c>
      <c r="BM315" s="408">
        <v>0</v>
      </c>
      <c r="BN315" s="408">
        <v>0</v>
      </c>
      <c r="BO315" s="408">
        <v>0</v>
      </c>
      <c r="BP315" s="408">
        <v>0</v>
      </c>
      <c r="BQ315" s="408">
        <v>0</v>
      </c>
      <c r="BR315" s="408">
        <v>0</v>
      </c>
      <c r="BS315" s="408">
        <v>0</v>
      </c>
      <c r="BT315" s="408">
        <v>0</v>
      </c>
    </row>
    <row r="316" spans="1:72" s="408" customFormat="1" x14ac:dyDescent="0.3">
      <c r="A316" s="408">
        <v>663</v>
      </c>
      <c r="B316" s="409">
        <v>663</v>
      </c>
      <c r="C316" s="408">
        <v>663</v>
      </c>
      <c r="D316" s="408" t="s">
        <v>859</v>
      </c>
      <c r="F316" s="408">
        <v>0</v>
      </c>
      <c r="G316" s="408">
        <v>0</v>
      </c>
      <c r="H316" s="408">
        <v>0</v>
      </c>
      <c r="I316" s="408">
        <v>62184</v>
      </c>
      <c r="J316" s="408">
        <v>0</v>
      </c>
      <c r="K316" s="408">
        <v>0</v>
      </c>
      <c r="L316" s="408">
        <v>0</v>
      </c>
      <c r="M316" s="408">
        <v>0</v>
      </c>
      <c r="N316" s="408">
        <v>0</v>
      </c>
      <c r="O316" s="408">
        <v>0</v>
      </c>
      <c r="P316" s="408">
        <v>0</v>
      </c>
      <c r="Q316" s="408">
        <v>0</v>
      </c>
      <c r="R316" s="408">
        <v>0</v>
      </c>
      <c r="S316" s="408">
        <v>0</v>
      </c>
      <c r="T316" s="408">
        <v>0</v>
      </c>
      <c r="U316" s="408">
        <v>0</v>
      </c>
      <c r="V316" s="408">
        <v>0</v>
      </c>
      <c r="W316" s="408">
        <v>0</v>
      </c>
      <c r="X316" s="408">
        <v>0</v>
      </c>
      <c r="Y316" s="408">
        <v>0</v>
      </c>
      <c r="Z316" s="408">
        <v>0</v>
      </c>
      <c r="AA316" s="408">
        <v>0</v>
      </c>
      <c r="AB316" s="408">
        <v>0</v>
      </c>
      <c r="AC316" s="408">
        <v>0</v>
      </c>
      <c r="AD316" s="408">
        <v>378</v>
      </c>
      <c r="AE316" s="408">
        <v>0</v>
      </c>
      <c r="AF316" s="408">
        <v>0</v>
      </c>
      <c r="AG316" s="408">
        <v>0</v>
      </c>
      <c r="AH316" s="408">
        <v>0</v>
      </c>
      <c r="AI316" s="408">
        <v>0</v>
      </c>
      <c r="AJ316" s="408">
        <v>0</v>
      </c>
      <c r="AK316" s="408">
        <v>0</v>
      </c>
      <c r="AL316" s="408">
        <v>0</v>
      </c>
      <c r="AM316" s="408">
        <v>0</v>
      </c>
      <c r="AN316" s="408">
        <v>0</v>
      </c>
      <c r="AO316" s="408">
        <v>0</v>
      </c>
      <c r="AP316" s="408">
        <v>0</v>
      </c>
      <c r="AQ316" s="408">
        <v>0</v>
      </c>
      <c r="AR316" s="408">
        <v>0</v>
      </c>
      <c r="AS316" s="408">
        <v>0</v>
      </c>
      <c r="AT316" s="408">
        <v>0</v>
      </c>
      <c r="AU316" s="408">
        <v>0</v>
      </c>
      <c r="AV316" s="408">
        <v>0</v>
      </c>
      <c r="AW316" s="408">
        <v>0</v>
      </c>
      <c r="AX316" s="408">
        <v>0</v>
      </c>
      <c r="AY316" s="408">
        <v>0</v>
      </c>
      <c r="AZ316" s="408">
        <v>0</v>
      </c>
      <c r="BA316" s="408">
        <v>0</v>
      </c>
      <c r="BB316" s="408">
        <v>0</v>
      </c>
      <c r="BC316" s="408">
        <v>0</v>
      </c>
      <c r="BD316" s="408">
        <v>0</v>
      </c>
      <c r="BE316" s="408">
        <v>0</v>
      </c>
      <c r="BF316" s="408">
        <v>0</v>
      </c>
      <c r="BG316" s="408">
        <v>0</v>
      </c>
      <c r="BH316" s="408">
        <v>0</v>
      </c>
      <c r="BI316" s="408">
        <v>0</v>
      </c>
      <c r="BJ316" s="408">
        <v>0</v>
      </c>
      <c r="BK316" s="408">
        <v>0</v>
      </c>
      <c r="BL316" s="408">
        <v>0</v>
      </c>
      <c r="BM316" s="408">
        <v>0</v>
      </c>
      <c r="BN316" s="408">
        <v>0</v>
      </c>
      <c r="BO316" s="408">
        <v>0</v>
      </c>
      <c r="BP316" s="408">
        <v>0</v>
      </c>
      <c r="BQ316" s="408">
        <v>0</v>
      </c>
      <c r="BR316" s="408">
        <v>0</v>
      </c>
      <c r="BS316" s="408">
        <v>0</v>
      </c>
      <c r="BT316" s="408">
        <v>0</v>
      </c>
    </row>
    <row r="317" spans="1:72" s="408" customFormat="1" x14ac:dyDescent="0.3">
      <c r="A317" s="408">
        <v>906</v>
      </c>
      <c r="B317" s="408">
        <v>906</v>
      </c>
      <c r="C317" s="408">
        <v>906</v>
      </c>
      <c r="D317" s="408" t="s">
        <v>914</v>
      </c>
      <c r="F317" s="408">
        <v>1</v>
      </c>
      <c r="G317" s="408">
        <v>1</v>
      </c>
      <c r="H317" s="408">
        <v>1</v>
      </c>
      <c r="I317" s="408">
        <v>1</v>
      </c>
      <c r="J317" s="408">
        <v>1</v>
      </c>
      <c r="K317" s="408">
        <v>1</v>
      </c>
      <c r="L317" s="408">
        <v>1</v>
      </c>
      <c r="M317" s="408">
        <v>1</v>
      </c>
      <c r="N317" s="408">
        <v>1</v>
      </c>
      <c r="O317" s="408">
        <v>1</v>
      </c>
      <c r="P317" s="408">
        <v>1</v>
      </c>
      <c r="Q317" s="408">
        <v>1</v>
      </c>
      <c r="R317" s="408">
        <v>1</v>
      </c>
      <c r="S317" s="408">
        <v>1</v>
      </c>
      <c r="T317" s="408">
        <v>0</v>
      </c>
      <c r="U317" s="408">
        <v>1</v>
      </c>
      <c r="V317" s="408">
        <v>1</v>
      </c>
      <c r="W317" s="408">
        <v>1</v>
      </c>
      <c r="X317" s="408">
        <v>1</v>
      </c>
      <c r="Y317" s="408">
        <v>1</v>
      </c>
      <c r="Z317" s="408">
        <v>1</v>
      </c>
      <c r="AA317" s="408">
        <v>0</v>
      </c>
      <c r="AB317" s="408">
        <v>0</v>
      </c>
      <c r="AC317" s="408">
        <v>1</v>
      </c>
      <c r="AD317" s="408">
        <v>1</v>
      </c>
      <c r="AE317" s="408">
        <v>1</v>
      </c>
      <c r="AF317" s="408">
        <v>2</v>
      </c>
      <c r="AG317" s="408">
        <v>1</v>
      </c>
      <c r="AH317" s="408">
        <v>1</v>
      </c>
      <c r="AI317" s="408">
        <v>1</v>
      </c>
      <c r="AJ317" s="408">
        <v>1</v>
      </c>
      <c r="AK317" s="408">
        <v>1</v>
      </c>
      <c r="AL317" s="408">
        <v>0</v>
      </c>
      <c r="AM317" s="408">
        <v>0</v>
      </c>
      <c r="AN317" s="408">
        <v>1</v>
      </c>
      <c r="AO317" s="408">
        <v>1</v>
      </c>
      <c r="AP317" s="408">
        <v>1</v>
      </c>
      <c r="AQ317" s="408">
        <v>1</v>
      </c>
      <c r="AR317" s="408">
        <v>1</v>
      </c>
      <c r="AS317" s="408">
        <v>1</v>
      </c>
      <c r="AT317" s="408">
        <v>1</v>
      </c>
      <c r="AU317" s="408">
        <v>1</v>
      </c>
      <c r="AV317" s="408">
        <v>1</v>
      </c>
      <c r="AW317" s="408">
        <v>0</v>
      </c>
      <c r="AX317" s="408">
        <v>1</v>
      </c>
      <c r="AY317" s="408">
        <v>1</v>
      </c>
      <c r="AZ317" s="408">
        <v>1</v>
      </c>
      <c r="BA317" s="408">
        <v>1</v>
      </c>
      <c r="BB317" s="408">
        <v>1</v>
      </c>
      <c r="BC317" s="408">
        <v>1</v>
      </c>
      <c r="BD317" s="408">
        <v>1</v>
      </c>
      <c r="BE317" s="408">
        <v>1</v>
      </c>
      <c r="BF317" s="408">
        <v>1</v>
      </c>
      <c r="BG317" s="408">
        <v>1</v>
      </c>
      <c r="BH317" s="408">
        <v>1</v>
      </c>
      <c r="BI317" s="408">
        <v>1</v>
      </c>
      <c r="BJ317" s="408">
        <v>2</v>
      </c>
      <c r="BK317" s="408">
        <v>1</v>
      </c>
      <c r="BL317" s="408">
        <v>1</v>
      </c>
      <c r="BM317" s="408">
        <v>1</v>
      </c>
      <c r="BN317" s="408">
        <v>1</v>
      </c>
      <c r="BO317" s="408">
        <v>1</v>
      </c>
      <c r="BP317" s="408">
        <v>1</v>
      </c>
      <c r="BQ317" s="408">
        <v>1</v>
      </c>
      <c r="BR317" s="408">
        <v>1</v>
      </c>
      <c r="BS317" s="408">
        <v>1</v>
      </c>
      <c r="BT317" s="408">
        <v>1</v>
      </c>
    </row>
    <row r="318" spans="1:72" s="408" customFormat="1" x14ac:dyDescent="0.3">
      <c r="A318" s="408">
        <v>907</v>
      </c>
      <c r="B318" s="408">
        <v>907</v>
      </c>
      <c r="C318" s="408">
        <v>907</v>
      </c>
      <c r="D318" s="408" t="s">
        <v>915</v>
      </c>
      <c r="F318" s="408">
        <v>2</v>
      </c>
      <c r="G318" s="408">
        <v>2</v>
      </c>
      <c r="H318" s="408">
        <v>1</v>
      </c>
      <c r="I318" s="408">
        <v>2</v>
      </c>
      <c r="J318" s="408">
        <v>2</v>
      </c>
      <c r="K318" s="408">
        <v>2</v>
      </c>
      <c r="L318" s="408">
        <v>1</v>
      </c>
      <c r="M318" s="408">
        <v>2</v>
      </c>
      <c r="N318" s="408">
        <v>2</v>
      </c>
      <c r="O318" s="408">
        <v>2</v>
      </c>
      <c r="P318" s="408">
        <v>2</v>
      </c>
      <c r="Q318" s="408">
        <v>2</v>
      </c>
      <c r="R318" s="408">
        <v>2</v>
      </c>
      <c r="S318" s="408">
        <v>2</v>
      </c>
      <c r="T318" s="408">
        <v>0</v>
      </c>
      <c r="U318" s="408">
        <v>2</v>
      </c>
      <c r="V318" s="408">
        <v>2</v>
      </c>
      <c r="W318" s="408">
        <v>2</v>
      </c>
      <c r="X318" s="408">
        <v>2</v>
      </c>
      <c r="Y318" s="408">
        <v>1</v>
      </c>
      <c r="Z318" s="408">
        <v>2</v>
      </c>
      <c r="AA318" s="408">
        <v>0</v>
      </c>
      <c r="AB318" s="408">
        <v>0</v>
      </c>
      <c r="AC318" s="408">
        <v>2</v>
      </c>
      <c r="AD318" s="408">
        <v>2</v>
      </c>
      <c r="AE318" s="408">
        <v>2</v>
      </c>
      <c r="AF318" s="408">
        <v>2</v>
      </c>
      <c r="AG318" s="408">
        <v>2</v>
      </c>
      <c r="AH318" s="408">
        <v>2</v>
      </c>
      <c r="AI318" s="408">
        <v>2</v>
      </c>
      <c r="AJ318" s="408">
        <v>2</v>
      </c>
      <c r="AK318" s="408">
        <v>2</v>
      </c>
      <c r="AL318" s="408">
        <v>0</v>
      </c>
      <c r="AM318" s="408">
        <v>0</v>
      </c>
      <c r="AN318" s="408">
        <v>1</v>
      </c>
      <c r="AO318" s="408">
        <v>2</v>
      </c>
      <c r="AP318" s="408">
        <v>1</v>
      </c>
      <c r="AQ318" s="408">
        <v>2</v>
      </c>
      <c r="AR318" s="408">
        <v>2</v>
      </c>
      <c r="AS318" s="408">
        <v>1</v>
      </c>
      <c r="AT318" s="408">
        <v>1</v>
      </c>
      <c r="AU318" s="408">
        <v>1</v>
      </c>
      <c r="AV318" s="408">
        <v>2</v>
      </c>
      <c r="AW318" s="408">
        <v>0</v>
      </c>
      <c r="AX318" s="408">
        <v>1</v>
      </c>
      <c r="AY318" s="408">
        <v>1</v>
      </c>
      <c r="AZ318" s="408">
        <v>2</v>
      </c>
      <c r="BA318" s="408">
        <v>2</v>
      </c>
      <c r="BB318" s="408">
        <v>2</v>
      </c>
      <c r="BC318" s="408">
        <v>2</v>
      </c>
      <c r="BD318" s="408">
        <v>2</v>
      </c>
      <c r="BE318" s="408">
        <v>2</v>
      </c>
      <c r="BF318" s="408">
        <v>1</v>
      </c>
      <c r="BG318" s="408">
        <v>2</v>
      </c>
      <c r="BH318" s="408">
        <v>1</v>
      </c>
      <c r="BI318" s="408">
        <v>1</v>
      </c>
      <c r="BJ318" s="408">
        <v>2</v>
      </c>
      <c r="BK318" s="408">
        <v>2</v>
      </c>
      <c r="BL318" s="408">
        <v>1</v>
      </c>
      <c r="BM318" s="408">
        <v>1</v>
      </c>
      <c r="BN318" s="408">
        <v>2</v>
      </c>
      <c r="BO318" s="408">
        <v>2</v>
      </c>
      <c r="BP318" s="408">
        <v>2</v>
      </c>
      <c r="BQ318" s="408">
        <v>2</v>
      </c>
      <c r="BR318" s="408">
        <v>2</v>
      </c>
      <c r="BS318" s="408">
        <v>2</v>
      </c>
      <c r="BT318" s="408">
        <v>2</v>
      </c>
    </row>
    <row r="319" spans="1:72" s="408" customFormat="1" x14ac:dyDescent="0.3">
      <c r="A319" s="408">
        <v>951</v>
      </c>
      <c r="B319" s="408">
        <v>951</v>
      </c>
      <c r="C319" s="408">
        <v>951</v>
      </c>
      <c r="D319" s="408" t="s">
        <v>916</v>
      </c>
      <c r="F319" s="408">
        <v>2</v>
      </c>
      <c r="G319" s="408">
        <v>2</v>
      </c>
      <c r="H319" s="408">
        <v>2</v>
      </c>
      <c r="I319" s="408">
        <v>2</v>
      </c>
      <c r="J319" s="408">
        <v>2</v>
      </c>
      <c r="K319" s="408">
        <v>2</v>
      </c>
      <c r="L319" s="408">
        <v>2</v>
      </c>
      <c r="M319" s="408">
        <v>2</v>
      </c>
      <c r="N319" s="408">
        <v>2</v>
      </c>
      <c r="O319" s="408">
        <v>2</v>
      </c>
      <c r="P319" s="408">
        <v>2</v>
      </c>
      <c r="Q319" s="408">
        <v>2</v>
      </c>
      <c r="R319" s="408">
        <v>2</v>
      </c>
      <c r="S319" s="408">
        <v>1</v>
      </c>
      <c r="T319" s="408">
        <v>0</v>
      </c>
      <c r="U319" s="408">
        <v>2</v>
      </c>
      <c r="V319" s="408">
        <v>2</v>
      </c>
      <c r="W319" s="408">
        <v>2</v>
      </c>
      <c r="X319" s="408">
        <v>2</v>
      </c>
      <c r="Y319" s="408">
        <v>2</v>
      </c>
      <c r="Z319" s="408">
        <v>2</v>
      </c>
      <c r="AA319" s="408">
        <v>0</v>
      </c>
      <c r="AB319" s="408">
        <v>0</v>
      </c>
      <c r="AC319" s="408">
        <v>2</v>
      </c>
      <c r="AD319" s="408">
        <v>2</v>
      </c>
      <c r="AE319" s="408">
        <v>2</v>
      </c>
      <c r="AF319" s="408">
        <v>2</v>
      </c>
      <c r="AG319" s="408">
        <v>2</v>
      </c>
      <c r="AH319" s="408">
        <v>2</v>
      </c>
      <c r="AI319" s="408">
        <v>2</v>
      </c>
      <c r="AJ319" s="408">
        <v>2</v>
      </c>
      <c r="AK319" s="408">
        <v>2</v>
      </c>
      <c r="AL319" s="408">
        <v>0</v>
      </c>
      <c r="AM319" s="408">
        <v>0</v>
      </c>
      <c r="AN319" s="408">
        <v>2</v>
      </c>
      <c r="AO319" s="408">
        <v>2</v>
      </c>
      <c r="AP319" s="408">
        <v>1</v>
      </c>
      <c r="AQ319" s="408">
        <v>2</v>
      </c>
      <c r="AR319" s="408">
        <v>2</v>
      </c>
      <c r="AS319" s="408">
        <v>2</v>
      </c>
      <c r="AT319" s="408">
        <v>2</v>
      </c>
      <c r="AU319" s="408">
        <v>2</v>
      </c>
      <c r="AV319" s="408">
        <v>2</v>
      </c>
      <c r="AW319" s="408">
        <v>0</v>
      </c>
      <c r="AX319" s="408">
        <v>2</v>
      </c>
      <c r="AY319" s="408">
        <v>2</v>
      </c>
      <c r="AZ319" s="408">
        <v>2</v>
      </c>
      <c r="BA319" s="408">
        <v>2</v>
      </c>
      <c r="BB319" s="408">
        <v>2</v>
      </c>
      <c r="BC319" s="408">
        <v>2</v>
      </c>
      <c r="BD319" s="408">
        <v>2</v>
      </c>
      <c r="BE319" s="408">
        <v>2</v>
      </c>
      <c r="BF319" s="408">
        <v>2</v>
      </c>
      <c r="BG319" s="408">
        <v>2</v>
      </c>
      <c r="BH319" s="408">
        <v>2</v>
      </c>
      <c r="BI319" s="408">
        <v>2</v>
      </c>
      <c r="BJ319" s="408">
        <v>2</v>
      </c>
      <c r="BK319" s="408">
        <v>2</v>
      </c>
      <c r="BL319" s="408">
        <v>2</v>
      </c>
      <c r="BM319" s="408">
        <v>1</v>
      </c>
      <c r="BN319" s="408">
        <v>2</v>
      </c>
      <c r="BO319" s="408">
        <v>2</v>
      </c>
      <c r="BP319" s="408">
        <v>2</v>
      </c>
      <c r="BQ319" s="408">
        <v>2</v>
      </c>
      <c r="BR319" s="408">
        <v>2</v>
      </c>
      <c r="BS319" s="408">
        <v>2</v>
      </c>
      <c r="BT319" s="408">
        <v>2</v>
      </c>
    </row>
    <row r="320" spans="1:72" s="408" customFormat="1" x14ac:dyDescent="0.3">
      <c r="A320" s="408">
        <v>953</v>
      </c>
      <c r="B320" s="408">
        <v>953</v>
      </c>
      <c r="C320" s="408">
        <v>953</v>
      </c>
      <c r="D320" s="408" t="s">
        <v>917</v>
      </c>
      <c r="F320" s="408">
        <v>2</v>
      </c>
      <c r="G320" s="408">
        <v>2</v>
      </c>
      <c r="H320" s="408">
        <v>2</v>
      </c>
      <c r="I320" s="408">
        <v>2</v>
      </c>
      <c r="J320" s="408">
        <v>2</v>
      </c>
      <c r="K320" s="408">
        <v>2</v>
      </c>
      <c r="L320" s="408">
        <v>2</v>
      </c>
      <c r="M320" s="408">
        <v>2</v>
      </c>
      <c r="N320" s="408">
        <v>2</v>
      </c>
      <c r="O320" s="408">
        <v>2</v>
      </c>
      <c r="P320" s="408">
        <v>2</v>
      </c>
      <c r="Q320" s="408">
        <v>2</v>
      </c>
      <c r="R320" s="408">
        <v>2</v>
      </c>
      <c r="S320" s="408">
        <v>2</v>
      </c>
      <c r="T320" s="408">
        <v>0</v>
      </c>
      <c r="U320" s="408">
        <v>2</v>
      </c>
      <c r="V320" s="408">
        <v>2</v>
      </c>
      <c r="W320" s="408">
        <v>2</v>
      </c>
      <c r="X320" s="408">
        <v>2</v>
      </c>
      <c r="Y320" s="408">
        <v>2</v>
      </c>
      <c r="Z320" s="408">
        <v>2</v>
      </c>
      <c r="AA320" s="408">
        <v>0</v>
      </c>
      <c r="AB320" s="408">
        <v>0</v>
      </c>
      <c r="AC320" s="408">
        <v>2</v>
      </c>
      <c r="AD320" s="408">
        <v>2</v>
      </c>
      <c r="AE320" s="408">
        <v>2</v>
      </c>
      <c r="AF320" s="408">
        <v>2</v>
      </c>
      <c r="AG320" s="408">
        <v>2</v>
      </c>
      <c r="AH320" s="408">
        <v>2</v>
      </c>
      <c r="AI320" s="408">
        <v>2</v>
      </c>
      <c r="AJ320" s="408">
        <v>2</v>
      </c>
      <c r="AK320" s="408">
        <v>2</v>
      </c>
      <c r="AL320" s="408">
        <v>0</v>
      </c>
      <c r="AM320" s="408">
        <v>0</v>
      </c>
      <c r="AN320" s="408">
        <v>2</v>
      </c>
      <c r="AO320" s="408">
        <v>2</v>
      </c>
      <c r="AP320" s="408">
        <v>2</v>
      </c>
      <c r="AQ320" s="408">
        <v>2</v>
      </c>
      <c r="AR320" s="408">
        <v>2</v>
      </c>
      <c r="AS320" s="408">
        <v>2</v>
      </c>
      <c r="AT320" s="408">
        <v>2</v>
      </c>
      <c r="AU320" s="408">
        <v>2</v>
      </c>
      <c r="AV320" s="408">
        <v>2</v>
      </c>
      <c r="AW320" s="408">
        <v>0</v>
      </c>
      <c r="AX320" s="408">
        <v>2</v>
      </c>
      <c r="AY320" s="408">
        <v>2</v>
      </c>
      <c r="AZ320" s="408">
        <v>2</v>
      </c>
      <c r="BA320" s="408">
        <v>2</v>
      </c>
      <c r="BB320" s="408">
        <v>2</v>
      </c>
      <c r="BC320" s="408">
        <v>2</v>
      </c>
      <c r="BD320" s="408">
        <v>2</v>
      </c>
      <c r="BE320" s="408">
        <v>2</v>
      </c>
      <c r="BF320" s="408">
        <v>2</v>
      </c>
      <c r="BG320" s="408">
        <v>2</v>
      </c>
      <c r="BH320" s="408">
        <v>2</v>
      </c>
      <c r="BI320" s="408">
        <v>2</v>
      </c>
      <c r="BJ320" s="408">
        <v>2</v>
      </c>
      <c r="BK320" s="408">
        <v>2</v>
      </c>
      <c r="BL320" s="408">
        <v>2</v>
      </c>
      <c r="BM320" s="408">
        <v>2</v>
      </c>
      <c r="BN320" s="408">
        <v>2</v>
      </c>
      <c r="BO320" s="408">
        <v>2</v>
      </c>
      <c r="BP320" s="408">
        <v>2</v>
      </c>
      <c r="BQ320" s="408">
        <v>2</v>
      </c>
      <c r="BR320" s="408">
        <v>2</v>
      </c>
      <c r="BS320" s="408">
        <v>2</v>
      </c>
      <c r="BT320" s="408">
        <v>2</v>
      </c>
    </row>
    <row r="321" spans="1:72" s="408" customFormat="1" x14ac:dyDescent="0.3">
      <c r="A321" s="408">
        <v>955</v>
      </c>
      <c r="B321" s="408">
        <v>955</v>
      </c>
      <c r="C321" s="408">
        <v>955</v>
      </c>
      <c r="D321" s="408" t="s">
        <v>927</v>
      </c>
      <c r="F321" s="408">
        <v>0</v>
      </c>
      <c r="G321" s="408">
        <v>0</v>
      </c>
      <c r="H321" s="408">
        <v>0</v>
      </c>
      <c r="I321" s="408">
        <v>0</v>
      </c>
      <c r="J321" s="408">
        <v>0</v>
      </c>
      <c r="K321" s="408">
        <v>1</v>
      </c>
      <c r="L321" s="408">
        <v>0</v>
      </c>
      <c r="M321" s="408">
        <v>0</v>
      </c>
      <c r="N321" s="408">
        <v>1</v>
      </c>
      <c r="O321" s="408">
        <v>0</v>
      </c>
      <c r="P321" s="408">
        <v>0</v>
      </c>
      <c r="Q321" s="408">
        <v>0</v>
      </c>
      <c r="R321" s="408">
        <v>0</v>
      </c>
      <c r="S321" s="408">
        <v>0</v>
      </c>
      <c r="T321" s="408">
        <v>0</v>
      </c>
      <c r="U321" s="408">
        <v>0</v>
      </c>
      <c r="V321" s="408">
        <v>0</v>
      </c>
      <c r="W321" s="408">
        <v>0</v>
      </c>
      <c r="X321" s="408">
        <v>0</v>
      </c>
      <c r="Y321" s="408">
        <v>0</v>
      </c>
      <c r="Z321" s="408">
        <v>0</v>
      </c>
      <c r="AA321" s="408">
        <v>0</v>
      </c>
      <c r="AB321" s="408">
        <v>0</v>
      </c>
      <c r="AC321" s="408">
        <v>0</v>
      </c>
      <c r="AD321" s="408">
        <v>0</v>
      </c>
      <c r="AE321" s="408">
        <v>0</v>
      </c>
      <c r="AF321" s="408">
        <v>0</v>
      </c>
      <c r="AG321" s="408">
        <v>0</v>
      </c>
      <c r="AH321" s="408">
        <v>0</v>
      </c>
      <c r="AI321" s="408">
        <v>0</v>
      </c>
      <c r="AJ321" s="408">
        <v>0</v>
      </c>
      <c r="AK321" s="408">
        <v>0</v>
      </c>
      <c r="AL321" s="408">
        <v>0</v>
      </c>
      <c r="AM321" s="408">
        <v>0</v>
      </c>
      <c r="AN321" s="408">
        <v>0</v>
      </c>
      <c r="AO321" s="408">
        <v>0</v>
      </c>
      <c r="AP321" s="408">
        <v>0</v>
      </c>
      <c r="AQ321" s="408">
        <v>0</v>
      </c>
      <c r="AR321" s="408">
        <v>0</v>
      </c>
      <c r="AS321" s="408">
        <v>0</v>
      </c>
      <c r="AT321" s="408">
        <v>0</v>
      </c>
      <c r="AU321" s="408">
        <v>1</v>
      </c>
      <c r="AV321" s="408">
        <v>0</v>
      </c>
      <c r="AW321" s="408">
        <v>0</v>
      </c>
      <c r="AX321" s="408">
        <v>0</v>
      </c>
      <c r="AY321" s="408">
        <v>0</v>
      </c>
      <c r="AZ321" s="408">
        <v>0</v>
      </c>
      <c r="BA321" s="408">
        <v>0</v>
      </c>
      <c r="BB321" s="408">
        <v>0</v>
      </c>
      <c r="BC321" s="408">
        <v>0</v>
      </c>
      <c r="BD321" s="408">
        <v>0</v>
      </c>
      <c r="BE321" s="408">
        <v>0</v>
      </c>
      <c r="BF321" s="408">
        <v>1</v>
      </c>
      <c r="BG321" s="408">
        <v>0</v>
      </c>
      <c r="BH321" s="408">
        <v>0</v>
      </c>
      <c r="BI321" s="408">
        <v>0</v>
      </c>
      <c r="BJ321" s="408">
        <v>0</v>
      </c>
      <c r="BK321" s="408">
        <v>1</v>
      </c>
      <c r="BL321" s="408">
        <v>0</v>
      </c>
      <c r="BM321" s="408">
        <v>0</v>
      </c>
      <c r="BN321" s="408">
        <v>1</v>
      </c>
      <c r="BO321" s="408">
        <v>1</v>
      </c>
      <c r="BP321" s="408">
        <v>0</v>
      </c>
      <c r="BQ321" s="408">
        <v>0</v>
      </c>
      <c r="BR321" s="408">
        <v>0</v>
      </c>
      <c r="BS321" s="408">
        <v>1</v>
      </c>
      <c r="BT321" s="408">
        <v>0</v>
      </c>
    </row>
    <row r="322" spans="1:72" s="408" customFormat="1" x14ac:dyDescent="0.3">
      <c r="A322" s="408">
        <v>957</v>
      </c>
      <c r="B322" s="408">
        <v>957</v>
      </c>
      <c r="C322" s="408">
        <v>957</v>
      </c>
      <c r="D322" s="408" t="s">
        <v>928</v>
      </c>
      <c r="F322" s="408">
        <v>0</v>
      </c>
      <c r="G322" s="408">
        <v>1</v>
      </c>
      <c r="H322" s="408">
        <v>0</v>
      </c>
      <c r="I322" s="408">
        <v>0</v>
      </c>
      <c r="J322" s="408">
        <v>0</v>
      </c>
      <c r="K322" s="408">
        <v>1</v>
      </c>
      <c r="L322" s="408">
        <v>0</v>
      </c>
      <c r="M322" s="408">
        <v>0</v>
      </c>
      <c r="N322" s="408">
        <v>0</v>
      </c>
      <c r="O322" s="408">
        <v>0</v>
      </c>
      <c r="P322" s="408">
        <v>0</v>
      </c>
      <c r="Q322" s="408">
        <v>0</v>
      </c>
      <c r="R322" s="408">
        <v>0</v>
      </c>
      <c r="S322" s="408">
        <v>0</v>
      </c>
      <c r="T322" s="408">
        <v>0</v>
      </c>
      <c r="U322" s="408">
        <v>0</v>
      </c>
      <c r="V322" s="408">
        <v>0</v>
      </c>
      <c r="W322" s="408">
        <v>0</v>
      </c>
      <c r="X322" s="408">
        <v>0</v>
      </c>
      <c r="Y322" s="408">
        <v>0</v>
      </c>
      <c r="Z322" s="408">
        <v>1</v>
      </c>
      <c r="AA322" s="408">
        <v>0</v>
      </c>
      <c r="AB322" s="408">
        <v>0</v>
      </c>
      <c r="AC322" s="408">
        <v>0</v>
      </c>
      <c r="AD322" s="408">
        <v>0</v>
      </c>
      <c r="AE322" s="408">
        <v>1</v>
      </c>
      <c r="AF322" s="408">
        <v>0</v>
      </c>
      <c r="AG322" s="408">
        <v>0</v>
      </c>
      <c r="AH322" s="408">
        <v>1</v>
      </c>
      <c r="AI322" s="408">
        <v>0</v>
      </c>
      <c r="AJ322" s="408">
        <v>0</v>
      </c>
      <c r="AK322" s="408">
        <v>0</v>
      </c>
      <c r="AL322" s="408">
        <v>0</v>
      </c>
      <c r="AM322" s="408">
        <v>0</v>
      </c>
      <c r="AN322" s="408">
        <v>0</v>
      </c>
      <c r="AO322" s="408">
        <v>0</v>
      </c>
      <c r="AP322" s="408">
        <v>0</v>
      </c>
      <c r="AQ322" s="408">
        <v>0</v>
      </c>
      <c r="AR322" s="408">
        <v>0</v>
      </c>
      <c r="AS322" s="408">
        <v>0</v>
      </c>
      <c r="AT322" s="408">
        <v>0</v>
      </c>
      <c r="AU322" s="408">
        <v>0</v>
      </c>
      <c r="AV322" s="408">
        <v>0</v>
      </c>
      <c r="AW322" s="408">
        <v>0</v>
      </c>
      <c r="AX322" s="408">
        <v>0</v>
      </c>
      <c r="AY322" s="408">
        <v>0</v>
      </c>
      <c r="AZ322" s="408">
        <v>0</v>
      </c>
      <c r="BA322" s="408">
        <v>0</v>
      </c>
      <c r="BB322" s="408">
        <v>0</v>
      </c>
      <c r="BC322" s="408">
        <v>0</v>
      </c>
      <c r="BD322" s="408">
        <v>0</v>
      </c>
      <c r="BE322" s="408">
        <v>0</v>
      </c>
      <c r="BF322" s="408">
        <v>0</v>
      </c>
      <c r="BG322" s="408">
        <v>0</v>
      </c>
      <c r="BH322" s="408">
        <v>0</v>
      </c>
      <c r="BI322" s="408">
        <v>0</v>
      </c>
      <c r="BJ322" s="408">
        <v>1</v>
      </c>
      <c r="BK322" s="408">
        <v>0</v>
      </c>
      <c r="BL322" s="408">
        <v>0</v>
      </c>
      <c r="BM322" s="408">
        <v>0</v>
      </c>
      <c r="BN322" s="408">
        <v>0</v>
      </c>
      <c r="BO322" s="408">
        <v>0</v>
      </c>
      <c r="BP322" s="408">
        <v>1</v>
      </c>
      <c r="BQ322" s="408">
        <v>0</v>
      </c>
      <c r="BR322" s="408">
        <v>0</v>
      </c>
      <c r="BS322" s="408">
        <v>1</v>
      </c>
      <c r="BT322" s="408">
        <v>0</v>
      </c>
    </row>
    <row r="323" spans="1:72" s="408" customFormat="1" x14ac:dyDescent="0.3">
      <c r="A323" s="408">
        <v>959</v>
      </c>
      <c r="B323" s="408">
        <v>959</v>
      </c>
      <c r="C323" s="408">
        <v>959</v>
      </c>
      <c r="D323" s="408" t="s">
        <v>918</v>
      </c>
      <c r="F323" s="408">
        <v>2</v>
      </c>
      <c r="G323" s="408">
        <v>2</v>
      </c>
      <c r="H323" s="408">
        <v>2</v>
      </c>
      <c r="I323" s="408">
        <v>2</v>
      </c>
      <c r="J323" s="408">
        <v>3</v>
      </c>
      <c r="K323" s="408">
        <v>2</v>
      </c>
      <c r="L323" s="408">
        <v>2</v>
      </c>
      <c r="M323" s="408">
        <v>2</v>
      </c>
      <c r="N323" s="408">
        <v>2</v>
      </c>
      <c r="O323" s="408">
        <v>3</v>
      </c>
      <c r="P323" s="408">
        <v>2</v>
      </c>
      <c r="Q323" s="408">
        <v>2</v>
      </c>
      <c r="R323" s="408">
        <v>2</v>
      </c>
      <c r="S323" s="408">
        <v>2</v>
      </c>
      <c r="T323" s="408">
        <v>0</v>
      </c>
      <c r="U323" s="408">
        <v>3</v>
      </c>
      <c r="V323" s="408">
        <v>2</v>
      </c>
      <c r="W323" s="408">
        <v>2</v>
      </c>
      <c r="X323" s="408">
        <v>2</v>
      </c>
      <c r="Y323" s="408">
        <v>2</v>
      </c>
      <c r="Z323" s="408">
        <v>2</v>
      </c>
      <c r="AA323" s="408">
        <v>0</v>
      </c>
      <c r="AB323" s="408">
        <v>0</v>
      </c>
      <c r="AC323" s="408">
        <v>2</v>
      </c>
      <c r="AD323" s="408">
        <v>2</v>
      </c>
      <c r="AE323" s="408">
        <v>2</v>
      </c>
      <c r="AF323" s="408">
        <v>2</v>
      </c>
      <c r="AG323" s="408">
        <v>2</v>
      </c>
      <c r="AH323" s="408">
        <v>3</v>
      </c>
      <c r="AI323" s="408">
        <v>2</v>
      </c>
      <c r="AJ323" s="408">
        <v>2</v>
      </c>
      <c r="AK323" s="408">
        <v>2</v>
      </c>
      <c r="AL323" s="408">
        <v>0</v>
      </c>
      <c r="AM323" s="408">
        <v>0</v>
      </c>
      <c r="AN323" s="408">
        <v>3</v>
      </c>
      <c r="AO323" s="408">
        <v>2</v>
      </c>
      <c r="AP323" s="408">
        <v>2</v>
      </c>
      <c r="AQ323" s="408">
        <v>2</v>
      </c>
      <c r="AR323" s="408">
        <v>3</v>
      </c>
      <c r="AS323" s="408">
        <v>2</v>
      </c>
      <c r="AT323" s="408">
        <v>2</v>
      </c>
      <c r="AU323" s="408">
        <v>2</v>
      </c>
      <c r="AV323" s="408">
        <v>3</v>
      </c>
      <c r="AW323" s="408">
        <v>0</v>
      </c>
      <c r="AX323" s="408">
        <v>2</v>
      </c>
      <c r="AY323" s="408">
        <v>2</v>
      </c>
      <c r="AZ323" s="408">
        <v>2</v>
      </c>
      <c r="BA323" s="408">
        <v>3</v>
      </c>
      <c r="BB323" s="408">
        <v>3</v>
      </c>
      <c r="BC323" s="408">
        <v>2</v>
      </c>
      <c r="BD323" s="408">
        <v>2</v>
      </c>
      <c r="BE323" s="408">
        <v>3</v>
      </c>
      <c r="BF323" s="408">
        <v>2</v>
      </c>
      <c r="BG323" s="408">
        <v>2</v>
      </c>
      <c r="BH323" s="408">
        <v>2</v>
      </c>
      <c r="BI323" s="408">
        <v>2</v>
      </c>
      <c r="BJ323" s="408">
        <v>2</v>
      </c>
      <c r="BK323" s="408">
        <v>2</v>
      </c>
      <c r="BL323" s="408">
        <v>2</v>
      </c>
      <c r="BM323" s="408">
        <v>2</v>
      </c>
      <c r="BN323" s="408">
        <v>2</v>
      </c>
      <c r="BO323" s="408">
        <v>2</v>
      </c>
      <c r="BP323" s="408">
        <v>2</v>
      </c>
      <c r="BQ323" s="408">
        <v>3</v>
      </c>
      <c r="BR323" s="408">
        <v>2</v>
      </c>
      <c r="BS323" s="408">
        <v>3</v>
      </c>
      <c r="BT323" s="408">
        <v>2</v>
      </c>
    </row>
    <row r="324" spans="1:72" s="408" customFormat="1" x14ac:dyDescent="0.3">
      <c r="A324" s="408">
        <v>961</v>
      </c>
      <c r="B324" s="408">
        <v>961</v>
      </c>
      <c r="C324" s="408">
        <v>961</v>
      </c>
      <c r="D324" s="408" t="s">
        <v>919</v>
      </c>
      <c r="F324" s="408">
        <v>2</v>
      </c>
      <c r="G324" s="408">
        <v>2</v>
      </c>
      <c r="H324" s="408">
        <v>2</v>
      </c>
      <c r="I324" s="408">
        <v>2</v>
      </c>
      <c r="J324" s="408">
        <v>3</v>
      </c>
      <c r="K324" s="408">
        <v>2</v>
      </c>
      <c r="L324" s="408">
        <v>2</v>
      </c>
      <c r="M324" s="408">
        <v>2</v>
      </c>
      <c r="N324" s="408">
        <v>2</v>
      </c>
      <c r="O324" s="408">
        <v>3</v>
      </c>
      <c r="P324" s="408">
        <v>2</v>
      </c>
      <c r="Q324" s="408">
        <v>2</v>
      </c>
      <c r="R324" s="408">
        <v>2</v>
      </c>
      <c r="S324" s="408">
        <v>2</v>
      </c>
      <c r="T324" s="408">
        <v>0</v>
      </c>
      <c r="U324" s="408">
        <v>3</v>
      </c>
      <c r="V324" s="408">
        <v>2</v>
      </c>
      <c r="W324" s="408">
        <v>2</v>
      </c>
      <c r="X324" s="408">
        <v>2</v>
      </c>
      <c r="Y324" s="408">
        <v>2</v>
      </c>
      <c r="Z324" s="408">
        <v>2</v>
      </c>
      <c r="AA324" s="408">
        <v>0</v>
      </c>
      <c r="AB324" s="408">
        <v>0</v>
      </c>
      <c r="AC324" s="408">
        <v>2</v>
      </c>
      <c r="AD324" s="408">
        <v>2</v>
      </c>
      <c r="AE324" s="408">
        <v>3</v>
      </c>
      <c r="AF324" s="408">
        <v>2</v>
      </c>
      <c r="AG324" s="408">
        <v>2</v>
      </c>
      <c r="AH324" s="408">
        <v>3</v>
      </c>
      <c r="AI324" s="408">
        <v>2</v>
      </c>
      <c r="AJ324" s="408">
        <v>2</v>
      </c>
      <c r="AK324" s="408">
        <v>2</v>
      </c>
      <c r="AL324" s="408">
        <v>0</v>
      </c>
      <c r="AM324" s="408">
        <v>0</v>
      </c>
      <c r="AN324" s="408">
        <v>3</v>
      </c>
      <c r="AO324" s="408">
        <v>2</v>
      </c>
      <c r="AP324" s="408">
        <v>2</v>
      </c>
      <c r="AQ324" s="408">
        <v>2</v>
      </c>
      <c r="AR324" s="408">
        <v>3</v>
      </c>
      <c r="AS324" s="408">
        <v>2</v>
      </c>
      <c r="AT324" s="408">
        <v>2</v>
      </c>
      <c r="AU324" s="408">
        <v>2</v>
      </c>
      <c r="AV324" s="408">
        <v>2</v>
      </c>
      <c r="AW324" s="408">
        <v>0</v>
      </c>
      <c r="AX324" s="408">
        <v>2</v>
      </c>
      <c r="AY324" s="408">
        <v>2</v>
      </c>
      <c r="AZ324" s="408">
        <v>2</v>
      </c>
      <c r="BA324" s="408">
        <v>3</v>
      </c>
      <c r="BB324" s="408">
        <v>3</v>
      </c>
      <c r="BC324" s="408">
        <v>2</v>
      </c>
      <c r="BD324" s="408">
        <v>2</v>
      </c>
      <c r="BE324" s="408">
        <v>2</v>
      </c>
      <c r="BF324" s="408">
        <v>2</v>
      </c>
      <c r="BG324" s="408">
        <v>2</v>
      </c>
      <c r="BH324" s="408">
        <v>2</v>
      </c>
      <c r="BI324" s="408">
        <v>2</v>
      </c>
      <c r="BJ324" s="408">
        <v>2</v>
      </c>
      <c r="BK324" s="408">
        <v>2</v>
      </c>
      <c r="BL324" s="408">
        <v>2</v>
      </c>
      <c r="BM324" s="408">
        <v>2</v>
      </c>
      <c r="BN324" s="408">
        <v>2</v>
      </c>
      <c r="BO324" s="408">
        <v>2</v>
      </c>
      <c r="BP324" s="408">
        <v>2</v>
      </c>
      <c r="BQ324" s="408">
        <v>3</v>
      </c>
      <c r="BR324" s="408">
        <v>2</v>
      </c>
      <c r="BS324" s="408">
        <v>3</v>
      </c>
      <c r="BT324" s="408">
        <v>2</v>
      </c>
    </row>
    <row r="325" spans="1:72" s="408" customFormat="1" x14ac:dyDescent="0.3">
      <c r="A325" s="408">
        <v>963</v>
      </c>
      <c r="B325" s="408">
        <v>963</v>
      </c>
      <c r="C325" s="408">
        <v>963</v>
      </c>
      <c r="D325" s="408" t="s">
        <v>920</v>
      </c>
      <c r="F325" s="408">
        <v>3</v>
      </c>
      <c r="G325" s="408">
        <v>1</v>
      </c>
      <c r="H325" s="408">
        <v>3</v>
      </c>
      <c r="I325" s="408">
        <v>3</v>
      </c>
      <c r="J325" s="408">
        <v>3</v>
      </c>
      <c r="K325" s="408">
        <v>3</v>
      </c>
      <c r="L325" s="408">
        <v>1</v>
      </c>
      <c r="M325" s="408">
        <v>1</v>
      </c>
      <c r="N325" s="408">
        <v>1</v>
      </c>
      <c r="O325" s="408">
        <v>3</v>
      </c>
      <c r="P325" s="408">
        <v>3</v>
      </c>
      <c r="Q325" s="408">
        <v>3</v>
      </c>
      <c r="R325" s="408">
        <v>3</v>
      </c>
      <c r="S325" s="408">
        <v>1</v>
      </c>
      <c r="T325" s="408">
        <v>0</v>
      </c>
      <c r="U325" s="408">
        <v>3</v>
      </c>
      <c r="V325" s="408">
        <v>1</v>
      </c>
      <c r="W325" s="408">
        <v>3</v>
      </c>
      <c r="X325" s="408">
        <v>3</v>
      </c>
      <c r="Y325" s="408">
        <v>3</v>
      </c>
      <c r="Z325" s="408">
        <v>2</v>
      </c>
      <c r="AA325" s="408">
        <v>0</v>
      </c>
      <c r="AB325" s="408">
        <v>0</v>
      </c>
      <c r="AC325" s="408">
        <v>1</v>
      </c>
      <c r="AD325" s="408">
        <v>3</v>
      </c>
      <c r="AE325" s="408">
        <v>3</v>
      </c>
      <c r="AF325" s="408">
        <v>3</v>
      </c>
      <c r="AG325" s="408">
        <v>3</v>
      </c>
      <c r="AH325" s="408">
        <v>3</v>
      </c>
      <c r="AI325" s="408">
        <v>3</v>
      </c>
      <c r="AJ325" s="408">
        <v>3</v>
      </c>
      <c r="AK325" s="408">
        <v>3</v>
      </c>
      <c r="AL325" s="408">
        <v>0</v>
      </c>
      <c r="AM325" s="408">
        <v>0</v>
      </c>
      <c r="AN325" s="408">
        <v>3</v>
      </c>
      <c r="AO325" s="408">
        <v>2</v>
      </c>
      <c r="AP325" s="408">
        <v>3</v>
      </c>
      <c r="AQ325" s="408">
        <v>3</v>
      </c>
      <c r="AR325" s="408">
        <v>3</v>
      </c>
      <c r="AS325" s="408">
        <v>1</v>
      </c>
      <c r="AT325" s="408">
        <v>1</v>
      </c>
      <c r="AU325" s="408">
        <v>3</v>
      </c>
      <c r="AV325" s="408">
        <v>3</v>
      </c>
      <c r="AW325" s="408">
        <v>0</v>
      </c>
      <c r="AX325" s="408">
        <v>3</v>
      </c>
      <c r="AY325" s="408">
        <v>3</v>
      </c>
      <c r="AZ325" s="408">
        <v>3</v>
      </c>
      <c r="BA325" s="408">
        <v>3</v>
      </c>
      <c r="BB325" s="408">
        <v>3</v>
      </c>
      <c r="BC325" s="408">
        <v>3</v>
      </c>
      <c r="BD325" s="408">
        <v>3</v>
      </c>
      <c r="BE325" s="408">
        <v>3</v>
      </c>
      <c r="BF325" s="408">
        <v>1</v>
      </c>
      <c r="BG325" s="408">
        <v>1</v>
      </c>
      <c r="BH325" s="408">
        <v>3</v>
      </c>
      <c r="BI325" s="408">
        <v>3</v>
      </c>
      <c r="BJ325" s="408">
        <v>3</v>
      </c>
      <c r="BK325" s="408">
        <v>3</v>
      </c>
      <c r="BL325" s="408">
        <v>3</v>
      </c>
      <c r="BM325" s="408">
        <v>3</v>
      </c>
      <c r="BN325" s="408">
        <v>3</v>
      </c>
      <c r="BO325" s="408">
        <v>3</v>
      </c>
      <c r="BP325" s="408">
        <v>1</v>
      </c>
      <c r="BQ325" s="408">
        <v>3</v>
      </c>
      <c r="BR325" s="408">
        <v>1</v>
      </c>
      <c r="BS325" s="408">
        <v>3</v>
      </c>
      <c r="BT325" s="408">
        <v>3</v>
      </c>
    </row>
    <row r="326" spans="1:72" s="408" customFormat="1" x14ac:dyDescent="0.3">
      <c r="A326" s="408">
        <v>965</v>
      </c>
      <c r="B326" s="408">
        <v>965</v>
      </c>
      <c r="C326" s="408">
        <v>965</v>
      </c>
      <c r="D326" s="408" t="s">
        <v>921</v>
      </c>
      <c r="F326" s="408">
        <v>1</v>
      </c>
      <c r="G326" s="408">
        <v>1</v>
      </c>
      <c r="H326" s="408">
        <v>1</v>
      </c>
      <c r="I326" s="408">
        <v>1</v>
      </c>
      <c r="J326" s="408">
        <v>1</v>
      </c>
      <c r="K326" s="408">
        <v>2</v>
      </c>
      <c r="L326" s="408">
        <v>1</v>
      </c>
      <c r="M326" s="408">
        <v>1</v>
      </c>
      <c r="N326" s="408">
        <v>1</v>
      </c>
      <c r="O326" s="408">
        <v>1</v>
      </c>
      <c r="P326" s="408">
        <v>1</v>
      </c>
      <c r="Q326" s="408">
        <v>1</v>
      </c>
      <c r="R326" s="408">
        <v>1</v>
      </c>
      <c r="S326" s="408">
        <v>1</v>
      </c>
      <c r="T326" s="408">
        <v>0</v>
      </c>
      <c r="U326" s="408">
        <v>1</v>
      </c>
      <c r="V326" s="408">
        <v>1</v>
      </c>
      <c r="W326" s="408">
        <v>1</v>
      </c>
      <c r="X326" s="408">
        <v>1</v>
      </c>
      <c r="Y326" s="408">
        <v>1</v>
      </c>
      <c r="Z326" s="408">
        <v>1</v>
      </c>
      <c r="AA326" s="408">
        <v>0</v>
      </c>
      <c r="AB326" s="408">
        <v>0</v>
      </c>
      <c r="AC326" s="408">
        <v>1</v>
      </c>
      <c r="AD326" s="408">
        <v>1</v>
      </c>
      <c r="AE326" s="408">
        <v>1</v>
      </c>
      <c r="AF326" s="408">
        <v>1</v>
      </c>
      <c r="AG326" s="408">
        <v>1</v>
      </c>
      <c r="AH326" s="408">
        <v>1</v>
      </c>
      <c r="AI326" s="408">
        <v>1</v>
      </c>
      <c r="AJ326" s="408">
        <v>1</v>
      </c>
      <c r="AK326" s="408">
        <v>1</v>
      </c>
      <c r="AL326" s="408">
        <v>0</v>
      </c>
      <c r="AM326" s="408">
        <v>0</v>
      </c>
      <c r="AN326" s="408">
        <v>1</v>
      </c>
      <c r="AO326" s="408">
        <v>1</v>
      </c>
      <c r="AP326" s="408">
        <v>1</v>
      </c>
      <c r="AQ326" s="408">
        <v>1</v>
      </c>
      <c r="AR326" s="408">
        <v>1</v>
      </c>
      <c r="AS326" s="408">
        <v>1</v>
      </c>
      <c r="AT326" s="408">
        <v>1</v>
      </c>
      <c r="AU326" s="408">
        <v>1</v>
      </c>
      <c r="AV326" s="408">
        <v>1</v>
      </c>
      <c r="AW326" s="408">
        <v>0</v>
      </c>
      <c r="AX326" s="408">
        <v>1</v>
      </c>
      <c r="AY326" s="408">
        <v>1</v>
      </c>
      <c r="AZ326" s="408">
        <v>1</v>
      </c>
      <c r="BA326" s="408">
        <v>1</v>
      </c>
      <c r="BB326" s="408">
        <v>1</v>
      </c>
      <c r="BC326" s="408">
        <v>1</v>
      </c>
      <c r="BD326" s="408">
        <v>1</v>
      </c>
      <c r="BE326" s="408">
        <v>1</v>
      </c>
      <c r="BF326" s="408">
        <v>1</v>
      </c>
      <c r="BG326" s="408">
        <v>1</v>
      </c>
      <c r="BH326" s="408">
        <v>1</v>
      </c>
      <c r="BI326" s="408">
        <v>1</v>
      </c>
      <c r="BJ326" s="408">
        <v>1</v>
      </c>
      <c r="BK326" s="408">
        <v>1</v>
      </c>
      <c r="BL326" s="408">
        <v>1</v>
      </c>
      <c r="BM326" s="408">
        <v>1</v>
      </c>
      <c r="BN326" s="408">
        <v>1</v>
      </c>
      <c r="BO326" s="408">
        <v>1</v>
      </c>
      <c r="BP326" s="408">
        <v>1</v>
      </c>
      <c r="BQ326" s="408">
        <v>1</v>
      </c>
      <c r="BR326" s="408">
        <v>1</v>
      </c>
      <c r="BS326" s="408">
        <v>1</v>
      </c>
      <c r="BT326" s="408">
        <v>1</v>
      </c>
    </row>
    <row r="327" spans="1:72" s="408" customFormat="1" x14ac:dyDescent="0.3">
      <c r="A327" s="408">
        <v>603</v>
      </c>
      <c r="B327" s="408">
        <v>603</v>
      </c>
      <c r="C327" s="408">
        <v>603</v>
      </c>
      <c r="D327" s="408" t="s">
        <v>926</v>
      </c>
      <c r="F327" s="408">
        <v>4</v>
      </c>
      <c r="G327" s="408">
        <v>2</v>
      </c>
      <c r="H327" s="408">
        <v>2</v>
      </c>
      <c r="I327" s="408">
        <v>0</v>
      </c>
      <c r="J327" s="408">
        <v>0</v>
      </c>
      <c r="K327" s="408">
        <v>4</v>
      </c>
      <c r="L327" s="408">
        <v>0</v>
      </c>
      <c r="M327" s="408">
        <v>0</v>
      </c>
      <c r="N327" s="408">
        <v>0</v>
      </c>
      <c r="O327" s="408">
        <v>0</v>
      </c>
      <c r="P327" s="408">
        <v>0</v>
      </c>
      <c r="Q327" s="408">
        <v>0</v>
      </c>
      <c r="R327" s="408">
        <v>0</v>
      </c>
      <c r="S327" s="408">
        <v>4</v>
      </c>
      <c r="T327" s="408">
        <v>0</v>
      </c>
      <c r="U327" s="408">
        <v>2</v>
      </c>
      <c r="V327" s="408">
        <v>0</v>
      </c>
      <c r="W327" s="408">
        <v>0</v>
      </c>
      <c r="X327" s="408">
        <v>1</v>
      </c>
      <c r="Y327" s="408">
        <v>0</v>
      </c>
      <c r="Z327" s="408">
        <v>2</v>
      </c>
      <c r="AA327" s="408">
        <v>0</v>
      </c>
      <c r="AB327" s="408">
        <v>0</v>
      </c>
      <c r="AC327" s="408">
        <v>0</v>
      </c>
      <c r="AD327" s="408">
        <v>0</v>
      </c>
      <c r="AE327" s="408">
        <v>2</v>
      </c>
      <c r="AF327" s="408">
        <v>5</v>
      </c>
      <c r="AG327" s="408">
        <v>0</v>
      </c>
      <c r="AH327" s="408">
        <v>6</v>
      </c>
      <c r="AI327" s="408">
        <v>0</v>
      </c>
      <c r="AJ327" s="408">
        <v>1</v>
      </c>
      <c r="AK327" s="408">
        <v>1</v>
      </c>
      <c r="AL327" s="408">
        <v>0</v>
      </c>
      <c r="AM327" s="408">
        <v>0</v>
      </c>
      <c r="AN327" s="408">
        <v>0</v>
      </c>
      <c r="AO327" s="408">
        <v>4</v>
      </c>
      <c r="AP327" s="408">
        <v>0</v>
      </c>
      <c r="AQ327" s="408">
        <v>1</v>
      </c>
      <c r="AR327" s="408">
        <v>0</v>
      </c>
      <c r="AS327" s="408">
        <v>4</v>
      </c>
      <c r="AT327" s="408">
        <v>0</v>
      </c>
      <c r="AU327" s="408">
        <v>0</v>
      </c>
      <c r="AV327" s="408">
        <v>1</v>
      </c>
      <c r="AW327" s="408">
        <v>0</v>
      </c>
      <c r="AX327" s="408">
        <v>0</v>
      </c>
      <c r="AY327" s="408">
        <v>0</v>
      </c>
      <c r="AZ327" s="408">
        <v>1</v>
      </c>
      <c r="BA327" s="408">
        <v>4</v>
      </c>
      <c r="BB327" s="408">
        <v>1</v>
      </c>
      <c r="BC327" s="408">
        <v>1</v>
      </c>
      <c r="BD327" s="408">
        <v>0</v>
      </c>
      <c r="BE327" s="408">
        <v>0</v>
      </c>
      <c r="BF327" s="408">
        <v>4</v>
      </c>
      <c r="BG327" s="408">
        <v>0</v>
      </c>
      <c r="BH327" s="408">
        <v>2</v>
      </c>
      <c r="BI327" s="408">
        <v>0</v>
      </c>
      <c r="BJ327" s="408">
        <v>1</v>
      </c>
      <c r="BK327" s="408">
        <v>2</v>
      </c>
      <c r="BL327" s="408">
        <v>0</v>
      </c>
      <c r="BM327" s="408">
        <v>0</v>
      </c>
      <c r="BN327" s="408">
        <v>0</v>
      </c>
      <c r="BO327" s="408">
        <v>2</v>
      </c>
      <c r="BP327" s="408">
        <v>2</v>
      </c>
      <c r="BQ327" s="408">
        <v>0</v>
      </c>
      <c r="BR327" s="408">
        <v>0</v>
      </c>
      <c r="BS327" s="408">
        <v>4</v>
      </c>
      <c r="BT327" s="408">
        <v>0</v>
      </c>
    </row>
    <row r="328" spans="1:72" s="408" customFormat="1" x14ac:dyDescent="0.3">
      <c r="A328" s="408">
        <v>929</v>
      </c>
      <c r="B328" s="408">
        <v>929</v>
      </c>
      <c r="C328" s="408">
        <v>929</v>
      </c>
      <c r="D328" s="408" t="s">
        <v>922</v>
      </c>
      <c r="F328" s="408">
        <v>1</v>
      </c>
      <c r="G328" s="408">
        <v>1</v>
      </c>
      <c r="H328" s="408">
        <v>2</v>
      </c>
      <c r="I328" s="408">
        <v>0</v>
      </c>
      <c r="J328" s="408">
        <v>0</v>
      </c>
      <c r="K328" s="408">
        <v>1</v>
      </c>
      <c r="L328" s="408">
        <v>0</v>
      </c>
      <c r="M328" s="408">
        <v>0</v>
      </c>
      <c r="N328" s="408">
        <v>0</v>
      </c>
      <c r="O328" s="408">
        <v>0</v>
      </c>
      <c r="P328" s="408">
        <v>0</v>
      </c>
      <c r="Q328" s="408">
        <v>0</v>
      </c>
      <c r="R328" s="408">
        <v>0</v>
      </c>
      <c r="S328" s="408">
        <v>2</v>
      </c>
      <c r="T328" s="408">
        <v>0</v>
      </c>
      <c r="U328" s="408">
        <v>2</v>
      </c>
      <c r="V328" s="408">
        <v>0</v>
      </c>
      <c r="W328" s="408">
        <v>1</v>
      </c>
      <c r="X328" s="408">
        <v>2</v>
      </c>
      <c r="Y328" s="408">
        <v>0</v>
      </c>
      <c r="Z328" s="408">
        <v>2</v>
      </c>
      <c r="AA328" s="408">
        <v>0</v>
      </c>
      <c r="AB328" s="408">
        <v>0</v>
      </c>
      <c r="AC328" s="408">
        <v>0</v>
      </c>
      <c r="AD328" s="408">
        <v>0</v>
      </c>
      <c r="AE328" s="408">
        <v>2</v>
      </c>
      <c r="AF328" s="408">
        <v>1</v>
      </c>
      <c r="AG328" s="408">
        <v>0</v>
      </c>
      <c r="AH328" s="408">
        <v>2</v>
      </c>
      <c r="AI328" s="408">
        <v>0</v>
      </c>
      <c r="AJ328" s="408">
        <v>2</v>
      </c>
      <c r="AK328" s="408">
        <v>2</v>
      </c>
      <c r="AL328" s="408">
        <v>0</v>
      </c>
      <c r="AM328" s="408">
        <v>0</v>
      </c>
      <c r="AN328" s="408">
        <v>0</v>
      </c>
      <c r="AO328" s="408">
        <v>1</v>
      </c>
      <c r="AP328" s="408">
        <v>0</v>
      </c>
      <c r="AQ328" s="408">
        <v>2</v>
      </c>
      <c r="AR328" s="408">
        <v>0</v>
      </c>
      <c r="AS328" s="408">
        <v>2</v>
      </c>
      <c r="AT328" s="408">
        <v>0</v>
      </c>
      <c r="AU328" s="408">
        <v>0</v>
      </c>
      <c r="AV328" s="408">
        <v>2</v>
      </c>
      <c r="AW328" s="408">
        <v>0</v>
      </c>
      <c r="AX328" s="408">
        <v>0</v>
      </c>
      <c r="AY328" s="408">
        <v>0</v>
      </c>
      <c r="AZ328" s="408">
        <v>2</v>
      </c>
      <c r="BA328" s="408">
        <v>2</v>
      </c>
      <c r="BB328" s="408">
        <v>2</v>
      </c>
      <c r="BC328" s="408">
        <v>0</v>
      </c>
      <c r="BD328" s="408">
        <v>0</v>
      </c>
      <c r="BE328" s="408">
        <v>0</v>
      </c>
      <c r="BF328" s="408">
        <v>2</v>
      </c>
      <c r="BG328" s="408">
        <v>0</v>
      </c>
      <c r="BH328" s="408">
        <v>2</v>
      </c>
      <c r="BI328" s="408">
        <v>0</v>
      </c>
      <c r="BJ328" s="408">
        <v>1</v>
      </c>
      <c r="BK328" s="408">
        <v>1</v>
      </c>
      <c r="BL328" s="408">
        <v>0</v>
      </c>
      <c r="BM328" s="408">
        <v>0</v>
      </c>
      <c r="BN328" s="408">
        <v>0</v>
      </c>
      <c r="BO328" s="408">
        <v>1</v>
      </c>
      <c r="BP328" s="408">
        <v>2</v>
      </c>
      <c r="BQ328" s="408">
        <v>0</v>
      </c>
      <c r="BR328" s="408">
        <v>0</v>
      </c>
      <c r="BS328" s="408">
        <v>1</v>
      </c>
      <c r="BT328" s="408">
        <v>0</v>
      </c>
    </row>
    <row r="329" spans="1:72" s="408" customFormat="1" x14ac:dyDescent="0.3">
      <c r="A329" s="408">
        <v>930</v>
      </c>
      <c r="B329" s="408">
        <v>930</v>
      </c>
      <c r="C329" s="408">
        <v>930</v>
      </c>
      <c r="D329" s="408" t="s">
        <v>923</v>
      </c>
      <c r="F329" s="408">
        <v>2</v>
      </c>
      <c r="G329" s="408">
        <v>2</v>
      </c>
      <c r="H329" s="408">
        <v>2</v>
      </c>
      <c r="I329" s="408">
        <v>0</v>
      </c>
      <c r="J329" s="408">
        <v>0</v>
      </c>
      <c r="K329" s="408">
        <v>2</v>
      </c>
      <c r="L329" s="408">
        <v>0</v>
      </c>
      <c r="M329" s="408">
        <v>0</v>
      </c>
      <c r="N329" s="408">
        <v>0</v>
      </c>
      <c r="O329" s="408">
        <v>0</v>
      </c>
      <c r="P329" s="408">
        <v>0</v>
      </c>
      <c r="Q329" s="408">
        <v>0</v>
      </c>
      <c r="R329" s="408">
        <v>0</v>
      </c>
      <c r="S329" s="408">
        <v>1</v>
      </c>
      <c r="T329" s="408">
        <v>0</v>
      </c>
      <c r="U329" s="408">
        <v>2</v>
      </c>
      <c r="V329" s="408">
        <v>0</v>
      </c>
      <c r="W329" s="408">
        <v>2</v>
      </c>
      <c r="X329" s="408">
        <v>2</v>
      </c>
      <c r="Y329" s="408">
        <v>0</v>
      </c>
      <c r="Z329" s="408">
        <v>1</v>
      </c>
      <c r="AA329" s="408">
        <v>0</v>
      </c>
      <c r="AB329" s="408">
        <v>0</v>
      </c>
      <c r="AC329" s="408">
        <v>0</v>
      </c>
      <c r="AD329" s="408">
        <v>0</v>
      </c>
      <c r="AE329" s="408">
        <v>2</v>
      </c>
      <c r="AF329" s="408">
        <v>2</v>
      </c>
      <c r="AG329" s="408">
        <v>0</v>
      </c>
      <c r="AH329" s="408">
        <v>2</v>
      </c>
      <c r="AI329" s="408">
        <v>0</v>
      </c>
      <c r="AJ329" s="408">
        <v>2</v>
      </c>
      <c r="AK329" s="408">
        <v>1</v>
      </c>
      <c r="AL329" s="408">
        <v>0</v>
      </c>
      <c r="AM329" s="408">
        <v>0</v>
      </c>
      <c r="AN329" s="408">
        <v>0</v>
      </c>
      <c r="AO329" s="408">
        <v>2</v>
      </c>
      <c r="AP329" s="408">
        <v>0</v>
      </c>
      <c r="AQ329" s="408">
        <v>2</v>
      </c>
      <c r="AR329" s="408">
        <v>0</v>
      </c>
      <c r="AS329" s="408">
        <v>1</v>
      </c>
      <c r="AT329" s="408">
        <v>0</v>
      </c>
      <c r="AU329" s="408">
        <v>0</v>
      </c>
      <c r="AV329" s="408">
        <v>2</v>
      </c>
      <c r="AW329" s="408">
        <v>0</v>
      </c>
      <c r="AX329" s="408">
        <v>0</v>
      </c>
      <c r="AY329" s="408">
        <v>0</v>
      </c>
      <c r="AZ329" s="408">
        <v>2</v>
      </c>
      <c r="BA329" s="408">
        <v>1</v>
      </c>
      <c r="BB329" s="408">
        <v>2</v>
      </c>
      <c r="BC329" s="408">
        <v>0</v>
      </c>
      <c r="BD329" s="408">
        <v>0</v>
      </c>
      <c r="BE329" s="408">
        <v>0</v>
      </c>
      <c r="BF329" s="408">
        <v>1</v>
      </c>
      <c r="BG329" s="408">
        <v>0</v>
      </c>
      <c r="BH329" s="408">
        <v>2</v>
      </c>
      <c r="BI329" s="408">
        <v>0</v>
      </c>
      <c r="BJ329" s="408">
        <v>2</v>
      </c>
      <c r="BK329" s="408">
        <v>2</v>
      </c>
      <c r="BL329" s="408">
        <v>0</v>
      </c>
      <c r="BM329" s="408">
        <v>0</v>
      </c>
      <c r="BN329" s="408">
        <v>0</v>
      </c>
      <c r="BO329" s="408">
        <v>2</v>
      </c>
      <c r="BP329" s="408">
        <v>2</v>
      </c>
      <c r="BQ329" s="408">
        <v>0</v>
      </c>
      <c r="BR329" s="408">
        <v>0</v>
      </c>
      <c r="BS329" s="408">
        <v>2</v>
      </c>
      <c r="BT329" s="408">
        <v>0</v>
      </c>
    </row>
    <row r="330" spans="1:72" s="408" customFormat="1" x14ac:dyDescent="0.3">
      <c r="A330" s="408">
        <v>931</v>
      </c>
      <c r="B330" s="408">
        <v>931</v>
      </c>
      <c r="C330" s="408">
        <v>931</v>
      </c>
      <c r="D330" s="408" t="s">
        <v>924</v>
      </c>
      <c r="F330" s="408">
        <v>2</v>
      </c>
      <c r="G330" s="408">
        <v>2</v>
      </c>
      <c r="H330" s="408">
        <v>2</v>
      </c>
      <c r="I330" s="408">
        <v>0</v>
      </c>
      <c r="J330" s="408">
        <v>0</v>
      </c>
      <c r="K330" s="408">
        <v>2</v>
      </c>
      <c r="L330" s="408">
        <v>0</v>
      </c>
      <c r="M330" s="408">
        <v>0</v>
      </c>
      <c r="N330" s="408">
        <v>0</v>
      </c>
      <c r="O330" s="408">
        <v>0</v>
      </c>
      <c r="P330" s="408">
        <v>0</v>
      </c>
      <c r="Q330" s="408">
        <v>0</v>
      </c>
      <c r="R330" s="408">
        <v>0</v>
      </c>
      <c r="S330" s="408">
        <v>2</v>
      </c>
      <c r="T330" s="408">
        <v>0</v>
      </c>
      <c r="U330" s="408">
        <v>2</v>
      </c>
      <c r="V330" s="408">
        <v>0</v>
      </c>
      <c r="W330" s="408">
        <v>2</v>
      </c>
      <c r="X330" s="408">
        <v>2</v>
      </c>
      <c r="Y330" s="408">
        <v>0</v>
      </c>
      <c r="Z330" s="408">
        <v>2</v>
      </c>
      <c r="AA330" s="408">
        <v>0</v>
      </c>
      <c r="AB330" s="408">
        <v>0</v>
      </c>
      <c r="AC330" s="408">
        <v>0</v>
      </c>
      <c r="AD330" s="408">
        <v>0</v>
      </c>
      <c r="AE330" s="408">
        <v>2</v>
      </c>
      <c r="AF330" s="408">
        <v>2</v>
      </c>
      <c r="AG330" s="408">
        <v>0</v>
      </c>
      <c r="AH330" s="408">
        <v>2</v>
      </c>
      <c r="AI330" s="408">
        <v>0</v>
      </c>
      <c r="AJ330" s="408">
        <v>2</v>
      </c>
      <c r="AK330" s="408">
        <v>2</v>
      </c>
      <c r="AL330" s="408">
        <v>0</v>
      </c>
      <c r="AM330" s="408">
        <v>0</v>
      </c>
      <c r="AN330" s="408">
        <v>0</v>
      </c>
      <c r="AO330" s="408">
        <v>2</v>
      </c>
      <c r="AP330" s="408">
        <v>0</v>
      </c>
      <c r="AQ330" s="408">
        <v>2</v>
      </c>
      <c r="AR330" s="408">
        <v>0</v>
      </c>
      <c r="AS330" s="408">
        <v>2</v>
      </c>
      <c r="AT330" s="408">
        <v>0</v>
      </c>
      <c r="AU330" s="408">
        <v>0</v>
      </c>
      <c r="AV330" s="408">
        <v>2</v>
      </c>
      <c r="AW330" s="408">
        <v>0</v>
      </c>
      <c r="AX330" s="408">
        <v>0</v>
      </c>
      <c r="AY330" s="408">
        <v>0</v>
      </c>
      <c r="AZ330" s="408">
        <v>2</v>
      </c>
      <c r="BA330" s="408">
        <v>2</v>
      </c>
      <c r="BB330" s="408">
        <v>2</v>
      </c>
      <c r="BC330" s="408">
        <v>0</v>
      </c>
      <c r="BD330" s="408">
        <v>0</v>
      </c>
      <c r="BE330" s="408">
        <v>0</v>
      </c>
      <c r="BF330" s="408">
        <v>2</v>
      </c>
      <c r="BG330" s="408">
        <v>0</v>
      </c>
      <c r="BH330" s="408">
        <v>0</v>
      </c>
      <c r="BI330" s="408">
        <v>0</v>
      </c>
      <c r="BJ330" s="408">
        <v>2</v>
      </c>
      <c r="BK330" s="408">
        <v>2</v>
      </c>
      <c r="BL330" s="408">
        <v>0</v>
      </c>
      <c r="BM330" s="408">
        <v>0</v>
      </c>
      <c r="BN330" s="408">
        <v>0</v>
      </c>
      <c r="BO330" s="408">
        <v>2</v>
      </c>
      <c r="BP330" s="408">
        <v>2</v>
      </c>
      <c r="BQ330" s="408">
        <v>0</v>
      </c>
      <c r="BR330" s="408">
        <v>0</v>
      </c>
      <c r="BS330" s="408">
        <v>2</v>
      </c>
      <c r="BT330" s="408">
        <v>0</v>
      </c>
    </row>
    <row r="331" spans="1:72" s="408" customFormat="1" x14ac:dyDescent="0.3">
      <c r="A331" s="408">
        <v>932</v>
      </c>
      <c r="B331" s="408">
        <v>932</v>
      </c>
      <c r="C331" s="408">
        <v>932</v>
      </c>
      <c r="D331" s="408" t="s">
        <v>925</v>
      </c>
      <c r="F331" s="408">
        <v>2</v>
      </c>
      <c r="G331" s="408">
        <v>2</v>
      </c>
      <c r="H331" s="408">
        <v>2</v>
      </c>
      <c r="I331" s="408">
        <v>0</v>
      </c>
      <c r="J331" s="408">
        <v>0</v>
      </c>
      <c r="K331" s="408">
        <v>2</v>
      </c>
      <c r="L331" s="408">
        <v>0</v>
      </c>
      <c r="M331" s="408">
        <v>0</v>
      </c>
      <c r="N331" s="408">
        <v>0</v>
      </c>
      <c r="O331" s="408">
        <v>0</v>
      </c>
      <c r="P331" s="408">
        <v>0</v>
      </c>
      <c r="Q331" s="408">
        <v>0</v>
      </c>
      <c r="R331" s="408">
        <v>0</v>
      </c>
      <c r="S331" s="408">
        <v>2</v>
      </c>
      <c r="T331" s="408">
        <v>0</v>
      </c>
      <c r="U331" s="408">
        <v>2</v>
      </c>
      <c r="V331" s="408">
        <v>0</v>
      </c>
      <c r="W331" s="408">
        <v>2</v>
      </c>
      <c r="X331" s="408">
        <v>2</v>
      </c>
      <c r="Y331" s="408">
        <v>0</v>
      </c>
      <c r="Z331" s="408">
        <v>2</v>
      </c>
      <c r="AA331" s="408">
        <v>0</v>
      </c>
      <c r="AB331" s="408">
        <v>0</v>
      </c>
      <c r="AC331" s="408">
        <v>0</v>
      </c>
      <c r="AD331" s="408">
        <v>0</v>
      </c>
      <c r="AE331" s="408">
        <v>2</v>
      </c>
      <c r="AF331" s="408">
        <v>1</v>
      </c>
      <c r="AG331" s="408">
        <v>0</v>
      </c>
      <c r="AH331" s="408">
        <v>2</v>
      </c>
      <c r="AI331" s="408">
        <v>0</v>
      </c>
      <c r="AJ331" s="408">
        <v>2</v>
      </c>
      <c r="AK331" s="408">
        <v>2</v>
      </c>
      <c r="AL331" s="408">
        <v>0</v>
      </c>
      <c r="AM331" s="408">
        <v>0</v>
      </c>
      <c r="AN331" s="408">
        <v>0</v>
      </c>
      <c r="AO331" s="408">
        <v>2</v>
      </c>
      <c r="AP331" s="408">
        <v>0</v>
      </c>
      <c r="AQ331" s="408">
        <v>2</v>
      </c>
      <c r="AR331" s="408">
        <v>0</v>
      </c>
      <c r="AS331" s="408">
        <v>2</v>
      </c>
      <c r="AT331" s="408">
        <v>0</v>
      </c>
      <c r="AU331" s="408">
        <v>0</v>
      </c>
      <c r="AV331" s="408">
        <v>2</v>
      </c>
      <c r="AW331" s="408">
        <v>0</v>
      </c>
      <c r="AX331" s="408">
        <v>0</v>
      </c>
      <c r="AY331" s="408">
        <v>0</v>
      </c>
      <c r="AZ331" s="408">
        <v>2</v>
      </c>
      <c r="BA331" s="408">
        <v>2</v>
      </c>
      <c r="BB331" s="408">
        <v>2</v>
      </c>
      <c r="BC331" s="408">
        <v>0</v>
      </c>
      <c r="BD331" s="408">
        <v>0</v>
      </c>
      <c r="BE331" s="408">
        <v>0</v>
      </c>
      <c r="BF331" s="408">
        <v>2</v>
      </c>
      <c r="BG331" s="408">
        <v>0</v>
      </c>
      <c r="BH331" s="408">
        <v>2</v>
      </c>
      <c r="BI331" s="408">
        <v>0</v>
      </c>
      <c r="BJ331" s="408">
        <v>2</v>
      </c>
      <c r="BK331" s="408">
        <v>2</v>
      </c>
      <c r="BL331" s="408">
        <v>0</v>
      </c>
      <c r="BM331" s="408">
        <v>0</v>
      </c>
      <c r="BN331" s="408">
        <v>0</v>
      </c>
      <c r="BO331" s="408">
        <v>2</v>
      </c>
      <c r="BP331" s="408">
        <v>2</v>
      </c>
      <c r="BQ331" s="408">
        <v>0</v>
      </c>
      <c r="BR331" s="408">
        <v>0</v>
      </c>
      <c r="BS331" s="408">
        <v>2</v>
      </c>
      <c r="BT331" s="408">
        <v>0</v>
      </c>
    </row>
    <row r="332" spans="1:72" s="408" customFormat="1" x14ac:dyDescent="0.3">
      <c r="A332" s="1106" t="s">
        <v>1698</v>
      </c>
      <c r="B332" s="1107"/>
      <c r="C332" s="1106"/>
      <c r="D332" s="1106"/>
      <c r="E332" s="1108"/>
      <c r="F332" s="1108"/>
      <c r="G332" s="1108"/>
      <c r="H332" s="1108"/>
      <c r="I332" s="1108"/>
      <c r="J332" s="1108"/>
      <c r="K332" s="1108"/>
      <c r="L332" s="1108"/>
      <c r="M332" s="1108"/>
      <c r="N332" s="1108"/>
      <c r="O332" s="1108"/>
      <c r="P332" s="1108"/>
      <c r="Q332" s="1108"/>
      <c r="R332" s="1108"/>
      <c r="S332" s="1108"/>
      <c r="T332" s="1108"/>
      <c r="U332" s="1108"/>
      <c r="V332" s="1108"/>
      <c r="W332" s="1108"/>
      <c r="X332" s="1108"/>
      <c r="Y332" s="1108"/>
      <c r="Z332" s="1108"/>
      <c r="AA332" s="1108"/>
      <c r="AB332" s="1108"/>
      <c r="AC332" s="1108"/>
      <c r="AD332" s="1108"/>
      <c r="AE332" s="1108"/>
      <c r="AF332" s="1108"/>
      <c r="AG332" s="1108"/>
      <c r="AH332" s="1108"/>
      <c r="AI332" s="1108"/>
      <c r="AJ332" s="1108"/>
      <c r="AK332" s="1108"/>
      <c r="AL332" s="1108"/>
      <c r="AM332" s="1108"/>
      <c r="AN332" s="1108"/>
      <c r="AO332" s="1108"/>
      <c r="AP332" s="1108"/>
      <c r="AQ332" s="1108"/>
      <c r="AR332" s="1108"/>
      <c r="AS332" s="1108"/>
      <c r="AT332" s="1108"/>
      <c r="AU332" s="1108"/>
      <c r="AV332" s="1108"/>
      <c r="AW332" s="1108"/>
      <c r="AX332" s="1108"/>
      <c r="AY332" s="1108"/>
      <c r="AZ332" s="1108"/>
      <c r="BA332" s="1108"/>
      <c r="BB332" s="1108"/>
      <c r="BC332" s="1108"/>
      <c r="BD332" s="1108"/>
      <c r="BE332" s="1108"/>
      <c r="BF332" s="1108"/>
      <c r="BG332" s="1108"/>
      <c r="BH332" s="1108"/>
      <c r="BI332" s="1108"/>
      <c r="BJ332" s="1108"/>
      <c r="BK332" s="1108"/>
      <c r="BL332" s="1108"/>
      <c r="BM332" s="1108"/>
      <c r="BN332" s="1108"/>
      <c r="BO332" s="1108"/>
      <c r="BP332" s="1108"/>
      <c r="BQ332" s="1108"/>
      <c r="BR332" s="1108"/>
      <c r="BS332" s="1108"/>
      <c r="BT332" s="1108"/>
    </row>
    <row r="333" spans="1:72" s="1106" customFormat="1" x14ac:dyDescent="0.3">
      <c r="A333" s="1106" t="s">
        <v>1698</v>
      </c>
      <c r="B333" s="1107"/>
    </row>
    <row r="334" spans="1:72" s="408" customFormat="1" x14ac:dyDescent="0.3">
      <c r="A334" s="414" t="s">
        <v>1768</v>
      </c>
      <c r="B334" s="415"/>
      <c r="C334" s="416"/>
      <c r="D334" s="408" t="s">
        <v>1096</v>
      </c>
      <c r="F334" s="408">
        <v>8980793</v>
      </c>
      <c r="G334" s="408">
        <v>5560737</v>
      </c>
      <c r="H334" s="408">
        <v>428782</v>
      </c>
      <c r="I334" s="408">
        <v>15483951</v>
      </c>
      <c r="J334" s="408">
        <v>110588</v>
      </c>
      <c r="K334" s="408">
        <v>1334395</v>
      </c>
      <c r="L334" s="408">
        <v>4314417</v>
      </c>
      <c r="M334" s="408">
        <v>429678</v>
      </c>
      <c r="N334" s="408">
        <v>61217377</v>
      </c>
      <c r="O334" s="408">
        <v>21297</v>
      </c>
      <c r="P334" s="408">
        <v>7851073</v>
      </c>
      <c r="Q334" s="408">
        <v>1296934</v>
      </c>
      <c r="R334" s="408">
        <v>34496072</v>
      </c>
      <c r="S334" s="408">
        <v>124306196</v>
      </c>
      <c r="T334" s="408">
        <v>0</v>
      </c>
      <c r="U334" s="408">
        <v>410399</v>
      </c>
      <c r="V334" s="408">
        <v>6997881</v>
      </c>
      <c r="W334" s="408">
        <v>832328</v>
      </c>
      <c r="X334" s="408">
        <v>472460</v>
      </c>
      <c r="Y334" s="408">
        <v>124863</v>
      </c>
      <c r="Z334" s="408">
        <v>5023375</v>
      </c>
      <c r="AA334" s="408">
        <v>0</v>
      </c>
      <c r="AB334" s="408">
        <v>0</v>
      </c>
      <c r="AC334" s="408">
        <v>404383</v>
      </c>
      <c r="AD334" s="408">
        <v>12452187</v>
      </c>
      <c r="AE334" s="408">
        <v>2055238</v>
      </c>
      <c r="AF334" s="408">
        <v>220881</v>
      </c>
      <c r="AG334" s="408">
        <v>230737</v>
      </c>
      <c r="AH334" s="408">
        <v>53771</v>
      </c>
      <c r="AI334" s="408">
        <v>9633824</v>
      </c>
      <c r="AJ334" s="408">
        <v>7235482</v>
      </c>
      <c r="AK334" s="408">
        <v>1645470</v>
      </c>
      <c r="AL334" s="408">
        <v>0</v>
      </c>
      <c r="AM334" s="408">
        <v>0</v>
      </c>
      <c r="AN334" s="408">
        <v>68418</v>
      </c>
      <c r="AO334" s="408">
        <v>4197192</v>
      </c>
      <c r="AP334" s="408">
        <v>1761617</v>
      </c>
      <c r="AQ334" s="408">
        <v>4463731</v>
      </c>
      <c r="AR334" s="408">
        <v>178437</v>
      </c>
      <c r="AS334" s="408">
        <v>827409</v>
      </c>
      <c r="AT334" s="408">
        <v>1071317</v>
      </c>
      <c r="AU334" s="408">
        <v>4450059</v>
      </c>
      <c r="AV334" s="408">
        <v>1845960</v>
      </c>
      <c r="AW334" s="408">
        <v>0</v>
      </c>
      <c r="AX334" s="408">
        <v>8828010</v>
      </c>
      <c r="AY334" s="408">
        <v>1195130</v>
      </c>
      <c r="AZ334" s="408">
        <v>9483891</v>
      </c>
      <c r="BA334" s="408">
        <v>-88295</v>
      </c>
      <c r="BB334" s="408">
        <v>131017</v>
      </c>
      <c r="BC334" s="408">
        <v>6398305</v>
      </c>
      <c r="BD334" s="408">
        <v>2683293</v>
      </c>
      <c r="BE334" s="408">
        <v>294192</v>
      </c>
      <c r="BF334" s="408">
        <v>461896</v>
      </c>
      <c r="BG334" s="408">
        <v>15442376</v>
      </c>
      <c r="BH334" s="408">
        <v>685446</v>
      </c>
      <c r="BI334" s="408">
        <v>185557</v>
      </c>
      <c r="BJ334" s="408">
        <v>10084336</v>
      </c>
      <c r="BK334" s="408">
        <v>733937</v>
      </c>
      <c r="BL334" s="408">
        <v>921331</v>
      </c>
      <c r="BM334" s="408">
        <v>291753</v>
      </c>
      <c r="BN334" s="408">
        <v>391770</v>
      </c>
      <c r="BO334" s="408">
        <v>1935124</v>
      </c>
      <c r="BP334" s="408">
        <v>471534</v>
      </c>
      <c r="BQ334" s="408">
        <v>4594888</v>
      </c>
      <c r="BR334" s="408">
        <v>61512278</v>
      </c>
      <c r="BS334" s="408">
        <v>2319585</v>
      </c>
      <c r="BT334" s="408">
        <v>6279755</v>
      </c>
    </row>
    <row r="335" spans="1:72" s="408" customFormat="1" x14ac:dyDescent="0.3">
      <c r="B335" s="409"/>
      <c r="F335" s="408" t="s">
        <v>1268</v>
      </c>
      <c r="G335" s="408" t="s">
        <v>1268</v>
      </c>
      <c r="H335" s="408" t="s">
        <v>1270</v>
      </c>
      <c r="I335" s="408" t="s">
        <v>1269</v>
      </c>
      <c r="J335" s="408" t="s">
        <v>1270</v>
      </c>
      <c r="K335" s="408" t="s">
        <v>1268</v>
      </c>
      <c r="L335" s="408" t="s">
        <v>1268</v>
      </c>
      <c r="M335" s="408" t="s">
        <v>1270</v>
      </c>
      <c r="N335" s="408" t="s">
        <v>1269</v>
      </c>
      <c r="O335" s="408" t="s">
        <v>1271</v>
      </c>
      <c r="P335" s="408" t="s">
        <v>1268</v>
      </c>
      <c r="Q335" s="408" t="s">
        <v>1268</v>
      </c>
      <c r="R335" s="408" t="s">
        <v>1269</v>
      </c>
      <c r="S335" s="408" t="s">
        <v>1269</v>
      </c>
      <c r="T335" s="408" t="b">
        <v>0</v>
      </c>
      <c r="U335" s="408" t="s">
        <v>1270</v>
      </c>
      <c r="V335" s="408" t="s">
        <v>1268</v>
      </c>
      <c r="W335" s="408" t="s">
        <v>1270</v>
      </c>
      <c r="X335" s="408" t="s">
        <v>1270</v>
      </c>
      <c r="Y335" s="408" t="s">
        <v>1270</v>
      </c>
      <c r="Z335" s="408" t="s">
        <v>1268</v>
      </c>
      <c r="AA335" s="408" t="b">
        <v>0</v>
      </c>
      <c r="AB335" s="408" t="b">
        <v>0</v>
      </c>
      <c r="AC335" s="408" t="s">
        <v>1270</v>
      </c>
      <c r="AD335" s="408" t="s">
        <v>1269</v>
      </c>
      <c r="AE335" s="408" t="s">
        <v>1268</v>
      </c>
      <c r="AF335" s="408" t="s">
        <v>1270</v>
      </c>
      <c r="AG335" s="408" t="s">
        <v>1270</v>
      </c>
      <c r="AH335" s="408" t="s">
        <v>1271</v>
      </c>
      <c r="AI335" s="408" t="s">
        <v>1268</v>
      </c>
      <c r="AJ335" s="408" t="s">
        <v>1268</v>
      </c>
      <c r="AK335" s="408" t="s">
        <v>1268</v>
      </c>
      <c r="AL335" s="408" t="b">
        <v>0</v>
      </c>
      <c r="AM335" s="408" t="b">
        <v>0</v>
      </c>
      <c r="AN335" s="408" t="s">
        <v>1271</v>
      </c>
      <c r="AO335" s="408" t="s">
        <v>1268</v>
      </c>
      <c r="AP335" s="408" t="s">
        <v>1268</v>
      </c>
      <c r="AQ335" s="408" t="s">
        <v>1268</v>
      </c>
      <c r="AR335" s="408" t="s">
        <v>1270</v>
      </c>
      <c r="AS335" s="408" t="s">
        <v>1270</v>
      </c>
      <c r="AT335" s="408" t="s">
        <v>1268</v>
      </c>
      <c r="AU335" s="408" t="s">
        <v>1268</v>
      </c>
      <c r="AV335" s="408" t="s">
        <v>1268</v>
      </c>
      <c r="AW335" s="408" t="b">
        <v>0</v>
      </c>
      <c r="AX335" s="408" t="s">
        <v>1268</v>
      </c>
      <c r="AY335" s="408" t="s">
        <v>1268</v>
      </c>
      <c r="AZ335" s="408" t="s">
        <v>1268</v>
      </c>
      <c r="BA335" s="408" t="b">
        <v>0</v>
      </c>
      <c r="BB335" s="408" t="s">
        <v>1270</v>
      </c>
      <c r="BC335" s="408" t="s">
        <v>1268</v>
      </c>
      <c r="BD335" s="408" t="s">
        <v>1268</v>
      </c>
      <c r="BE335" s="408" t="s">
        <v>1270</v>
      </c>
      <c r="BF335" s="408" t="s">
        <v>1270</v>
      </c>
      <c r="BG335" s="408" t="s">
        <v>1269</v>
      </c>
      <c r="BH335" s="408" t="s">
        <v>1270</v>
      </c>
      <c r="BI335" s="408" t="s">
        <v>1270</v>
      </c>
      <c r="BJ335" s="408" t="s">
        <v>1269</v>
      </c>
      <c r="BK335" s="408" t="s">
        <v>1270</v>
      </c>
      <c r="BL335" s="408" t="s">
        <v>1270</v>
      </c>
      <c r="BM335" s="408" t="s">
        <v>1270</v>
      </c>
      <c r="BN335" s="408" t="s">
        <v>1270</v>
      </c>
      <c r="BO335" s="408" t="s">
        <v>1268</v>
      </c>
      <c r="BP335" s="408" t="s">
        <v>1270</v>
      </c>
      <c r="BQ335" s="408" t="s">
        <v>1268</v>
      </c>
      <c r="BR335" s="408" t="s">
        <v>1269</v>
      </c>
      <c r="BS335" s="408" t="s">
        <v>1268</v>
      </c>
      <c r="BT335" s="408" t="s">
        <v>1268</v>
      </c>
    </row>
    <row r="336" spans="1:72" s="412" customFormat="1" x14ac:dyDescent="0.3">
      <c r="B336" s="413"/>
      <c r="F336" s="1127">
        <v>0.34</v>
      </c>
      <c r="G336" s="1127">
        <v>0.34</v>
      </c>
      <c r="H336" s="1127">
        <v>0.71</v>
      </c>
      <c r="I336" s="1127">
        <v>0.25</v>
      </c>
      <c r="J336" s="1127">
        <v>0.71</v>
      </c>
      <c r="K336" s="1127">
        <v>0.34</v>
      </c>
      <c r="L336" s="1127">
        <v>0.34</v>
      </c>
      <c r="M336" s="1127">
        <v>0.71</v>
      </c>
      <c r="N336" s="1127">
        <v>0.25</v>
      </c>
      <c r="O336" s="412">
        <v>100</v>
      </c>
      <c r="P336" s="1127">
        <v>0.34</v>
      </c>
      <c r="Q336" s="1127">
        <v>0.34</v>
      </c>
      <c r="R336" s="1127">
        <v>0.25</v>
      </c>
      <c r="S336" s="1127">
        <v>0.25</v>
      </c>
      <c r="T336" s="412" t="b">
        <v>0</v>
      </c>
      <c r="U336" s="1127">
        <v>0.71</v>
      </c>
      <c r="V336" s="1127">
        <v>0.34</v>
      </c>
      <c r="W336" s="1127">
        <v>0.71</v>
      </c>
      <c r="X336" s="1127">
        <v>0.71</v>
      </c>
      <c r="Y336" s="1127">
        <v>0.71</v>
      </c>
      <c r="Z336" s="1127">
        <v>0.34</v>
      </c>
      <c r="AA336" s="412" t="b">
        <v>0</v>
      </c>
      <c r="AB336" s="412" t="b">
        <v>0</v>
      </c>
      <c r="AC336" s="1127">
        <v>0.71</v>
      </c>
      <c r="AD336" s="1127">
        <v>0.25</v>
      </c>
      <c r="AE336" s="1127">
        <v>0.34</v>
      </c>
      <c r="AF336" s="1127">
        <v>0.71</v>
      </c>
      <c r="AG336" s="1127">
        <v>0.71</v>
      </c>
      <c r="AH336" s="412">
        <v>100</v>
      </c>
      <c r="AI336" s="1127">
        <v>0.34</v>
      </c>
      <c r="AJ336" s="1127">
        <v>0.34</v>
      </c>
      <c r="AK336" s="1127">
        <v>0.34</v>
      </c>
      <c r="AL336" s="412" t="b">
        <v>0</v>
      </c>
      <c r="AM336" s="412" t="b">
        <v>0</v>
      </c>
      <c r="AN336" s="412">
        <v>100</v>
      </c>
      <c r="AO336" s="1127">
        <v>0.34</v>
      </c>
      <c r="AP336" s="1127">
        <v>0.34</v>
      </c>
      <c r="AQ336" s="1127">
        <v>0.34</v>
      </c>
      <c r="AR336" s="1127">
        <v>0.71</v>
      </c>
      <c r="AS336" s="1127">
        <v>0.71</v>
      </c>
      <c r="AT336" s="1127">
        <v>0.34</v>
      </c>
      <c r="AU336" s="1127">
        <v>0.34</v>
      </c>
      <c r="AV336" s="1127">
        <v>0.34</v>
      </c>
      <c r="AW336" s="412" t="b">
        <v>0</v>
      </c>
      <c r="AX336" s="1127">
        <v>0.34</v>
      </c>
      <c r="AY336" s="1127">
        <v>0.34</v>
      </c>
      <c r="AZ336" s="1127">
        <v>0.34</v>
      </c>
      <c r="BA336" s="412" t="b">
        <v>0</v>
      </c>
      <c r="BB336" s="1127">
        <v>0.71</v>
      </c>
      <c r="BC336" s="1127">
        <v>0.34</v>
      </c>
      <c r="BD336" s="1127">
        <v>0.34</v>
      </c>
      <c r="BE336" s="1127">
        <v>0.71</v>
      </c>
      <c r="BF336" s="1127">
        <v>0.71</v>
      </c>
      <c r="BG336" s="1127">
        <v>0.25</v>
      </c>
      <c r="BH336" s="1127">
        <v>0.71</v>
      </c>
      <c r="BI336" s="1127">
        <v>0.71</v>
      </c>
      <c r="BJ336" s="1127">
        <v>0.25</v>
      </c>
      <c r="BK336" s="1127">
        <v>0.71</v>
      </c>
      <c r="BL336" s="1127">
        <v>0.71</v>
      </c>
      <c r="BM336" s="1127">
        <v>0.71</v>
      </c>
      <c r="BN336" s="1127">
        <v>0.71</v>
      </c>
      <c r="BO336" s="1127">
        <v>0.34</v>
      </c>
      <c r="BP336" s="1127">
        <v>0.71</v>
      </c>
      <c r="BQ336" s="1127">
        <v>0.34</v>
      </c>
      <c r="BR336" s="1127">
        <v>0.25</v>
      </c>
      <c r="BS336" s="1127">
        <v>0.34</v>
      </c>
      <c r="BT336" s="1127">
        <v>0.34</v>
      </c>
    </row>
    <row r="337" spans="1:72" s="408" customFormat="1" x14ac:dyDescent="0.3">
      <c r="A337" s="408" t="s">
        <v>1097</v>
      </c>
      <c r="B337" s="409"/>
      <c r="D337" s="408" t="s">
        <v>876</v>
      </c>
      <c r="F337" s="408">
        <v>3257801</v>
      </c>
      <c r="G337" s="408">
        <v>796724</v>
      </c>
      <c r="H337" s="408">
        <v>2547583</v>
      </c>
      <c r="I337" s="408">
        <v>6080142</v>
      </c>
      <c r="J337" s="408">
        <v>487160</v>
      </c>
      <c r="K337" s="408">
        <v>1069168</v>
      </c>
      <c r="L337" s="408">
        <v>4252893</v>
      </c>
      <c r="M337" s="408">
        <v>215376</v>
      </c>
      <c r="N337" s="408">
        <v>33153762</v>
      </c>
      <c r="O337" s="408">
        <v>84501</v>
      </c>
      <c r="P337" s="408">
        <v>8828283</v>
      </c>
      <c r="Q337" s="408">
        <v>1124334</v>
      </c>
      <c r="R337" s="408">
        <v>9975500</v>
      </c>
      <c r="S337" s="408">
        <v>61683636</v>
      </c>
      <c r="T337" s="408">
        <v>0</v>
      </c>
      <c r="U337" s="408">
        <v>1000041</v>
      </c>
      <c r="V337" s="408">
        <v>3596633</v>
      </c>
      <c r="W337" s="408">
        <v>1003563</v>
      </c>
      <c r="X337" s="408">
        <v>349365</v>
      </c>
      <c r="Y337" s="408">
        <v>339821</v>
      </c>
      <c r="Z337" s="408">
        <v>893645</v>
      </c>
      <c r="AA337" s="408">
        <v>0</v>
      </c>
      <c r="AB337" s="408">
        <v>0</v>
      </c>
      <c r="AC337" s="408">
        <v>739946</v>
      </c>
      <c r="AD337" s="408">
        <v>6166284</v>
      </c>
      <c r="AE337" s="408">
        <v>2323229</v>
      </c>
      <c r="AF337" s="408">
        <v>55431</v>
      </c>
      <c r="AG337" s="408">
        <v>314848</v>
      </c>
      <c r="AH337" s="408">
        <v>157353</v>
      </c>
      <c r="AI337" s="408">
        <v>3280623</v>
      </c>
      <c r="AJ337" s="408">
        <v>7334722</v>
      </c>
      <c r="AK337" s="408">
        <v>860786</v>
      </c>
      <c r="AL337" s="408">
        <v>0</v>
      </c>
      <c r="AM337" s="408">
        <v>0</v>
      </c>
      <c r="AN337" s="408">
        <v>90475</v>
      </c>
      <c r="AO337" s="408">
        <v>1562337</v>
      </c>
      <c r="AP337" s="408">
        <v>2525740</v>
      </c>
      <c r="AQ337" s="408">
        <v>1590223</v>
      </c>
      <c r="AR337" s="408">
        <v>378923</v>
      </c>
      <c r="AS337" s="408">
        <v>1479900</v>
      </c>
      <c r="AT337" s="408">
        <v>875224</v>
      </c>
      <c r="AU337" s="408">
        <v>3072907</v>
      </c>
      <c r="AV337" s="408">
        <v>2385251</v>
      </c>
      <c r="AW337" s="408">
        <v>0</v>
      </c>
      <c r="AX337" s="408">
        <v>4231986</v>
      </c>
      <c r="AY337" s="408">
        <v>1049819</v>
      </c>
      <c r="AZ337" s="408">
        <v>4809179</v>
      </c>
      <c r="BA337" s="408">
        <v>371726</v>
      </c>
      <c r="BB337" s="408">
        <v>454519</v>
      </c>
      <c r="BC337" s="408">
        <v>1266373</v>
      </c>
      <c r="BD337" s="408">
        <v>783935</v>
      </c>
      <c r="BE337" s="408">
        <v>662053</v>
      </c>
      <c r="BF337" s="408">
        <v>326704</v>
      </c>
      <c r="BG337" s="408">
        <v>11465063</v>
      </c>
      <c r="BH337" s="408">
        <v>768045</v>
      </c>
      <c r="BI337" s="408">
        <v>228511</v>
      </c>
      <c r="BJ337" s="408">
        <v>2910361</v>
      </c>
      <c r="BK337" s="408">
        <v>368459</v>
      </c>
      <c r="BL337" s="408">
        <v>844242</v>
      </c>
      <c r="BM337" s="408">
        <v>611960</v>
      </c>
      <c r="BN337" s="408">
        <v>1245428</v>
      </c>
      <c r="BO337" s="408">
        <v>2450905</v>
      </c>
      <c r="BP337" s="408">
        <v>706006</v>
      </c>
      <c r="BQ337" s="408">
        <v>3014235</v>
      </c>
      <c r="BR337" s="408">
        <v>26112790</v>
      </c>
      <c r="BS337" s="408">
        <v>1154109</v>
      </c>
      <c r="BT337" s="408">
        <v>7231426</v>
      </c>
    </row>
    <row r="338" spans="1:72" s="408" customFormat="1" x14ac:dyDescent="0.3">
      <c r="A338" s="408" t="s">
        <v>792</v>
      </c>
      <c r="B338" s="409"/>
      <c r="D338" s="408" t="s">
        <v>800</v>
      </c>
      <c r="F338" s="408">
        <v>8980793</v>
      </c>
      <c r="G338" s="408">
        <v>5560737</v>
      </c>
      <c r="H338" s="408">
        <v>428782</v>
      </c>
      <c r="I338" s="408">
        <v>15483951</v>
      </c>
      <c r="J338" s="408">
        <v>110588</v>
      </c>
      <c r="K338" s="408">
        <v>1334395</v>
      </c>
      <c r="L338" s="408">
        <v>4314417</v>
      </c>
      <c r="M338" s="408">
        <v>429678</v>
      </c>
      <c r="N338" s="408">
        <v>61217377</v>
      </c>
      <c r="O338" s="408">
        <v>21297</v>
      </c>
      <c r="P338" s="408">
        <v>7851073</v>
      </c>
      <c r="Q338" s="408">
        <v>1296934</v>
      </c>
      <c r="R338" s="408">
        <v>34496072</v>
      </c>
      <c r="S338" s="408">
        <v>124306196</v>
      </c>
      <c r="T338" s="408">
        <v>0</v>
      </c>
      <c r="U338" s="408">
        <v>410399</v>
      </c>
      <c r="V338" s="408">
        <v>6997881</v>
      </c>
      <c r="W338" s="408">
        <v>832328</v>
      </c>
      <c r="X338" s="408">
        <v>472460</v>
      </c>
      <c r="Y338" s="408">
        <v>124863</v>
      </c>
      <c r="Z338" s="408">
        <v>5023375</v>
      </c>
      <c r="AA338" s="408">
        <v>0</v>
      </c>
      <c r="AB338" s="408">
        <v>0</v>
      </c>
      <c r="AC338" s="408">
        <v>404383</v>
      </c>
      <c r="AD338" s="408">
        <v>12452187</v>
      </c>
      <c r="AE338" s="408">
        <v>2055238</v>
      </c>
      <c r="AF338" s="408">
        <v>220881</v>
      </c>
      <c r="AG338" s="408">
        <v>230737</v>
      </c>
      <c r="AH338" s="408">
        <v>53771</v>
      </c>
      <c r="AI338" s="408">
        <v>9633824</v>
      </c>
      <c r="AJ338" s="408">
        <v>7235482</v>
      </c>
      <c r="AK338" s="408">
        <v>1645470</v>
      </c>
      <c r="AL338" s="408">
        <v>0</v>
      </c>
      <c r="AM338" s="408">
        <v>0</v>
      </c>
      <c r="AN338" s="408">
        <v>68418</v>
      </c>
      <c r="AO338" s="408">
        <v>4197192</v>
      </c>
      <c r="AP338" s="408">
        <v>1761617</v>
      </c>
      <c r="AQ338" s="408">
        <v>4463731</v>
      </c>
      <c r="AR338" s="408">
        <v>178437</v>
      </c>
      <c r="AS338" s="408">
        <v>827409</v>
      </c>
      <c r="AT338" s="408">
        <v>1071317</v>
      </c>
      <c r="AU338" s="408">
        <v>4450059</v>
      </c>
      <c r="AV338" s="408">
        <v>1845960</v>
      </c>
      <c r="AW338" s="408">
        <v>0</v>
      </c>
      <c r="AX338" s="408">
        <v>8828010</v>
      </c>
      <c r="AY338" s="408">
        <v>1195130</v>
      </c>
      <c r="AZ338" s="408">
        <v>9483891</v>
      </c>
      <c r="BA338" s="408">
        <v>-88295</v>
      </c>
      <c r="BB338" s="408">
        <v>131017</v>
      </c>
      <c r="BC338" s="408">
        <v>6398305</v>
      </c>
      <c r="BD338" s="408">
        <v>2683293</v>
      </c>
      <c r="BE338" s="408">
        <v>294192</v>
      </c>
      <c r="BF338" s="408">
        <v>461896</v>
      </c>
      <c r="BG338" s="408">
        <v>15442376</v>
      </c>
      <c r="BH338" s="408">
        <v>685446</v>
      </c>
      <c r="BI338" s="408">
        <v>185557</v>
      </c>
      <c r="BJ338" s="408">
        <v>10084336</v>
      </c>
      <c r="BK338" s="408">
        <v>733937</v>
      </c>
      <c r="BL338" s="408">
        <v>921331</v>
      </c>
      <c r="BM338" s="408">
        <v>291753</v>
      </c>
      <c r="BN338" s="408">
        <v>391770</v>
      </c>
      <c r="BO338" s="408">
        <v>1935124</v>
      </c>
      <c r="BP338" s="408">
        <v>471534</v>
      </c>
      <c r="BQ338" s="408">
        <v>4594888</v>
      </c>
      <c r="BR338" s="408">
        <v>61512278</v>
      </c>
      <c r="BS338" s="408">
        <v>2319585</v>
      </c>
      <c r="BT338" s="408">
        <v>6279755</v>
      </c>
    </row>
    <row r="339" spans="1:72" s="412" customFormat="1" x14ac:dyDescent="0.3">
      <c r="A339" s="412" t="s">
        <v>1098</v>
      </c>
      <c r="B339" s="413"/>
      <c r="D339" s="412" t="s">
        <v>875</v>
      </c>
      <c r="F339" s="1128">
        <v>0.36280000000000001</v>
      </c>
      <c r="G339" s="1128">
        <v>0.14330000000000001</v>
      </c>
      <c r="H339" s="1128">
        <v>5.9413999999999998</v>
      </c>
      <c r="I339" s="1128">
        <v>0.39269999999999999</v>
      </c>
      <c r="J339" s="1128">
        <v>4.4051999999999998</v>
      </c>
      <c r="K339" s="1128">
        <v>0.80120000000000002</v>
      </c>
      <c r="L339" s="1128">
        <v>0.98570000000000002</v>
      </c>
      <c r="M339" s="1128">
        <v>0.50119999999999998</v>
      </c>
      <c r="N339" s="1128">
        <v>0.54159999999999997</v>
      </c>
      <c r="O339" s="1128">
        <v>3.9676999999999998</v>
      </c>
      <c r="P339" s="1128">
        <v>1.1245000000000001</v>
      </c>
      <c r="Q339" s="1128">
        <v>0.8669</v>
      </c>
      <c r="R339" s="1128">
        <v>0.28920000000000001</v>
      </c>
      <c r="S339" s="1128">
        <v>0.49619999999999997</v>
      </c>
      <c r="T339" s="412" t="e">
        <v>#DIV/0!</v>
      </c>
      <c r="U339" s="1128">
        <v>2.4367999999999999</v>
      </c>
      <c r="V339" s="1128">
        <v>0.51400000000000001</v>
      </c>
      <c r="W339" s="1128">
        <v>1.2057</v>
      </c>
      <c r="X339" s="1128">
        <v>0.73950000000000005</v>
      </c>
      <c r="Y339" s="1128">
        <v>2.7216</v>
      </c>
      <c r="Z339" s="1128">
        <v>0.1779</v>
      </c>
      <c r="AA339" s="412" t="e">
        <v>#DIV/0!</v>
      </c>
      <c r="AB339" s="412" t="e">
        <v>#DIV/0!</v>
      </c>
      <c r="AC339" s="1128">
        <v>1.8298000000000001</v>
      </c>
      <c r="AD339" s="1128">
        <v>0.49519999999999997</v>
      </c>
      <c r="AE339" s="1128">
        <v>1.1304000000000001</v>
      </c>
      <c r="AF339" s="1128">
        <v>0.251</v>
      </c>
      <c r="AG339" s="1128">
        <v>1.3645</v>
      </c>
      <c r="AH339" s="1128">
        <v>2.9264000000000001</v>
      </c>
      <c r="AI339" s="1128">
        <v>0.34050000000000002</v>
      </c>
      <c r="AJ339" s="1128">
        <v>1.0137</v>
      </c>
      <c r="AK339" s="1128">
        <v>0.52310000000000001</v>
      </c>
      <c r="AL339" s="412" t="e">
        <v>#DIV/0!</v>
      </c>
      <c r="AM339" s="412" t="e">
        <v>#DIV/0!</v>
      </c>
      <c r="AN339" s="1128">
        <v>1.3224</v>
      </c>
      <c r="AO339" s="1128">
        <v>0.37219999999999998</v>
      </c>
      <c r="AP339" s="1128">
        <v>1.4338</v>
      </c>
      <c r="AQ339" s="1128">
        <v>0.35630000000000001</v>
      </c>
      <c r="AR339" s="1128">
        <v>2.1236000000000002</v>
      </c>
      <c r="AS339" s="1128">
        <v>1.7886</v>
      </c>
      <c r="AT339" s="1128">
        <v>0.81699999999999995</v>
      </c>
      <c r="AU339" s="1128">
        <v>0.6905</v>
      </c>
      <c r="AV339" s="1128">
        <v>1.2921</v>
      </c>
      <c r="AW339" s="412" t="e">
        <v>#DIV/0!</v>
      </c>
      <c r="AX339" s="1128">
        <v>0.47939999999999999</v>
      </c>
      <c r="AY339" s="1128">
        <v>0.87839999999999996</v>
      </c>
      <c r="AZ339" s="1128">
        <v>0.5071</v>
      </c>
      <c r="BA339" s="1128">
        <v>-4.21</v>
      </c>
      <c r="BB339" s="1128">
        <v>3.4691999999999998</v>
      </c>
      <c r="BC339" s="1128">
        <v>0.19789999999999999</v>
      </c>
      <c r="BD339" s="1128">
        <v>0.29220000000000002</v>
      </c>
      <c r="BE339" s="1128">
        <v>2.2504</v>
      </c>
      <c r="BF339" s="1128">
        <v>0.70730000000000004</v>
      </c>
      <c r="BG339" s="1128">
        <v>0.74239999999999995</v>
      </c>
      <c r="BH339" s="1128">
        <v>1.1205000000000001</v>
      </c>
      <c r="BI339" s="1128">
        <v>1.2315</v>
      </c>
      <c r="BJ339" s="1128">
        <v>0.28860000000000002</v>
      </c>
      <c r="BK339" s="1128">
        <v>0.502</v>
      </c>
      <c r="BL339" s="1128">
        <v>0.9163</v>
      </c>
      <c r="BM339" s="1128">
        <v>2.0975000000000001</v>
      </c>
      <c r="BN339" s="1128">
        <v>3.1789999999999998</v>
      </c>
      <c r="BO339" s="1128">
        <v>1.2665</v>
      </c>
      <c r="BP339" s="1128">
        <v>1.4973000000000001</v>
      </c>
      <c r="BQ339" s="1128">
        <v>0.65600000000000003</v>
      </c>
      <c r="BR339" s="1128">
        <v>0.42449999999999999</v>
      </c>
      <c r="BS339" s="1128">
        <v>0.4975</v>
      </c>
      <c r="BT339" s="1128">
        <v>1.1515</v>
      </c>
    </row>
    <row r="340" spans="1:72" s="408" customFormat="1" x14ac:dyDescent="0.3">
      <c r="A340" s="408" t="s">
        <v>795</v>
      </c>
      <c r="B340" s="409"/>
      <c r="D340" s="408" t="s">
        <v>1769</v>
      </c>
      <c r="F340" s="408">
        <v>0</v>
      </c>
      <c r="G340" s="408">
        <v>1145884</v>
      </c>
      <c r="H340" s="408">
        <v>12799</v>
      </c>
      <c r="I340" s="408">
        <v>2049314</v>
      </c>
      <c r="J340" s="408">
        <v>0</v>
      </c>
      <c r="K340" s="408">
        <v>101379</v>
      </c>
      <c r="L340" s="408">
        <v>407052</v>
      </c>
      <c r="M340" s="408">
        <v>55695</v>
      </c>
      <c r="N340" s="408">
        <v>3893295</v>
      </c>
      <c r="O340" s="408">
        <v>0</v>
      </c>
      <c r="P340" s="408">
        <v>1104261</v>
      </c>
      <c r="Q340" s="408">
        <v>0</v>
      </c>
      <c r="R340" s="408">
        <v>632570</v>
      </c>
      <c r="S340" s="408">
        <v>5986431</v>
      </c>
      <c r="T340" s="408">
        <v>0</v>
      </c>
      <c r="U340" s="408">
        <v>32494</v>
      </c>
      <c r="V340" s="408">
        <v>38173</v>
      </c>
      <c r="W340" s="408">
        <v>23923</v>
      </c>
      <c r="X340" s="408">
        <v>0</v>
      </c>
      <c r="Y340" s="408">
        <v>0</v>
      </c>
      <c r="Z340" s="408">
        <v>512834</v>
      </c>
      <c r="AA340" s="408">
        <v>0</v>
      </c>
      <c r="AB340" s="408">
        <v>0</v>
      </c>
      <c r="AC340" s="408">
        <v>18473</v>
      </c>
      <c r="AD340" s="408">
        <v>838829</v>
      </c>
      <c r="AE340" s="408">
        <v>98769</v>
      </c>
      <c r="AF340" s="408">
        <v>6001</v>
      </c>
      <c r="AG340" s="408">
        <v>0</v>
      </c>
      <c r="AH340" s="408">
        <v>0</v>
      </c>
      <c r="AI340" s="408">
        <v>1450583</v>
      </c>
      <c r="AJ340" s="408">
        <v>434108</v>
      </c>
      <c r="AK340" s="408">
        <v>193894</v>
      </c>
      <c r="AL340" s="408">
        <v>0</v>
      </c>
      <c r="AM340" s="408">
        <v>0</v>
      </c>
      <c r="AN340" s="408">
        <v>0</v>
      </c>
      <c r="AO340" s="408">
        <v>357350</v>
      </c>
      <c r="AP340" s="408">
        <v>0</v>
      </c>
      <c r="AQ340" s="408">
        <v>291568</v>
      </c>
      <c r="AR340" s="408">
        <v>0</v>
      </c>
      <c r="AS340" s="408">
        <v>388085</v>
      </c>
      <c r="AT340" s="408">
        <v>192810</v>
      </c>
      <c r="AU340" s="408">
        <v>0</v>
      </c>
      <c r="AV340" s="408">
        <v>140542</v>
      </c>
      <c r="AW340" s="408">
        <v>0</v>
      </c>
      <c r="AX340" s="408">
        <v>250411</v>
      </c>
      <c r="AY340" s="408">
        <v>0</v>
      </c>
      <c r="AZ340" s="408">
        <v>377181</v>
      </c>
      <c r="BA340" s="408">
        <v>0</v>
      </c>
      <c r="BB340" s="408">
        <v>0</v>
      </c>
      <c r="BC340" s="408">
        <v>0</v>
      </c>
      <c r="BD340" s="408">
        <v>190329</v>
      </c>
      <c r="BE340" s="408">
        <v>0</v>
      </c>
      <c r="BF340" s="408">
        <v>8500</v>
      </c>
      <c r="BG340" s="408">
        <v>1519742</v>
      </c>
      <c r="BH340" s="408">
        <v>98201</v>
      </c>
      <c r="BI340" s="408">
        <v>31972</v>
      </c>
      <c r="BJ340" s="408">
        <v>1591104</v>
      </c>
      <c r="BK340" s="408">
        <v>51106</v>
      </c>
      <c r="BL340" s="408">
        <v>70418</v>
      </c>
      <c r="BM340" s="408">
        <v>0</v>
      </c>
      <c r="BN340" s="408">
        <v>0</v>
      </c>
      <c r="BO340" s="408">
        <v>253309</v>
      </c>
      <c r="BP340" s="408">
        <v>55725</v>
      </c>
      <c r="BQ340" s="408">
        <v>149123</v>
      </c>
      <c r="BR340" s="408">
        <v>3681562</v>
      </c>
      <c r="BS340" s="408">
        <v>44364</v>
      </c>
      <c r="BT340" s="408">
        <v>0</v>
      </c>
    </row>
    <row r="341" spans="1:72" s="408" customFormat="1" x14ac:dyDescent="0.3">
      <c r="A341" s="408" t="s">
        <v>851</v>
      </c>
      <c r="B341" s="409"/>
      <c r="D341" s="408" t="s">
        <v>796</v>
      </c>
    </row>
    <row r="342" spans="1:72" s="408" customFormat="1" x14ac:dyDescent="0.3">
      <c r="A342" s="408" t="s">
        <v>798</v>
      </c>
      <c r="B342" s="409"/>
      <c r="D342" s="408" t="s">
        <v>797</v>
      </c>
    </row>
    <row r="343" spans="1:72" s="408" customFormat="1" x14ac:dyDescent="0.3">
      <c r="A343" s="408" t="s">
        <v>802</v>
      </c>
      <c r="B343" s="409"/>
      <c r="D343" s="408" t="s">
        <v>804</v>
      </c>
    </row>
    <row r="344" spans="1:72" s="408" customFormat="1" x14ac:dyDescent="0.3">
      <c r="A344" s="408" t="s">
        <v>803</v>
      </c>
      <c r="B344" s="409"/>
      <c r="D344" s="408" t="s">
        <v>805</v>
      </c>
    </row>
    <row r="345" spans="1:72" s="408" customFormat="1" x14ac:dyDescent="0.3">
      <c r="A345" s="408" t="s">
        <v>873</v>
      </c>
      <c r="B345" s="409"/>
      <c r="D345" s="408" t="s">
        <v>876</v>
      </c>
    </row>
    <row r="346" spans="1:72" s="408" customFormat="1" x14ac:dyDescent="0.3">
      <c r="A346" s="408" t="s">
        <v>874</v>
      </c>
      <c r="B346" s="409"/>
      <c r="D346" s="408" t="s">
        <v>875</v>
      </c>
    </row>
    <row r="347" spans="1:72" s="408" customFormat="1" x14ac:dyDescent="0.3">
      <c r="A347" s="408" t="s">
        <v>1099</v>
      </c>
      <c r="B347" s="409"/>
      <c r="D347" s="408" t="s">
        <v>823</v>
      </c>
      <c r="F347" s="408">
        <v>6.48</v>
      </c>
      <c r="G347" s="408">
        <v>2.08</v>
      </c>
      <c r="H347" s="408">
        <v>8.33</v>
      </c>
      <c r="I347" s="408">
        <v>2.54</v>
      </c>
      <c r="J347" s="408" t="e">
        <v>#DIV/0!</v>
      </c>
      <c r="K347" s="408">
        <v>1.21</v>
      </c>
      <c r="L347" s="408">
        <v>5.31</v>
      </c>
      <c r="M347" s="408">
        <v>4.9000000000000004</v>
      </c>
      <c r="N347" s="408">
        <v>12.26</v>
      </c>
      <c r="O347" s="408" t="e">
        <v>#DIV/0!</v>
      </c>
      <c r="P347" s="408">
        <v>6.63</v>
      </c>
      <c r="Q347" s="408" t="e">
        <v>#DIV/0!</v>
      </c>
      <c r="R347" s="408">
        <v>6.34</v>
      </c>
      <c r="S347" s="408">
        <v>1.78</v>
      </c>
      <c r="T347" s="408" t="e">
        <v>#DIV/0!</v>
      </c>
      <c r="U347" s="408" t="e">
        <v>#DIV/0!</v>
      </c>
      <c r="V347" s="408">
        <v>14.5</v>
      </c>
      <c r="W347" s="408">
        <v>2.0099999999999998</v>
      </c>
      <c r="X347" s="408">
        <v>3.75</v>
      </c>
      <c r="Y347" s="408">
        <v>2.87</v>
      </c>
      <c r="Z347" s="408">
        <v>2.21</v>
      </c>
      <c r="AA347" s="408" t="e">
        <v>#DIV/0!</v>
      </c>
      <c r="AB347" s="408" t="e">
        <v>#DIV/0!</v>
      </c>
      <c r="AC347" s="408">
        <v>1.21</v>
      </c>
      <c r="AD347" s="408">
        <v>2.6</v>
      </c>
      <c r="AE347" s="408">
        <v>30.73</v>
      </c>
      <c r="AF347" s="408">
        <v>0.47</v>
      </c>
      <c r="AG347" s="408" t="e">
        <v>#DIV/0!</v>
      </c>
      <c r="AH347" s="408" t="e">
        <v>#DIV/0!</v>
      </c>
      <c r="AI347" s="408">
        <v>2.2599999999999998</v>
      </c>
      <c r="AJ347" s="408">
        <v>3.81</v>
      </c>
      <c r="AK347" s="408">
        <v>0.51</v>
      </c>
      <c r="AL347" s="408" t="e">
        <v>#DIV/0!</v>
      </c>
      <c r="AM347" s="408" t="e">
        <v>#DIV/0!</v>
      </c>
      <c r="AN347" s="408" t="e">
        <v>#DIV/0!</v>
      </c>
      <c r="AO347" s="408">
        <v>1.93</v>
      </c>
      <c r="AP347" s="408">
        <v>23491.89</v>
      </c>
      <c r="AQ347" s="408">
        <v>2.15</v>
      </c>
      <c r="AR347" s="408" t="e">
        <v>#DIV/0!</v>
      </c>
      <c r="AS347" s="408">
        <v>0.68</v>
      </c>
      <c r="AT347" s="408">
        <v>10.98</v>
      </c>
      <c r="AU347" s="408">
        <v>27.54</v>
      </c>
      <c r="AV347" s="408">
        <v>10.68</v>
      </c>
      <c r="AW347" s="408" t="e">
        <v>#DIV/0!</v>
      </c>
      <c r="AX347" s="408">
        <v>2.4700000000000002</v>
      </c>
      <c r="AY347" s="408">
        <v>15.58</v>
      </c>
      <c r="AZ347" s="408">
        <v>1.5</v>
      </c>
      <c r="BA347" s="408" t="e">
        <v>#DIV/0!</v>
      </c>
      <c r="BB347" s="408" t="e">
        <v>#DIV/0!</v>
      </c>
      <c r="BC347" s="408" t="e">
        <v>#DIV/0!</v>
      </c>
      <c r="BD347" s="408">
        <v>3.54</v>
      </c>
      <c r="BE347" s="408" t="e">
        <v>#DIV/0!</v>
      </c>
      <c r="BF347" s="408" t="e">
        <v>#DIV/0!</v>
      </c>
      <c r="BG347" s="408">
        <v>18.350000000000001</v>
      </c>
      <c r="BH347" s="408">
        <v>2.14</v>
      </c>
      <c r="BI347" s="408">
        <v>20.64</v>
      </c>
      <c r="BJ347" s="408">
        <v>0.63</v>
      </c>
      <c r="BK347" s="408">
        <v>2.2400000000000002</v>
      </c>
      <c r="BL347" s="408">
        <v>8.8000000000000007</v>
      </c>
      <c r="BM347" s="408" t="e">
        <v>#DIV/0!</v>
      </c>
      <c r="BN347" s="408">
        <v>699.17</v>
      </c>
      <c r="BO347" s="408">
        <v>1.72</v>
      </c>
      <c r="BP347" s="408">
        <v>14.47</v>
      </c>
      <c r="BQ347" s="408">
        <v>16.47</v>
      </c>
      <c r="BR347" s="408">
        <v>20.72</v>
      </c>
      <c r="BS347" s="408">
        <v>6.93</v>
      </c>
      <c r="BT347" s="408" t="e">
        <v>#DIV/0!</v>
      </c>
    </row>
    <row r="348" spans="1:72" s="408" customFormat="1" x14ac:dyDescent="0.3">
      <c r="A348" s="408" t="s">
        <v>1108</v>
      </c>
      <c r="B348" s="409"/>
      <c r="D348" s="408" t="s">
        <v>1275</v>
      </c>
      <c r="F348" s="408">
        <v>1027737</v>
      </c>
      <c r="G348" s="408">
        <v>649547</v>
      </c>
      <c r="H348" s="408">
        <v>-30076</v>
      </c>
      <c r="I348" s="408">
        <v>1718001</v>
      </c>
      <c r="J348" s="408" t="s">
        <v>1770</v>
      </c>
      <c r="K348" s="408">
        <v>196390</v>
      </c>
      <c r="L348" s="408">
        <v>849306</v>
      </c>
      <c r="M348" s="408">
        <v>85499</v>
      </c>
      <c r="N348" s="408">
        <v>4630996</v>
      </c>
      <c r="O348" s="408" t="s">
        <v>1770</v>
      </c>
      <c r="P348" s="408">
        <v>807059</v>
      </c>
      <c r="Q348" s="408" t="s">
        <v>1770</v>
      </c>
      <c r="R348" s="408">
        <v>-571983</v>
      </c>
      <c r="S348" s="408">
        <v>14042123</v>
      </c>
      <c r="T348" s="408" t="s">
        <v>1770</v>
      </c>
      <c r="U348" s="408">
        <v>21611</v>
      </c>
      <c r="V348" s="408">
        <v>472062</v>
      </c>
      <c r="W348" s="408">
        <v>-99640</v>
      </c>
      <c r="X348" s="408">
        <v>-7827</v>
      </c>
      <c r="Y348" s="408">
        <v>50</v>
      </c>
      <c r="Z348" s="408">
        <v>-123602</v>
      </c>
      <c r="AA348" s="408" t="s">
        <v>1770</v>
      </c>
      <c r="AB348" s="408" t="s">
        <v>1770</v>
      </c>
      <c r="AC348" s="408">
        <v>27033</v>
      </c>
      <c r="AD348" s="408">
        <v>-163512</v>
      </c>
      <c r="AE348" s="408">
        <v>274881</v>
      </c>
      <c r="AF348" s="408">
        <v>40662</v>
      </c>
      <c r="AG348" s="408" t="s">
        <v>1770</v>
      </c>
      <c r="AH348" s="408" t="s">
        <v>1770</v>
      </c>
      <c r="AI348" s="408">
        <v>726203</v>
      </c>
      <c r="AJ348" s="408">
        <v>450383</v>
      </c>
      <c r="AK348" s="408">
        <v>166496</v>
      </c>
      <c r="AL348" s="408" t="s">
        <v>1770</v>
      </c>
      <c r="AM348" s="408" t="s">
        <v>1770</v>
      </c>
      <c r="AN348" s="408" t="s">
        <v>1770</v>
      </c>
      <c r="AO348" s="408">
        <v>-629297</v>
      </c>
      <c r="AP348" s="408">
        <v>313361</v>
      </c>
      <c r="AQ348" s="408">
        <v>623659</v>
      </c>
      <c r="AR348" s="408" t="s">
        <v>1770</v>
      </c>
      <c r="AS348" s="408">
        <v>-59489</v>
      </c>
      <c r="AT348" s="408">
        <v>131810</v>
      </c>
      <c r="AU348" s="408">
        <v>143351</v>
      </c>
      <c r="AV348" s="408">
        <v>-89878</v>
      </c>
      <c r="AW348" s="408" t="s">
        <v>1770</v>
      </c>
      <c r="AX348" s="408">
        <v>273331</v>
      </c>
      <c r="AY348" s="408">
        <v>167143</v>
      </c>
      <c r="AZ348" s="408">
        <v>165097</v>
      </c>
      <c r="BA348" s="408">
        <v>-224739</v>
      </c>
      <c r="BB348" s="408" t="s">
        <v>1770</v>
      </c>
      <c r="BC348" s="408" t="s">
        <v>1770</v>
      </c>
      <c r="BD348" s="408">
        <v>158729</v>
      </c>
      <c r="BE348" s="408" t="s">
        <v>1770</v>
      </c>
      <c r="BF348" s="408">
        <v>-44522</v>
      </c>
      <c r="BG348" s="408">
        <v>1818965</v>
      </c>
      <c r="BH348" s="408">
        <v>-61131</v>
      </c>
      <c r="BI348" s="408">
        <v>44872</v>
      </c>
      <c r="BJ348" s="408">
        <v>-330557</v>
      </c>
      <c r="BK348" s="408">
        <v>-39922</v>
      </c>
      <c r="BL348" s="408">
        <v>28873</v>
      </c>
      <c r="BM348" s="408" t="s">
        <v>1770</v>
      </c>
      <c r="BN348" s="408">
        <v>29895</v>
      </c>
      <c r="BO348" s="408">
        <v>-68043</v>
      </c>
      <c r="BP348" s="408">
        <v>65202</v>
      </c>
      <c r="BQ348" s="408">
        <v>299818</v>
      </c>
      <c r="BR348" s="408">
        <v>7971773</v>
      </c>
      <c r="BS348" s="408">
        <v>125606</v>
      </c>
      <c r="BT348" s="408" t="s">
        <v>1770</v>
      </c>
    </row>
    <row r="349" spans="1:72" s="408" customFormat="1" x14ac:dyDescent="0.3">
      <c r="A349" s="408" t="s">
        <v>1107</v>
      </c>
      <c r="B349" s="409"/>
      <c r="D349" s="408" t="s">
        <v>1109</v>
      </c>
      <c r="F349" s="412">
        <v>0.92</v>
      </c>
      <c r="G349" s="412">
        <v>0.28000000000000003</v>
      </c>
      <c r="H349" s="412">
        <v>0.68</v>
      </c>
      <c r="I349" s="412">
        <v>0.52</v>
      </c>
      <c r="J349" s="412" t="e">
        <v>#DIV/0!</v>
      </c>
      <c r="K349" s="412">
        <v>0.33</v>
      </c>
      <c r="L349" s="412">
        <v>1.69</v>
      </c>
      <c r="M349" s="412">
        <v>0.44</v>
      </c>
      <c r="N349" s="412">
        <v>3.58</v>
      </c>
      <c r="O349" s="412" t="e">
        <v>#DIV/0!</v>
      </c>
      <c r="P349" s="412">
        <v>1.98</v>
      </c>
      <c r="Q349" s="412" t="e">
        <v>#DIV/0!</v>
      </c>
      <c r="R349" s="412">
        <v>0.87</v>
      </c>
      <c r="S349" s="412">
        <v>2.2000000000000002</v>
      </c>
      <c r="T349" s="412" t="e">
        <v>#DIV/0!</v>
      </c>
      <c r="U349" s="412">
        <v>1.82</v>
      </c>
      <c r="V349" s="412">
        <v>0.95</v>
      </c>
      <c r="W349" s="412">
        <v>0.72</v>
      </c>
      <c r="X349" s="412">
        <v>0.33</v>
      </c>
      <c r="Y349" s="412">
        <v>0.39</v>
      </c>
      <c r="Z349" s="412">
        <v>0.22</v>
      </c>
      <c r="AA349" s="412" t="e">
        <v>#DIV/0!</v>
      </c>
      <c r="AB349" s="412" t="e">
        <v>#DIV/0!</v>
      </c>
      <c r="AC349" s="412">
        <v>0.1</v>
      </c>
      <c r="AD349" s="412">
        <v>0.56999999999999995</v>
      </c>
      <c r="AE349" s="412">
        <v>2.14</v>
      </c>
      <c r="AF349" s="412">
        <v>0.52</v>
      </c>
      <c r="AG349" s="412" t="e">
        <v>#DIV/0!</v>
      </c>
      <c r="AH349" s="412" t="e">
        <v>#DIV/0!</v>
      </c>
      <c r="AI349" s="412">
        <v>0.44</v>
      </c>
      <c r="AJ349" s="412">
        <v>0.84</v>
      </c>
      <c r="AK349" s="412">
        <v>0</v>
      </c>
      <c r="AL349" s="412" t="e">
        <v>#DIV/0!</v>
      </c>
      <c r="AM349" s="412" t="e">
        <v>#DIV/0!</v>
      </c>
      <c r="AN349" s="412" t="e">
        <v>#DIV/0!</v>
      </c>
      <c r="AO349" s="412">
        <v>0.08</v>
      </c>
      <c r="AP349" s="412">
        <v>9.1199999999999992</v>
      </c>
      <c r="AQ349" s="412">
        <v>0.1</v>
      </c>
      <c r="AR349" s="412" t="e">
        <v>#DIV/0!</v>
      </c>
      <c r="AS349" s="412">
        <v>0.26</v>
      </c>
      <c r="AT349" s="412">
        <v>1.2</v>
      </c>
      <c r="AU349" s="412">
        <v>0.56000000000000005</v>
      </c>
      <c r="AV349" s="412">
        <v>0.96</v>
      </c>
      <c r="AW349" s="412" t="e">
        <v>#DIV/0!</v>
      </c>
      <c r="AX349" s="412">
        <v>0.64</v>
      </c>
      <c r="AY349" s="412">
        <v>0.98</v>
      </c>
      <c r="AZ349" s="412">
        <v>0.16</v>
      </c>
      <c r="BA349" s="412">
        <v>0.27</v>
      </c>
      <c r="BB349" s="412" t="e">
        <v>#DIV/0!</v>
      </c>
      <c r="BC349" s="412">
        <v>0</v>
      </c>
      <c r="BD349" s="412">
        <v>0.36</v>
      </c>
      <c r="BE349" s="412" t="e">
        <v>#DIV/0!</v>
      </c>
      <c r="BF349" s="412">
        <v>0</v>
      </c>
      <c r="BG349" s="412">
        <v>2.38</v>
      </c>
      <c r="BH349" s="412">
        <v>1.48</v>
      </c>
      <c r="BI349" s="412">
        <v>4.5199999999999996</v>
      </c>
      <c r="BJ349" s="412">
        <v>0.08</v>
      </c>
      <c r="BK349" s="412">
        <v>0.47</v>
      </c>
      <c r="BL349" s="412">
        <v>1.68</v>
      </c>
      <c r="BM349" s="412" t="e">
        <v>#DIV/0!</v>
      </c>
      <c r="BN349" s="412">
        <v>1.62</v>
      </c>
      <c r="BO349" s="412">
        <v>0.14000000000000001</v>
      </c>
      <c r="BP349" s="412">
        <v>1.07</v>
      </c>
      <c r="BQ349" s="412">
        <v>1.54</v>
      </c>
      <c r="BR349" s="412">
        <v>3.28</v>
      </c>
      <c r="BS349" s="412">
        <v>0.59</v>
      </c>
      <c r="BT349" s="412" t="e">
        <v>#DIV/0!</v>
      </c>
    </row>
    <row r="350" spans="1:72" s="408" customFormat="1" x14ac:dyDescent="0.3">
      <c r="A350" s="408" t="s">
        <v>1106</v>
      </c>
      <c r="B350" s="409"/>
      <c r="D350" s="408" t="s">
        <v>1110</v>
      </c>
      <c r="F350" s="408" t="e">
        <v>#DIV/0!</v>
      </c>
      <c r="G350" s="408" t="e">
        <v>#DIV/0!</v>
      </c>
      <c r="H350" s="408" t="e">
        <v>#DIV/0!</v>
      </c>
      <c r="I350" s="408">
        <v>5.56</v>
      </c>
      <c r="J350" s="408" t="e">
        <v>#DIV/0!</v>
      </c>
      <c r="K350" s="408" t="e">
        <v>#DIV/0!</v>
      </c>
      <c r="L350" s="408" t="e">
        <v>#DIV/0!</v>
      </c>
      <c r="M350" s="408" t="e">
        <v>#DIV/0!</v>
      </c>
      <c r="N350" s="408">
        <v>3.36</v>
      </c>
      <c r="O350" s="408" t="e">
        <v>#DIV/0!</v>
      </c>
      <c r="P350" s="408" t="e">
        <v>#DIV/0!</v>
      </c>
      <c r="Q350" s="408" t="e">
        <v>#DIV/0!</v>
      </c>
      <c r="R350" s="408" t="e">
        <v>#DIV/0!</v>
      </c>
      <c r="S350" s="408" t="e">
        <v>#DIV/0!</v>
      </c>
      <c r="T350" s="408" t="e">
        <v>#DIV/0!</v>
      </c>
      <c r="U350" s="408" t="e">
        <v>#DIV/0!</v>
      </c>
      <c r="V350" s="408" t="e">
        <v>#DIV/0!</v>
      </c>
      <c r="W350" s="408" t="e">
        <v>#DIV/0!</v>
      </c>
      <c r="X350" s="408" t="e">
        <v>#DIV/0!</v>
      </c>
      <c r="Y350" s="408" t="e">
        <v>#DIV/0!</v>
      </c>
      <c r="Z350" s="408">
        <v>4.29</v>
      </c>
      <c r="AA350" s="408" t="e">
        <v>#DIV/0!</v>
      </c>
      <c r="AB350" s="408" t="e">
        <v>#DIV/0!</v>
      </c>
      <c r="AC350" s="408" t="e">
        <v>#DIV/0!</v>
      </c>
      <c r="AD350" s="408" t="e">
        <v>#DIV/0!</v>
      </c>
      <c r="AE350" s="408" t="e">
        <v>#DIV/0!</v>
      </c>
      <c r="AF350" s="408" t="e">
        <v>#DIV/0!</v>
      </c>
      <c r="AG350" s="408" t="e">
        <v>#DIV/0!</v>
      </c>
      <c r="AH350" s="408" t="e">
        <v>#DIV/0!</v>
      </c>
      <c r="AI350" s="408" t="e">
        <v>#DIV/0!</v>
      </c>
      <c r="AJ350" s="408" t="e">
        <v>#DIV/0!</v>
      </c>
      <c r="AK350" s="408">
        <v>8.56</v>
      </c>
      <c r="AL350" s="408" t="e">
        <v>#DIV/0!</v>
      </c>
      <c r="AM350" s="408" t="e">
        <v>#DIV/0!</v>
      </c>
      <c r="AN350" s="408" t="e">
        <v>#DIV/0!</v>
      </c>
      <c r="AO350" s="408">
        <v>4.8899999999999997</v>
      </c>
      <c r="AP350" s="408" t="e">
        <v>#DIV/0!</v>
      </c>
      <c r="AQ350" s="408" t="e">
        <v>#DIV/0!</v>
      </c>
      <c r="AR350" s="408" t="e">
        <v>#DIV/0!</v>
      </c>
      <c r="AS350" s="408" t="e">
        <v>#DIV/0!</v>
      </c>
      <c r="AT350" s="408" t="e">
        <v>#DIV/0!</v>
      </c>
      <c r="AU350" s="408" t="e">
        <v>#DIV/0!</v>
      </c>
      <c r="AV350" s="408" t="e">
        <v>#DIV/0!</v>
      </c>
      <c r="AW350" s="408" t="e">
        <v>#DIV/0!</v>
      </c>
      <c r="AX350" s="408" t="e">
        <v>#DIV/0!</v>
      </c>
      <c r="AY350" s="408" t="e">
        <v>#DIV/0!</v>
      </c>
      <c r="AZ350" s="408" t="e">
        <v>#DIV/0!</v>
      </c>
      <c r="BA350" s="408" t="e">
        <v>#DIV/0!</v>
      </c>
      <c r="BB350" s="408" t="e">
        <v>#DIV/0!</v>
      </c>
      <c r="BC350" s="408" t="e">
        <v>#DIV/0!</v>
      </c>
      <c r="BD350" s="408" t="e">
        <v>#DIV/0!</v>
      </c>
      <c r="BE350" s="408" t="e">
        <v>#DIV/0!</v>
      </c>
      <c r="BF350" s="408" t="e">
        <v>#DIV/0!</v>
      </c>
      <c r="BG350" s="408" t="e">
        <v>#DIV/0!</v>
      </c>
      <c r="BH350" s="408" t="e">
        <v>#DIV/0!</v>
      </c>
      <c r="BI350" s="408">
        <v>75.73</v>
      </c>
      <c r="BJ350" s="408" t="e">
        <v>#DIV/0!</v>
      </c>
      <c r="BK350" s="408" t="e">
        <v>#DIV/0!</v>
      </c>
      <c r="BL350" s="408" t="e">
        <v>#DIV/0!</v>
      </c>
      <c r="BM350" s="408" t="e">
        <v>#DIV/0!</v>
      </c>
      <c r="BN350" s="408" t="e">
        <v>#DIV/0!</v>
      </c>
      <c r="BO350" s="408" t="e">
        <v>#DIV/0!</v>
      </c>
      <c r="BP350" s="408" t="e">
        <v>#DIV/0!</v>
      </c>
      <c r="BQ350" s="408" t="e">
        <v>#DIV/0!</v>
      </c>
      <c r="BR350" s="408" t="e">
        <v>#DIV/0!</v>
      </c>
      <c r="BS350" s="408" t="e">
        <v>#DIV/0!</v>
      </c>
      <c r="BT350" s="408" t="e">
        <v>#DIV/0!</v>
      </c>
    </row>
    <row r="351" spans="1:72" s="408" customFormat="1" x14ac:dyDescent="0.3">
      <c r="A351" s="408" t="s">
        <v>1112</v>
      </c>
      <c r="B351" s="409"/>
      <c r="D351" s="408" t="s">
        <v>1277</v>
      </c>
      <c r="F351" s="408" t="s">
        <v>1770</v>
      </c>
      <c r="G351" s="408" t="s">
        <v>1770</v>
      </c>
      <c r="H351" s="408" t="s">
        <v>1770</v>
      </c>
      <c r="I351" s="408">
        <v>2308550</v>
      </c>
      <c r="J351" s="408" t="s">
        <v>1770</v>
      </c>
      <c r="K351" s="408" t="s">
        <v>1770</v>
      </c>
      <c r="L351" s="408" t="s">
        <v>1770</v>
      </c>
      <c r="M351" s="408" t="s">
        <v>1770</v>
      </c>
      <c r="N351" s="408">
        <v>5399413</v>
      </c>
      <c r="O351" s="408" t="s">
        <v>1770</v>
      </c>
      <c r="P351" s="408" t="s">
        <v>1770</v>
      </c>
      <c r="Q351" s="408" t="s">
        <v>1770</v>
      </c>
      <c r="R351" s="408" t="s">
        <v>1770</v>
      </c>
      <c r="S351" s="408" t="s">
        <v>1770</v>
      </c>
      <c r="T351" s="408" t="s">
        <v>1770</v>
      </c>
      <c r="U351" s="408" t="s">
        <v>1770</v>
      </c>
      <c r="V351" s="408" t="s">
        <v>1770</v>
      </c>
      <c r="W351" s="408" t="s">
        <v>1770</v>
      </c>
      <c r="X351" s="408" t="s">
        <v>1770</v>
      </c>
      <c r="Y351" s="408" t="s">
        <v>1770</v>
      </c>
      <c r="Z351" s="408">
        <v>451201</v>
      </c>
      <c r="AA351" s="408" t="s">
        <v>1770</v>
      </c>
      <c r="AB351" s="408" t="s">
        <v>1770</v>
      </c>
      <c r="AC351" s="408" t="s">
        <v>1770</v>
      </c>
      <c r="AD351" s="408" t="s">
        <v>1770</v>
      </c>
      <c r="AE351" s="408" t="s">
        <v>1770</v>
      </c>
      <c r="AF351" s="408" t="s">
        <v>1770</v>
      </c>
      <c r="AG351" s="408" t="s">
        <v>1770</v>
      </c>
      <c r="AH351" s="408" t="s">
        <v>1770</v>
      </c>
      <c r="AI351" s="408" t="s">
        <v>1770</v>
      </c>
      <c r="AJ351" s="408" t="s">
        <v>1770</v>
      </c>
      <c r="AK351" s="408">
        <v>94073</v>
      </c>
      <c r="AL351" s="408" t="s">
        <v>1770</v>
      </c>
      <c r="AM351" s="408" t="s">
        <v>1770</v>
      </c>
      <c r="AN351" s="408" t="s">
        <v>1770</v>
      </c>
      <c r="AO351" s="408">
        <v>-11903</v>
      </c>
      <c r="AP351" s="408" t="s">
        <v>1770</v>
      </c>
      <c r="AQ351" s="408" t="s">
        <v>1770</v>
      </c>
      <c r="AR351" s="408" t="s">
        <v>1770</v>
      </c>
      <c r="AS351" s="408" t="s">
        <v>1770</v>
      </c>
      <c r="AT351" s="408" t="s">
        <v>1770</v>
      </c>
      <c r="AU351" s="408" t="s">
        <v>1770</v>
      </c>
      <c r="AV351" s="408" t="s">
        <v>1770</v>
      </c>
      <c r="AW351" s="408" t="s">
        <v>1770</v>
      </c>
      <c r="AX351" s="408" t="s">
        <v>1770</v>
      </c>
      <c r="AY351" s="408" t="s">
        <v>1770</v>
      </c>
      <c r="AZ351" s="408" t="s">
        <v>1770</v>
      </c>
      <c r="BA351" s="408" t="s">
        <v>1770</v>
      </c>
      <c r="BB351" s="408" t="s">
        <v>1770</v>
      </c>
      <c r="BC351" s="408" t="s">
        <v>1770</v>
      </c>
      <c r="BD351" s="408" t="s">
        <v>1770</v>
      </c>
      <c r="BE351" s="408" t="s">
        <v>1770</v>
      </c>
      <c r="BF351" s="408" t="s">
        <v>1770</v>
      </c>
      <c r="BG351" s="408" t="s">
        <v>1770</v>
      </c>
      <c r="BH351" s="408" t="s">
        <v>1770</v>
      </c>
      <c r="BI351" s="408">
        <v>145557</v>
      </c>
      <c r="BJ351" s="408" t="s">
        <v>1770</v>
      </c>
      <c r="BK351" s="408" t="s">
        <v>1770</v>
      </c>
      <c r="BL351" s="408" t="s">
        <v>1770</v>
      </c>
      <c r="BM351" s="408" t="s">
        <v>1770</v>
      </c>
      <c r="BN351" s="408" t="s">
        <v>1770</v>
      </c>
      <c r="BO351" s="408" t="s">
        <v>1770</v>
      </c>
      <c r="BP351" s="408" t="s">
        <v>1770</v>
      </c>
      <c r="BQ351" s="408" t="s">
        <v>1770</v>
      </c>
      <c r="BR351" s="408" t="s">
        <v>1770</v>
      </c>
      <c r="BS351" s="408" t="s">
        <v>1770</v>
      </c>
      <c r="BT351" s="408" t="s">
        <v>1770</v>
      </c>
    </row>
    <row r="352" spans="1:72" s="408" customFormat="1" x14ac:dyDescent="0.3">
      <c r="A352" s="408" t="s">
        <v>1113</v>
      </c>
      <c r="B352" s="409"/>
      <c r="D352" s="408" t="s">
        <v>1115</v>
      </c>
      <c r="F352" s="408" t="e">
        <v>#DIV/0!</v>
      </c>
      <c r="G352" s="408" t="e">
        <v>#DIV/0!</v>
      </c>
      <c r="H352" s="408" t="e">
        <v>#DIV/0!</v>
      </c>
      <c r="I352" s="408">
        <v>0.4</v>
      </c>
      <c r="J352" s="408" t="e">
        <v>#DIV/0!</v>
      </c>
      <c r="K352" s="408" t="e">
        <v>#DIV/0!</v>
      </c>
      <c r="L352" s="408" t="e">
        <v>#DIV/0!</v>
      </c>
      <c r="M352" s="408" t="e">
        <v>#DIV/0!</v>
      </c>
      <c r="N352" s="408">
        <v>0.35</v>
      </c>
      <c r="O352" s="408" t="e">
        <v>#DIV/0!</v>
      </c>
      <c r="P352" s="408" t="e">
        <v>#DIV/0!</v>
      </c>
      <c r="Q352" s="408" t="e">
        <v>#DIV/0!</v>
      </c>
      <c r="R352" s="408" t="e">
        <v>#DIV/0!</v>
      </c>
      <c r="S352" s="408" t="e">
        <v>#DIV/0!</v>
      </c>
      <c r="T352" s="408" t="e">
        <v>#DIV/0!</v>
      </c>
      <c r="U352" s="408" t="e">
        <v>#DIV/0!</v>
      </c>
      <c r="V352" s="408" t="e">
        <v>#DIV/0!</v>
      </c>
      <c r="W352" s="408" t="e">
        <v>#DIV/0!</v>
      </c>
      <c r="X352" s="408" t="e">
        <v>#DIV/0!</v>
      </c>
      <c r="Y352" s="408" t="e">
        <v>#DIV/0!</v>
      </c>
      <c r="Z352" s="408">
        <v>0.45</v>
      </c>
      <c r="AA352" s="408" t="e">
        <v>#DIV/0!</v>
      </c>
      <c r="AB352" s="408" t="e">
        <v>#DIV/0!</v>
      </c>
      <c r="AC352" s="408" t="e">
        <v>#DIV/0!</v>
      </c>
      <c r="AD352" s="408" t="e">
        <v>#DIV/0!</v>
      </c>
      <c r="AE352" s="408" t="e">
        <v>#DIV/0!</v>
      </c>
      <c r="AF352" s="408" t="e">
        <v>#DIV/0!</v>
      </c>
      <c r="AG352" s="408" t="e">
        <v>#DIV/0!</v>
      </c>
      <c r="AH352" s="408" t="e">
        <v>#DIV/0!</v>
      </c>
      <c r="AI352" s="408" t="e">
        <v>#DIV/0!</v>
      </c>
      <c r="AJ352" s="408" t="e">
        <v>#DIV/0!</v>
      </c>
      <c r="AK352" s="408">
        <v>0.33</v>
      </c>
      <c r="AL352" s="408" t="e">
        <v>#DIV/0!</v>
      </c>
      <c r="AM352" s="408" t="e">
        <v>#DIV/0!</v>
      </c>
      <c r="AN352" s="408" t="e">
        <v>#DIV/0!</v>
      </c>
      <c r="AO352" s="408">
        <v>0.15</v>
      </c>
      <c r="AP352" s="408" t="e">
        <v>#DIV/0!</v>
      </c>
      <c r="AQ352" s="408" t="e">
        <v>#DIV/0!</v>
      </c>
      <c r="AR352" s="408" t="e">
        <v>#DIV/0!</v>
      </c>
      <c r="AS352" s="408" t="e">
        <v>#DIV/0!</v>
      </c>
      <c r="AT352" s="408" t="e">
        <v>#DIV/0!</v>
      </c>
      <c r="AU352" s="408" t="e">
        <v>#DIV/0!</v>
      </c>
      <c r="AV352" s="408" t="e">
        <v>#DIV/0!</v>
      </c>
      <c r="AW352" s="408" t="e">
        <v>#DIV/0!</v>
      </c>
      <c r="AX352" s="408" t="e">
        <v>#DIV/0!</v>
      </c>
      <c r="AY352" s="408" t="e">
        <v>#DIV/0!</v>
      </c>
      <c r="AZ352" s="408" t="e">
        <v>#DIV/0!</v>
      </c>
      <c r="BA352" s="408" t="e">
        <v>#DIV/0!</v>
      </c>
      <c r="BB352" s="408" t="e">
        <v>#DIV/0!</v>
      </c>
      <c r="BC352" s="408" t="e">
        <v>#DIV/0!</v>
      </c>
      <c r="BD352" s="408" t="e">
        <v>#DIV/0!</v>
      </c>
      <c r="BE352" s="408" t="e">
        <v>#DIV/0!</v>
      </c>
      <c r="BF352" s="408" t="e">
        <v>#DIV/0!</v>
      </c>
      <c r="BG352" s="408" t="e">
        <v>#DIV/0!</v>
      </c>
      <c r="BH352" s="408" t="e">
        <v>#DIV/0!</v>
      </c>
      <c r="BI352" s="408">
        <v>5.47</v>
      </c>
      <c r="BJ352" s="408" t="e">
        <v>#DIV/0!</v>
      </c>
      <c r="BK352" s="408" t="e">
        <v>#DIV/0!</v>
      </c>
      <c r="BL352" s="408" t="e">
        <v>#DIV/0!</v>
      </c>
      <c r="BM352" s="408" t="e">
        <v>#DIV/0!</v>
      </c>
      <c r="BN352" s="408" t="e">
        <v>#DIV/0!</v>
      </c>
      <c r="BO352" s="408" t="e">
        <v>#DIV/0!</v>
      </c>
      <c r="BP352" s="408" t="e">
        <v>#DIV/0!</v>
      </c>
      <c r="BQ352" s="408" t="e">
        <v>#DIV/0!</v>
      </c>
      <c r="BR352" s="408" t="e">
        <v>#DIV/0!</v>
      </c>
      <c r="BS352" s="408" t="e">
        <v>#DIV/0!</v>
      </c>
      <c r="BT352" s="408" t="e">
        <v>#DIV/0!</v>
      </c>
    </row>
    <row r="353" spans="1:91" s="408" customFormat="1" x14ac:dyDescent="0.3">
      <c r="A353" s="408" t="s">
        <v>1771</v>
      </c>
      <c r="B353" s="409"/>
      <c r="D353" s="408" t="s">
        <v>1130</v>
      </c>
      <c r="F353" s="408">
        <v>0</v>
      </c>
      <c r="G353" s="408">
        <v>0</v>
      </c>
      <c r="H353" s="408">
        <v>0</v>
      </c>
      <c r="I353" s="408">
        <v>31685410</v>
      </c>
      <c r="J353" s="408">
        <v>0</v>
      </c>
      <c r="K353" s="408">
        <v>0</v>
      </c>
      <c r="L353" s="408">
        <v>0</v>
      </c>
      <c r="M353" s="408">
        <v>0</v>
      </c>
      <c r="N353" s="408">
        <v>76512507</v>
      </c>
      <c r="O353" s="408">
        <v>0</v>
      </c>
      <c r="P353" s="408">
        <v>0</v>
      </c>
      <c r="Q353" s="408">
        <v>0</v>
      </c>
      <c r="R353" s="408">
        <v>0</v>
      </c>
      <c r="S353" s="408">
        <v>0</v>
      </c>
      <c r="T353" s="408">
        <v>0</v>
      </c>
      <c r="U353" s="408">
        <v>0</v>
      </c>
      <c r="V353" s="408">
        <v>0</v>
      </c>
      <c r="W353" s="408">
        <v>0</v>
      </c>
      <c r="X353" s="408">
        <v>0</v>
      </c>
      <c r="Y353" s="408">
        <v>0</v>
      </c>
      <c r="Z353" s="408">
        <v>13690465</v>
      </c>
      <c r="AA353" s="408">
        <v>0</v>
      </c>
      <c r="AB353" s="408">
        <v>0</v>
      </c>
      <c r="AC353" s="408">
        <v>0</v>
      </c>
      <c r="AD353" s="408">
        <v>0</v>
      </c>
      <c r="AE353" s="408">
        <v>0</v>
      </c>
      <c r="AF353" s="408">
        <v>0</v>
      </c>
      <c r="AG353" s="408">
        <v>0</v>
      </c>
      <c r="AH353" s="408">
        <v>0</v>
      </c>
      <c r="AI353" s="408">
        <v>0</v>
      </c>
      <c r="AJ353" s="408">
        <v>0</v>
      </c>
      <c r="AK353" s="408">
        <v>981130</v>
      </c>
      <c r="AL353" s="408">
        <v>0</v>
      </c>
      <c r="AM353" s="408">
        <v>0</v>
      </c>
      <c r="AN353" s="408">
        <v>0</v>
      </c>
      <c r="AO353" s="408">
        <v>2997759</v>
      </c>
      <c r="AP353" s="408">
        <v>0</v>
      </c>
      <c r="AQ353" s="408">
        <v>0</v>
      </c>
      <c r="AR353" s="408">
        <v>0</v>
      </c>
      <c r="AS353" s="408">
        <v>0</v>
      </c>
      <c r="AT353" s="408">
        <v>0</v>
      </c>
      <c r="AU353" s="408">
        <v>0</v>
      </c>
      <c r="AV353" s="408">
        <v>0</v>
      </c>
      <c r="AW353" s="408">
        <v>0</v>
      </c>
      <c r="AX353" s="408">
        <v>0</v>
      </c>
      <c r="AY353" s="408">
        <v>0</v>
      </c>
      <c r="AZ353" s="408">
        <v>0</v>
      </c>
      <c r="BA353" s="408">
        <v>0</v>
      </c>
      <c r="BB353" s="408">
        <v>0</v>
      </c>
      <c r="BC353" s="408">
        <v>0</v>
      </c>
      <c r="BD353" s="408">
        <v>0</v>
      </c>
      <c r="BE353" s="408">
        <v>0</v>
      </c>
      <c r="BF353" s="408">
        <v>0</v>
      </c>
      <c r="BG353" s="408">
        <v>0</v>
      </c>
      <c r="BH353" s="408">
        <v>0</v>
      </c>
      <c r="BI353" s="408">
        <v>730047</v>
      </c>
      <c r="BJ353" s="408">
        <v>0</v>
      </c>
      <c r="BK353" s="408">
        <v>0</v>
      </c>
      <c r="BL353" s="408">
        <v>0</v>
      </c>
      <c r="BM353" s="408">
        <v>0</v>
      </c>
      <c r="BN353" s="408">
        <v>0</v>
      </c>
      <c r="BO353" s="408">
        <v>0</v>
      </c>
      <c r="BP353" s="408">
        <v>0</v>
      </c>
      <c r="BQ353" s="408">
        <v>0</v>
      </c>
      <c r="BR353" s="408">
        <v>0</v>
      </c>
      <c r="BS353" s="408">
        <v>0</v>
      </c>
      <c r="BT353" s="408">
        <v>0</v>
      </c>
    </row>
    <row r="354" spans="1:91" s="408" customFormat="1" x14ac:dyDescent="0.3">
      <c r="A354" s="408" t="s">
        <v>1129</v>
      </c>
      <c r="B354" s="409"/>
    </row>
    <row r="355" spans="1:91" s="408" customFormat="1" x14ac:dyDescent="0.3">
      <c r="A355" s="408" t="s">
        <v>1772</v>
      </c>
      <c r="B355" s="409"/>
    </row>
    <row r="356" spans="1:91" s="408" customFormat="1" x14ac:dyDescent="0.3">
      <c r="A356" s="408" t="s">
        <v>1772</v>
      </c>
      <c r="B356" s="409"/>
    </row>
    <row r="361" spans="1:91" x14ac:dyDescent="0.3">
      <c r="D361" s="99" t="s">
        <v>1272</v>
      </c>
      <c r="F361" s="1129">
        <v>238900386.27000001</v>
      </c>
      <c r="G361" s="1129">
        <v>248348826.63999999</v>
      </c>
      <c r="H361" s="1129">
        <v>45508914.640000001</v>
      </c>
      <c r="I361" s="1129">
        <v>1104840240.5799999</v>
      </c>
      <c r="J361" s="1129">
        <v>4759421.21</v>
      </c>
      <c r="K361" s="1129">
        <v>100150307.38</v>
      </c>
      <c r="L361" s="1129">
        <v>186890666.56999999</v>
      </c>
      <c r="M361" s="1129">
        <v>21106920.91</v>
      </c>
      <c r="N361" s="1129">
        <v>5289652833.4700003</v>
      </c>
      <c r="O361" s="1129">
        <v>815018</v>
      </c>
      <c r="P361" s="1129">
        <v>388366436.11000001</v>
      </c>
      <c r="Q361" s="1129">
        <v>25136293.530000001</v>
      </c>
      <c r="R361" s="1129">
        <v>930218763.36000001</v>
      </c>
      <c r="S361" s="1129">
        <v>4963518350.6300001</v>
      </c>
      <c r="T361" s="99">
        <v>0.01</v>
      </c>
      <c r="U361" s="1129">
        <v>22945924.07</v>
      </c>
      <c r="V361" s="1129">
        <v>164973865.66999999</v>
      </c>
      <c r="W361" s="1129">
        <v>49434988.329999998</v>
      </c>
      <c r="X361" s="1129">
        <v>16738521.029999999</v>
      </c>
      <c r="Y361" s="1129">
        <v>7433499.0099999998</v>
      </c>
      <c r="Z361" s="1129">
        <v>290461136.70999998</v>
      </c>
      <c r="AA361" s="99">
        <v>0</v>
      </c>
      <c r="AB361" s="99">
        <v>0.01</v>
      </c>
      <c r="AC361" s="1129">
        <v>48974218.229999997</v>
      </c>
      <c r="AD361" s="1129">
        <v>333691828.08999997</v>
      </c>
      <c r="AE361" s="1129">
        <v>88130756.019999996</v>
      </c>
      <c r="AF361" s="1129">
        <v>23008913.91</v>
      </c>
      <c r="AG361" s="1129">
        <v>6179968</v>
      </c>
      <c r="AH361" s="1129">
        <v>1634675.08</v>
      </c>
      <c r="AI361" s="1129">
        <v>337211084.16000003</v>
      </c>
      <c r="AJ361" s="1129">
        <v>249967149.58000001</v>
      </c>
      <c r="AK361" s="1129">
        <v>99047279.450000003</v>
      </c>
      <c r="AL361" s="99">
        <v>0.01</v>
      </c>
      <c r="AM361" s="99">
        <v>0</v>
      </c>
      <c r="AN361" s="1129">
        <v>4081545.85</v>
      </c>
      <c r="AO361" s="1129">
        <v>207056483.84999999</v>
      </c>
      <c r="AP361" s="1129">
        <v>79811662.569999993</v>
      </c>
      <c r="AQ361" s="1129">
        <v>224623286.03999999</v>
      </c>
      <c r="AR361" s="1129">
        <v>6760835.0599999996</v>
      </c>
      <c r="AS361" s="1129">
        <v>100607122.01000001</v>
      </c>
      <c r="AT361" s="1129">
        <v>71848636.040000007</v>
      </c>
      <c r="AU361" s="1129">
        <v>89572779.329999998</v>
      </c>
      <c r="AV361" s="1129">
        <v>82320078.530000001</v>
      </c>
      <c r="AW361" s="99">
        <v>0.1</v>
      </c>
      <c r="AX361" s="1129">
        <v>213090139.81</v>
      </c>
      <c r="AY361" s="1129">
        <v>73958655.590000004</v>
      </c>
      <c r="AZ361" s="1129">
        <v>322267428.26999998</v>
      </c>
      <c r="BA361" s="1129">
        <v>11206788.810000001</v>
      </c>
      <c r="BB361" s="1129">
        <v>5327406.24</v>
      </c>
      <c r="BC361" s="1129">
        <v>86676238.420000002</v>
      </c>
      <c r="BD361" s="1129">
        <v>76236010.489999995</v>
      </c>
      <c r="BE361" s="1129">
        <v>6283870.6600000001</v>
      </c>
      <c r="BF361" s="1129">
        <v>27027954.120000001</v>
      </c>
      <c r="BG361" s="1129">
        <v>733827363.90999997</v>
      </c>
      <c r="BH361" s="1129">
        <v>44027067.119999997</v>
      </c>
      <c r="BI361" s="1129">
        <v>35323380.280000001</v>
      </c>
      <c r="BJ361" s="1129">
        <v>343150854.04000002</v>
      </c>
      <c r="BK361" s="1129">
        <v>17218355.300000001</v>
      </c>
      <c r="BL361" s="1129">
        <v>37368917.630000003</v>
      </c>
      <c r="BM361" s="1129">
        <v>8241089.9000000004</v>
      </c>
      <c r="BN361" s="1129">
        <v>32950786.469999999</v>
      </c>
      <c r="BO361" s="1129">
        <v>106477051.45999999</v>
      </c>
      <c r="BP361" s="1129">
        <v>41032941.149999999</v>
      </c>
      <c r="BQ361" s="1129">
        <v>180294297.38999999</v>
      </c>
      <c r="BR361" s="1129">
        <v>2531253875.27</v>
      </c>
      <c r="BS361" s="1129">
        <v>115694744.83</v>
      </c>
      <c r="BT361" s="1129">
        <v>208598274.28</v>
      </c>
    </row>
    <row r="362" spans="1:91" x14ac:dyDescent="0.3">
      <c r="D362" s="99" t="s">
        <v>1273</v>
      </c>
      <c r="F362" s="1129">
        <v>238900386.27000001</v>
      </c>
      <c r="G362" s="1129">
        <v>248348826.63999999</v>
      </c>
      <c r="H362" s="1129">
        <v>45508914.640000001</v>
      </c>
      <c r="I362" s="1129">
        <v>1104840240.5799999</v>
      </c>
      <c r="J362" s="1129">
        <v>4759421.21</v>
      </c>
      <c r="K362" s="1129">
        <v>100150307.38</v>
      </c>
      <c r="L362" s="1129">
        <v>186890666.56999999</v>
      </c>
      <c r="M362" s="1129">
        <v>21106920.91</v>
      </c>
      <c r="N362" s="1129">
        <v>5289652833.4700003</v>
      </c>
      <c r="O362" s="1129">
        <v>815018</v>
      </c>
      <c r="P362" s="1129">
        <v>388366436.11000001</v>
      </c>
      <c r="Q362" s="1129">
        <v>25136293.530000001</v>
      </c>
      <c r="R362" s="1129">
        <v>930218763.36000001</v>
      </c>
      <c r="S362" s="1129">
        <v>4963518350.6300001</v>
      </c>
      <c r="T362" s="99">
        <v>0.01</v>
      </c>
      <c r="U362" s="1129">
        <v>22945924.07</v>
      </c>
      <c r="V362" s="1129">
        <v>164973865.66999999</v>
      </c>
      <c r="W362" s="1129">
        <v>49434988.329999998</v>
      </c>
      <c r="X362" s="1129">
        <v>16738521.029999999</v>
      </c>
      <c r="Y362" s="1129">
        <v>7433499.0099999998</v>
      </c>
      <c r="Z362" s="1129">
        <v>290461136.70999998</v>
      </c>
      <c r="AA362" s="99">
        <v>0</v>
      </c>
      <c r="AB362" s="99">
        <v>0.01</v>
      </c>
      <c r="AC362" s="1129">
        <v>48974218.229999997</v>
      </c>
      <c r="AD362" s="1129">
        <v>333691828.08999997</v>
      </c>
      <c r="AE362" s="1129">
        <v>88130756.019999996</v>
      </c>
      <c r="AF362" s="1129">
        <v>23008913.91</v>
      </c>
      <c r="AG362" s="1129">
        <v>6179968</v>
      </c>
      <c r="AH362" s="1129">
        <v>1634675.08</v>
      </c>
      <c r="AI362" s="1129">
        <v>337211084.16000003</v>
      </c>
      <c r="AJ362" s="1129">
        <v>249967149.58000001</v>
      </c>
      <c r="AK362" s="1129">
        <v>99047279.450000003</v>
      </c>
      <c r="AL362" s="99">
        <v>0.01</v>
      </c>
      <c r="AM362" s="99">
        <v>0</v>
      </c>
      <c r="AN362" s="1129">
        <v>4081545.85</v>
      </c>
      <c r="AO362" s="1129">
        <v>207056483.84999999</v>
      </c>
      <c r="AP362" s="1129">
        <v>79811662.569999993</v>
      </c>
      <c r="AQ362" s="1129">
        <v>224623286.03999999</v>
      </c>
      <c r="AR362" s="1129">
        <v>6760835.0599999996</v>
      </c>
      <c r="AS362" s="1129">
        <v>100607122.01000001</v>
      </c>
      <c r="AT362" s="1129">
        <v>71848636.040000007</v>
      </c>
      <c r="AU362" s="1129">
        <v>89572779.329999998</v>
      </c>
      <c r="AV362" s="1129">
        <v>82320078.530000001</v>
      </c>
      <c r="AW362" s="99">
        <v>0.1</v>
      </c>
      <c r="AX362" s="1129">
        <v>213090139.81</v>
      </c>
      <c r="AY362" s="1129">
        <v>73958655.590000004</v>
      </c>
      <c r="AZ362" s="1129">
        <v>322267428.26999998</v>
      </c>
      <c r="BA362" s="1129">
        <v>11206788.810000001</v>
      </c>
      <c r="BB362" s="1129">
        <v>5327406.24</v>
      </c>
      <c r="BC362" s="1129">
        <v>86676238.420000002</v>
      </c>
      <c r="BD362" s="1129">
        <v>76236010.489999995</v>
      </c>
      <c r="BE362" s="1129">
        <v>6283870.6600000001</v>
      </c>
      <c r="BF362" s="1129">
        <v>27027954.120000001</v>
      </c>
      <c r="BG362" s="1129">
        <v>733827363.90999997</v>
      </c>
      <c r="BH362" s="1129">
        <v>44027067.119999997</v>
      </c>
      <c r="BI362" s="1129">
        <v>35323380.280000001</v>
      </c>
      <c r="BJ362" s="1129">
        <v>343150854.04000002</v>
      </c>
      <c r="BK362" s="1129">
        <v>17218355.300000001</v>
      </c>
      <c r="BL362" s="1129">
        <v>37368917.630000003</v>
      </c>
      <c r="BM362" s="1129">
        <v>8241089.9000000004</v>
      </c>
      <c r="BN362" s="1129">
        <v>32950786.469999999</v>
      </c>
      <c r="BO362" s="1129">
        <v>106477051.45999999</v>
      </c>
      <c r="BP362" s="1129">
        <v>41032941.149999999</v>
      </c>
      <c r="BQ362" s="1129">
        <v>180294297.38999999</v>
      </c>
      <c r="BR362" s="1129">
        <v>2531253875.27</v>
      </c>
      <c r="BS362" s="1129">
        <v>115694744.83</v>
      </c>
      <c r="BT362" s="1129">
        <v>208598274.28</v>
      </c>
    </row>
    <row r="363" spans="1:91" x14ac:dyDescent="0.3">
      <c r="E363" s="407"/>
      <c r="F363" s="407">
        <f>F361-F362</f>
        <v>0</v>
      </c>
      <c r="G363" s="407">
        <f t="shared" ref="G363:BR363" si="0">G361-G362</f>
        <v>0</v>
      </c>
      <c r="H363" s="407">
        <f t="shared" si="0"/>
        <v>0</v>
      </c>
      <c r="I363" s="407">
        <f t="shared" si="0"/>
        <v>0</v>
      </c>
      <c r="J363" s="407">
        <f t="shared" si="0"/>
        <v>0</v>
      </c>
      <c r="K363" s="407">
        <f t="shared" si="0"/>
        <v>0</v>
      </c>
      <c r="L363" s="407">
        <f t="shared" si="0"/>
        <v>0</v>
      </c>
      <c r="M363" s="407">
        <f t="shared" si="0"/>
        <v>0</v>
      </c>
      <c r="N363" s="407">
        <f t="shared" si="0"/>
        <v>0</v>
      </c>
      <c r="O363" s="407">
        <f t="shared" si="0"/>
        <v>0</v>
      </c>
      <c r="P363" s="407">
        <f t="shared" si="0"/>
        <v>0</v>
      </c>
      <c r="Q363" s="407">
        <f t="shared" si="0"/>
        <v>0</v>
      </c>
      <c r="R363" s="407">
        <f t="shared" si="0"/>
        <v>0</v>
      </c>
      <c r="S363" s="407">
        <f t="shared" si="0"/>
        <v>0</v>
      </c>
      <c r="T363" s="407">
        <f t="shared" si="0"/>
        <v>0</v>
      </c>
      <c r="U363" s="407">
        <f t="shared" si="0"/>
        <v>0</v>
      </c>
      <c r="V363" s="407">
        <f t="shared" si="0"/>
        <v>0</v>
      </c>
      <c r="W363" s="407">
        <f t="shared" si="0"/>
        <v>0</v>
      </c>
      <c r="X363" s="407">
        <f t="shared" si="0"/>
        <v>0</v>
      </c>
      <c r="Y363" s="407">
        <f t="shared" si="0"/>
        <v>0</v>
      </c>
      <c r="Z363" s="407">
        <f t="shared" si="0"/>
        <v>0</v>
      </c>
      <c r="AA363" s="407">
        <f t="shared" si="0"/>
        <v>0</v>
      </c>
      <c r="AB363" s="407">
        <f t="shared" si="0"/>
        <v>0</v>
      </c>
      <c r="AC363" s="407">
        <f t="shared" si="0"/>
        <v>0</v>
      </c>
      <c r="AD363" s="407">
        <f t="shared" si="0"/>
        <v>0</v>
      </c>
      <c r="AE363" s="407">
        <f t="shared" si="0"/>
        <v>0</v>
      </c>
      <c r="AF363" s="407">
        <f t="shared" si="0"/>
        <v>0</v>
      </c>
      <c r="AG363" s="407">
        <f t="shared" si="0"/>
        <v>0</v>
      </c>
      <c r="AH363" s="407">
        <f t="shared" si="0"/>
        <v>0</v>
      </c>
      <c r="AI363" s="407">
        <f t="shared" si="0"/>
        <v>0</v>
      </c>
      <c r="AJ363" s="407">
        <f t="shared" si="0"/>
        <v>0</v>
      </c>
      <c r="AK363" s="407">
        <f t="shared" si="0"/>
        <v>0</v>
      </c>
      <c r="AL363" s="407">
        <f t="shared" si="0"/>
        <v>0</v>
      </c>
      <c r="AM363" s="407">
        <f t="shared" si="0"/>
        <v>0</v>
      </c>
      <c r="AN363" s="407">
        <f t="shared" si="0"/>
        <v>0</v>
      </c>
      <c r="AO363" s="407">
        <f t="shared" si="0"/>
        <v>0</v>
      </c>
      <c r="AP363" s="407">
        <f t="shared" si="0"/>
        <v>0</v>
      </c>
      <c r="AQ363" s="407">
        <f t="shared" si="0"/>
        <v>0</v>
      </c>
      <c r="AR363" s="407">
        <f t="shared" si="0"/>
        <v>0</v>
      </c>
      <c r="AS363" s="407">
        <f t="shared" si="0"/>
        <v>0</v>
      </c>
      <c r="AT363" s="407">
        <f t="shared" si="0"/>
        <v>0</v>
      </c>
      <c r="AU363" s="407">
        <f t="shared" si="0"/>
        <v>0</v>
      </c>
      <c r="AV363" s="407">
        <f t="shared" si="0"/>
        <v>0</v>
      </c>
      <c r="AW363" s="407">
        <f t="shared" si="0"/>
        <v>0</v>
      </c>
      <c r="AX363" s="407">
        <f t="shared" si="0"/>
        <v>0</v>
      </c>
      <c r="AY363" s="407">
        <f t="shared" si="0"/>
        <v>0</v>
      </c>
      <c r="AZ363" s="407">
        <f t="shared" si="0"/>
        <v>0</v>
      </c>
      <c r="BA363" s="407">
        <f t="shared" si="0"/>
        <v>0</v>
      </c>
      <c r="BB363" s="407">
        <f t="shared" si="0"/>
        <v>0</v>
      </c>
      <c r="BC363" s="407">
        <f t="shared" si="0"/>
        <v>0</v>
      </c>
      <c r="BD363" s="407">
        <f t="shared" si="0"/>
        <v>0</v>
      </c>
      <c r="BE363" s="407">
        <f t="shared" si="0"/>
        <v>0</v>
      </c>
      <c r="BF363" s="407">
        <f t="shared" si="0"/>
        <v>0</v>
      </c>
      <c r="BG363" s="407">
        <f t="shared" si="0"/>
        <v>0</v>
      </c>
      <c r="BH363" s="407">
        <f t="shared" si="0"/>
        <v>0</v>
      </c>
      <c r="BI363" s="407">
        <f t="shared" si="0"/>
        <v>0</v>
      </c>
      <c r="BJ363" s="407">
        <f t="shared" si="0"/>
        <v>0</v>
      </c>
      <c r="BK363" s="407">
        <f t="shared" si="0"/>
        <v>0</v>
      </c>
      <c r="BL363" s="407">
        <f t="shared" si="0"/>
        <v>0</v>
      </c>
      <c r="BM363" s="407">
        <f t="shared" si="0"/>
        <v>0</v>
      </c>
      <c r="BN363" s="407">
        <f t="shared" si="0"/>
        <v>0</v>
      </c>
      <c r="BO363" s="407">
        <f t="shared" si="0"/>
        <v>0</v>
      </c>
      <c r="BP363" s="407">
        <f t="shared" si="0"/>
        <v>0</v>
      </c>
      <c r="BQ363" s="407">
        <f t="shared" si="0"/>
        <v>0</v>
      </c>
      <c r="BR363" s="407">
        <f t="shared" si="0"/>
        <v>0</v>
      </c>
      <c r="BS363" s="407">
        <f t="shared" ref="BS363:BT363" si="1">BS361-BS362</f>
        <v>0</v>
      </c>
      <c r="BT363" s="407">
        <f t="shared" si="1"/>
        <v>0</v>
      </c>
    </row>
    <row r="364" spans="1:91" x14ac:dyDescent="0.3">
      <c r="E364" s="407"/>
      <c r="F364" s="407"/>
      <c r="G364" s="407"/>
      <c r="H364" s="407"/>
      <c r="I364" s="407"/>
      <c r="J364" s="407"/>
      <c r="K364" s="407"/>
      <c r="L364" s="407"/>
      <c r="M364" s="407"/>
      <c r="N364" s="407"/>
      <c r="O364" s="407"/>
      <c r="P364" s="407"/>
      <c r="Q364" s="407"/>
      <c r="R364" s="407"/>
      <c r="S364" s="407"/>
      <c r="T364" s="407"/>
      <c r="U364" s="407"/>
      <c r="V364" s="407"/>
      <c r="W364" s="407"/>
      <c r="X364" s="407"/>
      <c r="Y364" s="407"/>
      <c r="Z364" s="407"/>
      <c r="AA364" s="407"/>
      <c r="AB364" s="407"/>
      <c r="AC364" s="407"/>
      <c r="AD364" s="407"/>
      <c r="AE364" s="407"/>
      <c r="AF364" s="407"/>
      <c r="AG364" s="407"/>
      <c r="AH364" s="407"/>
      <c r="AI364" s="407"/>
      <c r="AJ364" s="407"/>
      <c r="AK364" s="407"/>
      <c r="AL364" s="407"/>
      <c r="AM364" s="407"/>
      <c r="AN364" s="407"/>
      <c r="AO364" s="407"/>
      <c r="AP364" s="407"/>
      <c r="AQ364" s="407"/>
      <c r="AR364" s="407"/>
      <c r="AS364" s="407"/>
      <c r="AT364" s="407"/>
      <c r="AU364" s="407"/>
      <c r="AV364" s="407"/>
      <c r="AW364" s="407"/>
      <c r="AX364" s="407"/>
      <c r="AY364" s="407"/>
      <c r="AZ364" s="407"/>
      <c r="BA364" s="407"/>
      <c r="BB364" s="407"/>
      <c r="BC364" s="407"/>
      <c r="BD364" s="407"/>
      <c r="BE364" s="407"/>
      <c r="BF364" s="407"/>
      <c r="BG364" s="407"/>
      <c r="BH364" s="407"/>
      <c r="BI364" s="407"/>
      <c r="BJ364" s="407"/>
      <c r="BK364" s="407"/>
      <c r="BL364" s="407"/>
      <c r="BM364" s="407"/>
      <c r="BN364" s="407"/>
      <c r="BO364" s="407"/>
      <c r="BP364" s="407"/>
      <c r="BQ364" s="407"/>
      <c r="BR364" s="407"/>
      <c r="BS364" s="407"/>
      <c r="BT364" s="407"/>
    </row>
    <row r="365" spans="1:91" x14ac:dyDescent="0.3">
      <c r="E365" s="407"/>
      <c r="F365" s="407">
        <f>F44/(F49-F36+F97+F115)</f>
        <v>0.92486086954105706</v>
      </c>
      <c r="G365" s="407">
        <f t="shared" ref="G365:BR365" si="2">G44/(G49-G36+G97+G115)</f>
        <v>0.28393210676775316</v>
      </c>
      <c r="H365" s="407">
        <f t="shared" si="2"/>
        <v>0.67517455986590413</v>
      </c>
      <c r="I365" s="407">
        <f t="shared" si="2"/>
        <v>0.51626598491732245</v>
      </c>
      <c r="J365" s="407" t="e">
        <f t="shared" si="2"/>
        <v>#DIV/0!</v>
      </c>
      <c r="K365" s="407">
        <f t="shared" si="2"/>
        <v>0.33300627038229103</v>
      </c>
      <c r="L365" s="407">
        <f t="shared" si="2"/>
        <v>1.6873173865266673</v>
      </c>
      <c r="M365" s="407">
        <f t="shared" si="2"/>
        <v>0.4391875810693418</v>
      </c>
      <c r="N365" s="407">
        <f t="shared" si="2"/>
        <v>3.578962491115691</v>
      </c>
      <c r="O365" s="407" t="e">
        <f t="shared" si="2"/>
        <v>#DIV/0!</v>
      </c>
      <c r="P365" s="407">
        <f t="shared" si="2"/>
        <v>1.9826864729978413</v>
      </c>
      <c r="Q365" s="407" t="e">
        <f t="shared" si="2"/>
        <v>#DIV/0!</v>
      </c>
      <c r="R365" s="407">
        <f t="shared" si="2"/>
        <v>0.87437309150473819</v>
      </c>
      <c r="S365" s="407">
        <f t="shared" si="2"/>
        <v>2.1986354382803355</v>
      </c>
      <c r="T365" s="407" t="e">
        <f t="shared" si="2"/>
        <v>#DIV/0!</v>
      </c>
      <c r="U365" s="407">
        <f t="shared" si="2"/>
        <v>1.8218016079002342</v>
      </c>
      <c r="V365" s="407">
        <f t="shared" si="2"/>
        <v>0.94710100748316339</v>
      </c>
      <c r="W365" s="407">
        <f t="shared" si="2"/>
        <v>0.71559019342979813</v>
      </c>
      <c r="X365" s="407">
        <f t="shared" si="2"/>
        <v>0.32567965599798387</v>
      </c>
      <c r="Y365" s="407">
        <f t="shared" si="2"/>
        <v>0.39236971012753513</v>
      </c>
      <c r="Z365" s="407">
        <f t="shared" si="2"/>
        <v>0.22202476002140989</v>
      </c>
      <c r="AA365" s="407" t="e">
        <f t="shared" si="2"/>
        <v>#DIV/0!</v>
      </c>
      <c r="AB365" s="407" t="e">
        <f t="shared" si="2"/>
        <v>#DIV/0!</v>
      </c>
      <c r="AC365" s="407">
        <f t="shared" si="2"/>
        <v>9.9728924020462323E-2</v>
      </c>
      <c r="AD365" s="407">
        <f t="shared" si="2"/>
        <v>0.57240441784748464</v>
      </c>
      <c r="AE365" s="407">
        <f t="shared" si="2"/>
        <v>2.1408472557005513</v>
      </c>
      <c r="AF365" s="407">
        <f t="shared" si="2"/>
        <v>0.51520743660091584</v>
      </c>
      <c r="AG365" s="407" t="e">
        <f t="shared" si="2"/>
        <v>#DIV/0!</v>
      </c>
      <c r="AH365" s="407" t="e">
        <f t="shared" si="2"/>
        <v>#DIV/0!</v>
      </c>
      <c r="AI365" s="407">
        <f t="shared" si="2"/>
        <v>0.43665337998075315</v>
      </c>
      <c r="AJ365" s="407">
        <f t="shared" si="2"/>
        <v>0.83546977819902779</v>
      </c>
      <c r="AK365" s="407">
        <f t="shared" si="2"/>
        <v>6.6654165307662296E-5</v>
      </c>
      <c r="AL365" s="407" t="e">
        <f t="shared" si="2"/>
        <v>#DIV/0!</v>
      </c>
      <c r="AM365" s="407" t="e">
        <f t="shared" si="2"/>
        <v>#DIV/0!</v>
      </c>
      <c r="AN365" s="407" t="e">
        <f t="shared" si="2"/>
        <v>#DIV/0!</v>
      </c>
      <c r="AO365" s="407">
        <f t="shared" si="2"/>
        <v>8.3360128265700731E-2</v>
      </c>
      <c r="AP365" s="407">
        <f t="shared" si="2"/>
        <v>9.121528248838656</v>
      </c>
      <c r="AQ365" s="407">
        <f t="shared" si="2"/>
        <v>0.101831458737459</v>
      </c>
      <c r="AR365" s="407" t="e">
        <f t="shared" si="2"/>
        <v>#DIV/0!</v>
      </c>
      <c r="AS365" s="407">
        <f t="shared" si="2"/>
        <v>0.2589249076733689</v>
      </c>
      <c r="AT365" s="407">
        <f t="shared" si="2"/>
        <v>1.1983210571923744</v>
      </c>
      <c r="AU365" s="407">
        <f t="shared" si="2"/>
        <v>0.56462017364562045</v>
      </c>
      <c r="AV365" s="407">
        <f t="shared" si="2"/>
        <v>0.95650949386921136</v>
      </c>
      <c r="AW365" s="407" t="e">
        <f t="shared" si="2"/>
        <v>#DIV/0!</v>
      </c>
      <c r="AX365" s="407">
        <f t="shared" si="2"/>
        <v>0.63884543841994057</v>
      </c>
      <c r="AY365" s="407">
        <f t="shared" si="2"/>
        <v>0.97521999379026014</v>
      </c>
      <c r="AZ365" s="407">
        <f t="shared" si="2"/>
        <v>0.15829524255941019</v>
      </c>
      <c r="BA365" s="407">
        <f t="shared" si="2"/>
        <v>0.27416446683969092</v>
      </c>
      <c r="BB365" s="407" t="e">
        <f t="shared" si="2"/>
        <v>#DIV/0!</v>
      </c>
      <c r="BC365" s="407">
        <f t="shared" si="2"/>
        <v>0</v>
      </c>
      <c r="BD365" s="407">
        <f t="shared" si="2"/>
        <v>0.35895376260146106</v>
      </c>
      <c r="BE365" s="407" t="e">
        <f t="shared" si="2"/>
        <v>#DIV/0!</v>
      </c>
      <c r="BF365" s="407">
        <f t="shared" si="2"/>
        <v>0</v>
      </c>
      <c r="BG365" s="407">
        <f t="shared" si="2"/>
        <v>2.3795810607234427</v>
      </c>
      <c r="BH365" s="407">
        <f t="shared" si="2"/>
        <v>1.48036595130365</v>
      </c>
      <c r="BI365" s="407">
        <f t="shared" si="2"/>
        <v>4.5214819347765109</v>
      </c>
      <c r="BJ365" s="407">
        <f t="shared" si="2"/>
        <v>7.9872936729729185E-2</v>
      </c>
      <c r="BK365" s="407">
        <f t="shared" si="2"/>
        <v>0.47386328487472934</v>
      </c>
      <c r="BL365" s="407">
        <f t="shared" si="2"/>
        <v>1.6849401040236602</v>
      </c>
      <c r="BM365" s="407" t="e">
        <f t="shared" si="2"/>
        <v>#DIV/0!</v>
      </c>
      <c r="BN365" s="407">
        <f t="shared" si="2"/>
        <v>1.6200791501770464</v>
      </c>
      <c r="BO365" s="407">
        <f t="shared" si="2"/>
        <v>0.13574205150347229</v>
      </c>
      <c r="BP365" s="407">
        <f t="shared" si="2"/>
        <v>1.0689774519646262</v>
      </c>
      <c r="BQ365" s="407">
        <f t="shared" si="2"/>
        <v>1.535431607486444</v>
      </c>
      <c r="BR365" s="407">
        <f t="shared" si="2"/>
        <v>3.2768399921421953</v>
      </c>
      <c r="BS365" s="407">
        <f t="shared" ref="BS365:BT365" si="3">BS44/(BS49-BS36+BS97+BS115)</f>
        <v>0.59197940774693203</v>
      </c>
      <c r="BT365" s="407" t="e">
        <f t="shared" si="3"/>
        <v>#DIV/0!</v>
      </c>
      <c r="BU365" s="1129"/>
      <c r="BW365" s="1129"/>
      <c r="BX365" s="1129"/>
      <c r="BY365" s="1129"/>
      <c r="BZ365" s="1129"/>
      <c r="CB365" s="1129"/>
      <c r="CC365" s="1129"/>
      <c r="CD365" s="1129"/>
      <c r="CE365" s="1129"/>
      <c r="CF365" s="1129"/>
      <c r="CG365" s="1129"/>
      <c r="CH365" s="1129"/>
      <c r="CI365" s="1129"/>
      <c r="CJ365" s="1129"/>
      <c r="CK365" s="1129"/>
      <c r="CM365" s="1129"/>
    </row>
    <row r="366" spans="1:91" x14ac:dyDescent="0.3">
      <c r="E366" s="407"/>
      <c r="F366" s="407">
        <f>F349-F365</f>
        <v>-4.8608695410570224E-3</v>
      </c>
      <c r="G366" s="407">
        <f t="shared" ref="G366:BR366" si="4">G349-G365</f>
        <v>-3.9321067677531296E-3</v>
      </c>
      <c r="H366" s="407">
        <f t="shared" si="4"/>
        <v>4.8254401340959152E-3</v>
      </c>
      <c r="I366" s="407">
        <f t="shared" si="4"/>
        <v>3.7340150826775664E-3</v>
      </c>
      <c r="J366" s="407" t="e">
        <f t="shared" si="4"/>
        <v>#DIV/0!</v>
      </c>
      <c r="K366" s="407">
        <f t="shared" si="4"/>
        <v>-3.0062703822910097E-3</v>
      </c>
      <c r="L366" s="407">
        <f t="shared" si="4"/>
        <v>2.6826134733326512E-3</v>
      </c>
      <c r="M366" s="407">
        <f t="shared" si="4"/>
        <v>8.1241893065819859E-4</v>
      </c>
      <c r="N366" s="407">
        <f t="shared" si="4"/>
        <v>1.0375088843090907E-3</v>
      </c>
      <c r="O366" s="407" t="e">
        <f t="shared" si="4"/>
        <v>#DIV/0!</v>
      </c>
      <c r="P366" s="407">
        <f t="shared" si="4"/>
        <v>-2.6864729978413049E-3</v>
      </c>
      <c r="Q366" s="407" t="e">
        <f t="shared" si="4"/>
        <v>#DIV/0!</v>
      </c>
      <c r="R366" s="407">
        <f t="shared" si="4"/>
        <v>-4.3730915047381913E-3</v>
      </c>
      <c r="S366" s="407">
        <f t="shared" si="4"/>
        <v>1.3645617196647031E-3</v>
      </c>
      <c r="T366" s="407" t="e">
        <f t="shared" si="4"/>
        <v>#DIV/0!</v>
      </c>
      <c r="U366" s="407">
        <f t="shared" si="4"/>
        <v>-1.8016079002340923E-3</v>
      </c>
      <c r="V366" s="407">
        <f t="shared" si="4"/>
        <v>2.8989925168365627E-3</v>
      </c>
      <c r="W366" s="407">
        <f t="shared" si="4"/>
        <v>4.4098065702018463E-3</v>
      </c>
      <c r="X366" s="407">
        <f t="shared" si="4"/>
        <v>4.320344002016141E-3</v>
      </c>
      <c r="Y366" s="407">
        <f t="shared" si="4"/>
        <v>-2.3697101275351184E-3</v>
      </c>
      <c r="Z366" s="407">
        <f t="shared" si="4"/>
        <v>-2.0247600214098882E-3</v>
      </c>
      <c r="AA366" s="407" t="e">
        <f t="shared" si="4"/>
        <v>#DIV/0!</v>
      </c>
      <c r="AB366" s="407" t="e">
        <f t="shared" si="4"/>
        <v>#DIV/0!</v>
      </c>
      <c r="AC366" s="407">
        <f t="shared" si="4"/>
        <v>2.710759795376827E-4</v>
      </c>
      <c r="AD366" s="407">
        <f t="shared" si="4"/>
        <v>-2.4044178474846856E-3</v>
      </c>
      <c r="AE366" s="407">
        <f t="shared" si="4"/>
        <v>-8.4725570055121935E-4</v>
      </c>
      <c r="AF366" s="407">
        <f t="shared" si="4"/>
        <v>4.7925633990841821E-3</v>
      </c>
      <c r="AG366" s="407" t="e">
        <f t="shared" si="4"/>
        <v>#DIV/0!</v>
      </c>
      <c r="AH366" s="407" t="e">
        <f t="shared" si="4"/>
        <v>#DIV/0!</v>
      </c>
      <c r="AI366" s="407">
        <f t="shared" si="4"/>
        <v>3.3466200192468487E-3</v>
      </c>
      <c r="AJ366" s="407">
        <f t="shared" si="4"/>
        <v>4.5302218009721784E-3</v>
      </c>
      <c r="AK366" s="407">
        <f t="shared" si="4"/>
        <v>-6.6654165307662296E-5</v>
      </c>
      <c r="AL366" s="407" t="e">
        <f t="shared" si="4"/>
        <v>#DIV/0!</v>
      </c>
      <c r="AM366" s="407" t="e">
        <f t="shared" si="4"/>
        <v>#DIV/0!</v>
      </c>
      <c r="AN366" s="407" t="e">
        <f t="shared" si="4"/>
        <v>#DIV/0!</v>
      </c>
      <c r="AO366" s="407">
        <f t="shared" si="4"/>
        <v>-3.3601282657007292E-3</v>
      </c>
      <c r="AP366" s="407">
        <f t="shared" si="4"/>
        <v>-1.528248838656765E-3</v>
      </c>
      <c r="AQ366" s="407">
        <f t="shared" si="4"/>
        <v>-1.8314587374589908E-3</v>
      </c>
      <c r="AR366" s="407" t="e">
        <f t="shared" si="4"/>
        <v>#DIV/0!</v>
      </c>
      <c r="AS366" s="407">
        <f t="shared" si="4"/>
        <v>1.0750923266311108E-3</v>
      </c>
      <c r="AT366" s="407">
        <f t="shared" si="4"/>
        <v>1.6789428076255941E-3</v>
      </c>
      <c r="AU366" s="407">
        <f t="shared" si="4"/>
        <v>-4.6201736456203957E-3</v>
      </c>
      <c r="AV366" s="407">
        <f t="shared" si="4"/>
        <v>3.4905061307886065E-3</v>
      </c>
      <c r="AW366" s="407" t="e">
        <f t="shared" si="4"/>
        <v>#DIV/0!</v>
      </c>
      <c r="AX366" s="407">
        <f t="shared" si="4"/>
        <v>1.1545615800594433E-3</v>
      </c>
      <c r="AY366" s="407">
        <f t="shared" si="4"/>
        <v>4.7800062097398399E-3</v>
      </c>
      <c r="AZ366" s="407">
        <f t="shared" si="4"/>
        <v>1.7047574405898158E-3</v>
      </c>
      <c r="BA366" s="407">
        <f t="shared" si="4"/>
        <v>-4.1644668396909057E-3</v>
      </c>
      <c r="BB366" s="407" t="e">
        <f t="shared" si="4"/>
        <v>#DIV/0!</v>
      </c>
      <c r="BC366" s="407">
        <f t="shared" si="4"/>
        <v>0</v>
      </c>
      <c r="BD366" s="407">
        <f t="shared" si="4"/>
        <v>1.0462373985389295E-3</v>
      </c>
      <c r="BE366" s="407" t="e">
        <f t="shared" si="4"/>
        <v>#DIV/0!</v>
      </c>
      <c r="BF366" s="407">
        <f t="shared" si="4"/>
        <v>0</v>
      </c>
      <c r="BG366" s="407">
        <f t="shared" si="4"/>
        <v>4.1893927655722862E-4</v>
      </c>
      <c r="BH366" s="407">
        <f t="shared" si="4"/>
        <v>-3.6595130365002504E-4</v>
      </c>
      <c r="BI366" s="407">
        <f t="shared" si="4"/>
        <v>-1.4819347765113733E-3</v>
      </c>
      <c r="BJ366" s="407">
        <f t="shared" si="4"/>
        <v>1.2706327027081632E-4</v>
      </c>
      <c r="BK366" s="407">
        <f t="shared" si="4"/>
        <v>-3.8632848747293669E-3</v>
      </c>
      <c r="BL366" s="407">
        <f t="shared" si="4"/>
        <v>-4.9401040236602967E-3</v>
      </c>
      <c r="BM366" s="407" t="e">
        <f t="shared" si="4"/>
        <v>#DIV/0!</v>
      </c>
      <c r="BN366" s="407">
        <f t="shared" si="4"/>
        <v>-7.9150177046294345E-5</v>
      </c>
      <c r="BO366" s="407">
        <f t="shared" si="4"/>
        <v>4.2579484965277192E-3</v>
      </c>
      <c r="BP366" s="407">
        <f t="shared" si="4"/>
        <v>1.022548035373827E-3</v>
      </c>
      <c r="BQ366" s="407">
        <f t="shared" si="4"/>
        <v>4.5683925135560077E-3</v>
      </c>
      <c r="BR366" s="407">
        <f t="shared" si="4"/>
        <v>3.1600078578044588E-3</v>
      </c>
      <c r="BS366" s="407">
        <f t="shared" ref="BS366:BT366" si="5">BS349-BS365</f>
        <v>-1.9794077469320603E-3</v>
      </c>
      <c r="BT366" s="407" t="e">
        <f t="shared" si="5"/>
        <v>#DIV/0!</v>
      </c>
    </row>
    <row r="367" spans="1:91" x14ac:dyDescent="0.3">
      <c r="E367" s="407"/>
      <c r="F367" s="407"/>
      <c r="G367" s="407"/>
      <c r="H367" s="407"/>
      <c r="I367" s="407"/>
      <c r="J367" s="407"/>
      <c r="K367" s="407"/>
      <c r="L367" s="407"/>
      <c r="M367" s="407"/>
      <c r="N367" s="407"/>
      <c r="O367" s="407"/>
      <c r="P367" s="407"/>
      <c r="Q367" s="407"/>
      <c r="R367" s="407"/>
      <c r="S367" s="407"/>
      <c r="T367" s="407"/>
      <c r="U367" s="407"/>
      <c r="V367" s="407"/>
      <c r="W367" s="407"/>
      <c r="X367" s="407"/>
      <c r="Y367" s="407"/>
      <c r="Z367" s="407"/>
      <c r="AA367" s="407"/>
      <c r="AB367" s="407"/>
      <c r="AC367" s="407"/>
      <c r="AD367" s="407"/>
      <c r="AE367" s="407"/>
      <c r="AF367" s="407"/>
      <c r="AG367" s="407"/>
      <c r="AH367" s="407"/>
      <c r="AI367" s="407"/>
      <c r="AJ367" s="407"/>
      <c r="AK367" s="407"/>
      <c r="AL367" s="407"/>
      <c r="AM367" s="407"/>
      <c r="AN367" s="407"/>
      <c r="AO367" s="407"/>
      <c r="AP367" s="407"/>
      <c r="AQ367" s="407"/>
      <c r="AR367" s="407"/>
      <c r="AS367" s="407"/>
      <c r="AT367" s="407"/>
      <c r="AU367" s="407"/>
      <c r="AV367" s="407"/>
      <c r="AW367" s="407"/>
      <c r="AX367" s="407"/>
      <c r="AY367" s="407"/>
      <c r="AZ367" s="407"/>
      <c r="BA367" s="407"/>
      <c r="BB367" s="407"/>
      <c r="BC367" s="407"/>
      <c r="BD367" s="407"/>
      <c r="BE367" s="407"/>
      <c r="BF367" s="407"/>
      <c r="BG367" s="407"/>
      <c r="BH367" s="407"/>
      <c r="BI367" s="407"/>
      <c r="BJ367" s="407"/>
      <c r="BK367" s="407"/>
      <c r="BL367" s="407"/>
      <c r="BM367" s="407"/>
      <c r="BN367" s="407"/>
      <c r="BO367" s="407"/>
      <c r="BP367" s="407"/>
      <c r="BQ367" s="407"/>
      <c r="BR367" s="407"/>
      <c r="BS367" s="407"/>
      <c r="BT367" s="407"/>
    </row>
    <row r="368" spans="1:91" x14ac:dyDescent="0.3">
      <c r="E368" s="407"/>
      <c r="F368" s="407"/>
      <c r="G368" s="407"/>
      <c r="H368" s="407"/>
      <c r="I368" s="407"/>
      <c r="J368" s="407"/>
      <c r="K368" s="407"/>
      <c r="L368" s="407"/>
      <c r="M368" s="407"/>
      <c r="N368" s="407"/>
      <c r="O368" s="407"/>
      <c r="P368" s="407"/>
      <c r="Q368" s="407"/>
      <c r="R368" s="407"/>
      <c r="S368" s="407"/>
      <c r="T368" s="407"/>
      <c r="U368" s="407"/>
      <c r="V368" s="407"/>
      <c r="W368" s="407"/>
      <c r="X368" s="407"/>
      <c r="Y368" s="407"/>
      <c r="Z368" s="407"/>
      <c r="AA368" s="407"/>
      <c r="AB368" s="407"/>
      <c r="AC368" s="407"/>
      <c r="AD368" s="407"/>
      <c r="AE368" s="407"/>
      <c r="AF368" s="407"/>
      <c r="AG368" s="407"/>
      <c r="AH368" s="407"/>
      <c r="AI368" s="407"/>
      <c r="AJ368" s="407"/>
      <c r="AK368" s="407"/>
      <c r="AL368" s="407"/>
      <c r="AM368" s="407"/>
      <c r="AN368" s="407"/>
      <c r="AO368" s="407"/>
      <c r="AP368" s="407"/>
      <c r="AQ368" s="407"/>
      <c r="AR368" s="407"/>
      <c r="AS368" s="407"/>
      <c r="AT368" s="407"/>
      <c r="AU368" s="407"/>
      <c r="AV368" s="407"/>
      <c r="AW368" s="407"/>
      <c r="AX368" s="407"/>
      <c r="AY368" s="407"/>
      <c r="AZ368" s="407"/>
      <c r="BA368" s="407"/>
      <c r="BB368" s="407"/>
      <c r="BC368" s="407"/>
      <c r="BD368" s="407"/>
      <c r="BE368" s="407"/>
      <c r="BF368" s="407"/>
      <c r="BG368" s="407"/>
      <c r="BH368" s="407"/>
      <c r="BI368" s="407"/>
      <c r="BJ368" s="407"/>
      <c r="BK368" s="407"/>
      <c r="BL368" s="407"/>
      <c r="BM368" s="407"/>
      <c r="BN368" s="407"/>
      <c r="BO368" s="407"/>
      <c r="BP368" s="407"/>
      <c r="BQ368" s="407"/>
      <c r="BR368" s="407"/>
      <c r="BS368" s="407"/>
      <c r="BT368" s="407"/>
    </row>
    <row r="369" spans="1:72" x14ac:dyDescent="0.3">
      <c r="E369" s="407"/>
      <c r="F369" s="407"/>
      <c r="G369" s="407"/>
      <c r="H369" s="407"/>
      <c r="I369" s="407"/>
      <c r="J369" s="407"/>
      <c r="K369" s="407"/>
      <c r="L369" s="407"/>
      <c r="M369" s="407"/>
      <c r="N369" s="407"/>
      <c r="O369" s="407"/>
      <c r="P369" s="407"/>
      <c r="Q369" s="407"/>
      <c r="R369" s="407"/>
      <c r="S369" s="407"/>
      <c r="T369" s="407"/>
      <c r="U369" s="407"/>
      <c r="V369" s="407"/>
      <c r="W369" s="407"/>
      <c r="X369" s="407"/>
      <c r="Y369" s="407"/>
      <c r="Z369" s="407"/>
      <c r="AA369" s="407"/>
      <c r="AB369" s="407"/>
      <c r="AC369" s="407"/>
      <c r="AD369" s="407"/>
      <c r="AE369" s="407"/>
      <c r="AF369" s="407"/>
      <c r="AG369" s="407"/>
      <c r="AH369" s="407"/>
      <c r="AI369" s="407"/>
      <c r="AJ369" s="407"/>
      <c r="AK369" s="407"/>
      <c r="AL369" s="407"/>
      <c r="AM369" s="407"/>
      <c r="AN369" s="407"/>
      <c r="AO369" s="407"/>
      <c r="AP369" s="407"/>
      <c r="AQ369" s="407"/>
      <c r="AR369" s="407"/>
      <c r="AS369" s="407"/>
      <c r="AT369" s="407"/>
      <c r="AU369" s="407"/>
      <c r="AV369" s="407"/>
      <c r="AW369" s="407"/>
      <c r="AX369" s="407"/>
      <c r="AY369" s="407"/>
      <c r="AZ369" s="407"/>
      <c r="BA369" s="407"/>
      <c r="BB369" s="407"/>
      <c r="BC369" s="407"/>
      <c r="BD369" s="407"/>
      <c r="BE369" s="407"/>
      <c r="BF369" s="407"/>
      <c r="BG369" s="407"/>
      <c r="BH369" s="407"/>
      <c r="BI369" s="407"/>
      <c r="BJ369" s="407"/>
      <c r="BK369" s="407"/>
      <c r="BL369" s="407"/>
      <c r="BM369" s="407"/>
      <c r="BN369" s="407"/>
      <c r="BO369" s="407"/>
      <c r="BP369" s="407"/>
      <c r="BQ369" s="407"/>
      <c r="BR369" s="407"/>
      <c r="BS369" s="407"/>
      <c r="BT369" s="407"/>
    </row>
    <row r="370" spans="1:72" x14ac:dyDescent="0.3">
      <c r="A370" s="99">
        <v>44</v>
      </c>
      <c r="D370" s="99" t="s">
        <v>627</v>
      </c>
      <c r="E370" s="99" t="s">
        <v>335</v>
      </c>
      <c r="F370" s="1129">
        <v>3127686</v>
      </c>
      <c r="G370" s="1129">
        <v>1250035</v>
      </c>
      <c r="H370" s="1129">
        <v>315155</v>
      </c>
      <c r="I370" s="1129">
        <v>6555925</v>
      </c>
      <c r="J370" s="99">
        <v>0</v>
      </c>
      <c r="K370" s="99">
        <v>0</v>
      </c>
      <c r="L370" s="1129">
        <v>4863606</v>
      </c>
      <c r="M370" s="1129">
        <v>182009</v>
      </c>
      <c r="N370" s="1129">
        <v>63477432</v>
      </c>
      <c r="O370" s="99">
        <v>0</v>
      </c>
      <c r="P370" s="1129">
        <v>7490503</v>
      </c>
      <c r="Q370" s="99">
        <v>0</v>
      </c>
      <c r="R370" s="1129">
        <v>14397119</v>
      </c>
      <c r="S370" s="1129">
        <v>75138015</v>
      </c>
      <c r="T370" s="99">
        <v>0</v>
      </c>
      <c r="U370" s="1129">
        <v>152717</v>
      </c>
      <c r="V370" s="1129">
        <v>1563062</v>
      </c>
      <c r="W370" s="99">
        <v>0</v>
      </c>
      <c r="X370" s="1129">
        <v>123627</v>
      </c>
      <c r="Y370" s="1129">
        <v>43417</v>
      </c>
      <c r="Z370" s="99">
        <v>0</v>
      </c>
      <c r="AA370" s="99">
        <v>0</v>
      </c>
      <c r="AB370" s="99">
        <v>0</v>
      </c>
      <c r="AC370" s="1129">
        <v>303543</v>
      </c>
      <c r="AD370" s="1129">
        <v>2061738</v>
      </c>
      <c r="AE370" s="1129">
        <v>1710946</v>
      </c>
      <c r="AF370" s="1129">
        <v>126142</v>
      </c>
      <c r="AG370" s="99">
        <v>0</v>
      </c>
      <c r="AH370" s="99">
        <v>0</v>
      </c>
      <c r="AI370" s="1129">
        <v>2796815</v>
      </c>
      <c r="AJ370" s="1129">
        <v>2509725</v>
      </c>
      <c r="AK370" s="1129">
        <v>182484</v>
      </c>
      <c r="AL370" s="99">
        <v>0</v>
      </c>
      <c r="AM370" s="99">
        <v>0</v>
      </c>
      <c r="AN370" s="99">
        <v>0</v>
      </c>
      <c r="AO370" s="1129">
        <v>838927</v>
      </c>
      <c r="AP370" s="1129">
        <v>1949827</v>
      </c>
      <c r="AQ370" s="1129">
        <v>1377122</v>
      </c>
      <c r="AR370" s="99">
        <v>0</v>
      </c>
      <c r="AS370" s="1129">
        <v>428275</v>
      </c>
      <c r="AT370" s="1129">
        <v>890098</v>
      </c>
      <c r="AU370" s="1129">
        <v>463664</v>
      </c>
      <c r="AV370" s="1129">
        <v>1427600</v>
      </c>
      <c r="AW370" s="99">
        <v>0</v>
      </c>
      <c r="AX370" s="1129">
        <v>1114726</v>
      </c>
      <c r="AY370" s="1129">
        <v>680089</v>
      </c>
      <c r="AZ370" s="1129">
        <v>790946</v>
      </c>
      <c r="BA370" s="1129">
        <v>78137</v>
      </c>
      <c r="BB370" s="99">
        <v>0</v>
      </c>
      <c r="BC370" s="99">
        <v>0</v>
      </c>
      <c r="BD370" s="1129">
        <v>726413</v>
      </c>
      <c r="BE370" s="99">
        <v>0</v>
      </c>
      <c r="BF370" s="1129">
        <v>13520</v>
      </c>
      <c r="BG370" s="1129">
        <v>21882551</v>
      </c>
      <c r="BH370" s="1129">
        <v>925490</v>
      </c>
      <c r="BI370" s="1129">
        <v>738124</v>
      </c>
      <c r="BJ370" s="1129">
        <v>1320855</v>
      </c>
      <c r="BK370" s="1129">
        <v>117931</v>
      </c>
      <c r="BL370" s="1129">
        <v>690105</v>
      </c>
      <c r="BM370" s="99">
        <v>0</v>
      </c>
      <c r="BN370" s="1129">
        <v>201362</v>
      </c>
      <c r="BO370" s="1129">
        <v>453976</v>
      </c>
      <c r="BP370" s="99">
        <v>0</v>
      </c>
      <c r="BQ370" s="1129">
        <v>3142182</v>
      </c>
      <c r="BR370" s="1129">
        <v>86070119</v>
      </c>
      <c r="BS370" s="1129">
        <v>2185718</v>
      </c>
      <c r="BT370" s="99">
        <v>0</v>
      </c>
    </row>
    <row r="371" spans="1:72" x14ac:dyDescent="0.3">
      <c r="A371" s="99">
        <v>45</v>
      </c>
      <c r="D371" s="99" t="s">
        <v>628</v>
      </c>
      <c r="E371" s="99" t="s">
        <v>336</v>
      </c>
      <c r="F371" s="1129">
        <v>481785</v>
      </c>
      <c r="G371" s="1129">
        <v>602328</v>
      </c>
      <c r="H371" s="1129">
        <v>37855</v>
      </c>
      <c r="I371" s="1129">
        <v>2451245</v>
      </c>
      <c r="J371" s="99">
        <v>0</v>
      </c>
      <c r="K371" s="99">
        <v>0</v>
      </c>
      <c r="L371" s="1129">
        <v>916252</v>
      </c>
      <c r="M371" s="1129">
        <v>37127</v>
      </c>
      <c r="N371" s="1129">
        <v>5153894</v>
      </c>
      <c r="O371" s="99">
        <v>0</v>
      </c>
      <c r="P371" s="1129">
        <v>1129468</v>
      </c>
      <c r="Q371" s="99">
        <v>0</v>
      </c>
      <c r="R371" s="1129">
        <v>2115780</v>
      </c>
      <c r="S371" s="1129">
        <v>42187408</v>
      </c>
      <c r="T371" s="99">
        <v>0</v>
      </c>
      <c r="U371" s="99">
        <v>0</v>
      </c>
      <c r="V371" s="1129">
        <v>105783</v>
      </c>
      <c r="W371" s="99">
        <v>0</v>
      </c>
      <c r="X371" s="1129">
        <v>32957</v>
      </c>
      <c r="Y371" s="1129">
        <v>15141</v>
      </c>
      <c r="Z371" s="99">
        <v>0</v>
      </c>
      <c r="AA371" s="99">
        <v>0</v>
      </c>
      <c r="AB371" s="99">
        <v>0</v>
      </c>
      <c r="AC371" s="1129">
        <v>251209</v>
      </c>
      <c r="AD371" s="1129">
        <v>691531</v>
      </c>
      <c r="AE371" s="1129">
        <v>53872</v>
      </c>
      <c r="AF371" s="1129">
        <v>271173</v>
      </c>
      <c r="AG371" s="99">
        <v>0</v>
      </c>
      <c r="AH371" s="99">
        <v>0</v>
      </c>
      <c r="AI371" s="1129">
        <v>1238519</v>
      </c>
      <c r="AJ371" s="1129">
        <v>653513</v>
      </c>
      <c r="AK371" s="1129">
        <v>355814</v>
      </c>
      <c r="AL371" s="99">
        <v>0</v>
      </c>
      <c r="AM371" s="99">
        <v>0</v>
      </c>
      <c r="AN371" s="99">
        <v>0</v>
      </c>
      <c r="AO371" s="1129">
        <v>342017</v>
      </c>
      <c r="AP371" s="99">
        <v>83</v>
      </c>
      <c r="AQ371" s="1129">
        <v>616413</v>
      </c>
      <c r="AR371" s="99">
        <v>0</v>
      </c>
      <c r="AS371" s="1129">
        <v>612300</v>
      </c>
      <c r="AT371" s="1129">
        <v>80367</v>
      </c>
      <c r="AU371" s="1129">
        <v>16433</v>
      </c>
      <c r="AV371" s="1129">
        <v>130008</v>
      </c>
      <c r="AW371" s="99">
        <v>0</v>
      </c>
      <c r="AX371" s="1129">
        <v>422860</v>
      </c>
      <c r="AY371" s="1129">
        <v>43389</v>
      </c>
      <c r="AZ371" s="1129">
        <v>449531</v>
      </c>
      <c r="BA371" s="99">
        <v>0</v>
      </c>
      <c r="BB371" s="99">
        <v>0</v>
      </c>
      <c r="BC371" s="99">
        <v>0</v>
      </c>
      <c r="BD371" s="1129">
        <v>204706</v>
      </c>
      <c r="BE371" s="99">
        <v>0</v>
      </c>
      <c r="BF371" s="99">
        <v>0</v>
      </c>
      <c r="BG371" s="1129">
        <v>1136811</v>
      </c>
      <c r="BH371" s="1129">
        <v>433180</v>
      </c>
      <c r="BI371" s="1129">
        <v>35758</v>
      </c>
      <c r="BJ371" s="1129">
        <v>2106533</v>
      </c>
      <c r="BK371" s="1129">
        <v>52589</v>
      </c>
      <c r="BL371" s="1129">
        <v>78195</v>
      </c>
      <c r="BM371" s="99">
        <v>0</v>
      </c>
      <c r="BN371" s="99">
        <v>288</v>
      </c>
      <c r="BO371" s="1129">
        <v>226571</v>
      </c>
      <c r="BP371" s="99">
        <v>0</v>
      </c>
      <c r="BQ371" s="1129">
        <v>190788</v>
      </c>
      <c r="BR371" s="1129">
        <v>4087612</v>
      </c>
      <c r="BS371" s="1129">
        <v>305126</v>
      </c>
      <c r="BT371" s="99">
        <v>0</v>
      </c>
    </row>
    <row r="372" spans="1:72" x14ac:dyDescent="0.3">
      <c r="A372" s="99">
        <v>47</v>
      </c>
      <c r="D372" s="99" t="s">
        <v>630</v>
      </c>
      <c r="E372" s="99" t="s">
        <v>338</v>
      </c>
      <c r="F372" s="99">
        <v>0</v>
      </c>
      <c r="G372" s="99">
        <v>0</v>
      </c>
      <c r="H372" s="99">
        <v>0</v>
      </c>
      <c r="I372" s="1129">
        <v>17122024</v>
      </c>
      <c r="J372" s="99">
        <v>0</v>
      </c>
      <c r="K372" s="99">
        <v>0</v>
      </c>
      <c r="L372" s="99">
        <v>0</v>
      </c>
      <c r="M372" s="99">
        <v>0</v>
      </c>
      <c r="N372" s="1129">
        <v>21306174</v>
      </c>
      <c r="O372" s="99">
        <v>0</v>
      </c>
      <c r="P372" s="99">
        <v>0</v>
      </c>
      <c r="Q372" s="99">
        <v>0</v>
      </c>
      <c r="R372" s="99">
        <v>0</v>
      </c>
      <c r="S372" s="99">
        <v>0</v>
      </c>
      <c r="T372" s="99">
        <v>0</v>
      </c>
      <c r="U372" s="99">
        <v>0</v>
      </c>
      <c r="V372" s="99">
        <v>0</v>
      </c>
      <c r="W372" s="99">
        <v>0</v>
      </c>
      <c r="X372" s="99">
        <v>0</v>
      </c>
      <c r="Y372" s="99">
        <v>0</v>
      </c>
      <c r="Z372" s="99">
        <v>0</v>
      </c>
      <c r="AA372" s="99">
        <v>0</v>
      </c>
      <c r="AB372" s="99">
        <v>0</v>
      </c>
      <c r="AC372" s="99">
        <v>0</v>
      </c>
      <c r="AD372" s="99">
        <v>0</v>
      </c>
      <c r="AE372" s="99">
        <v>0</v>
      </c>
      <c r="AF372" s="99">
        <v>0</v>
      </c>
      <c r="AG372" s="99">
        <v>0</v>
      </c>
      <c r="AH372" s="99">
        <v>0</v>
      </c>
      <c r="AI372" s="99">
        <v>0</v>
      </c>
      <c r="AJ372" s="99">
        <v>0</v>
      </c>
      <c r="AK372" s="1129">
        <v>802864</v>
      </c>
      <c r="AL372" s="99">
        <v>0</v>
      </c>
      <c r="AM372" s="99">
        <v>0</v>
      </c>
      <c r="AN372" s="99">
        <v>0</v>
      </c>
      <c r="AO372" s="1129">
        <v>2038735</v>
      </c>
      <c r="AP372" s="99">
        <v>0</v>
      </c>
      <c r="AQ372" s="99">
        <v>0</v>
      </c>
      <c r="AR372" s="99">
        <v>0</v>
      </c>
      <c r="AS372" s="99">
        <v>0</v>
      </c>
      <c r="AT372" s="99">
        <v>0</v>
      </c>
      <c r="AU372" s="99">
        <v>0</v>
      </c>
      <c r="AV372" s="99">
        <v>0</v>
      </c>
      <c r="AW372" s="99">
        <v>0</v>
      </c>
      <c r="AX372" s="99">
        <v>0</v>
      </c>
      <c r="AY372" s="99">
        <v>0</v>
      </c>
      <c r="AZ372" s="99">
        <v>0</v>
      </c>
      <c r="BA372" s="99">
        <v>0</v>
      </c>
      <c r="BB372" s="99">
        <v>0</v>
      </c>
      <c r="BC372" s="99">
        <v>0</v>
      </c>
      <c r="BD372" s="99">
        <v>0</v>
      </c>
      <c r="BE372" s="99">
        <v>0</v>
      </c>
      <c r="BF372" s="99">
        <v>0</v>
      </c>
      <c r="BG372" s="99">
        <v>0</v>
      </c>
      <c r="BH372" s="99">
        <v>0</v>
      </c>
      <c r="BI372" s="1129">
        <v>1511896</v>
      </c>
      <c r="BJ372" s="99">
        <v>0</v>
      </c>
      <c r="BK372" s="99">
        <v>0</v>
      </c>
      <c r="BL372" s="99">
        <v>0</v>
      </c>
      <c r="BM372" s="99">
        <v>0</v>
      </c>
      <c r="BN372" s="99">
        <v>0</v>
      </c>
      <c r="BO372" s="99">
        <v>0</v>
      </c>
      <c r="BP372" s="99">
        <v>0</v>
      </c>
      <c r="BQ372" s="99">
        <v>0</v>
      </c>
      <c r="BR372" s="99">
        <v>0</v>
      </c>
      <c r="BS372" s="99">
        <v>0</v>
      </c>
      <c r="BT372" s="99">
        <v>0</v>
      </c>
    </row>
    <row r="373" spans="1:72" x14ac:dyDescent="0.3">
      <c r="A373" s="99">
        <v>48</v>
      </c>
      <c r="D373" s="99" t="s">
        <v>123</v>
      </c>
      <c r="E373" s="99" t="s">
        <v>339</v>
      </c>
      <c r="F373" s="99">
        <v>0</v>
      </c>
      <c r="G373" s="99">
        <v>0</v>
      </c>
      <c r="H373" s="99">
        <v>0</v>
      </c>
      <c r="I373" s="1129">
        <v>2674906</v>
      </c>
      <c r="J373" s="99">
        <v>0</v>
      </c>
      <c r="K373" s="99">
        <v>0</v>
      </c>
      <c r="L373" s="99">
        <v>0</v>
      </c>
      <c r="M373" s="99">
        <v>0</v>
      </c>
      <c r="N373" s="1129">
        <v>5850499</v>
      </c>
      <c r="O373" s="99">
        <v>0</v>
      </c>
      <c r="P373" s="99">
        <v>0</v>
      </c>
      <c r="Q373" s="99">
        <v>0</v>
      </c>
      <c r="R373" s="99">
        <v>0</v>
      </c>
      <c r="S373" s="99">
        <v>0</v>
      </c>
      <c r="T373" s="99">
        <v>0</v>
      </c>
      <c r="U373" s="99">
        <v>0</v>
      </c>
      <c r="V373" s="99">
        <v>0</v>
      </c>
      <c r="W373" s="99">
        <v>0</v>
      </c>
      <c r="X373" s="99">
        <v>0</v>
      </c>
      <c r="Y373" s="99">
        <v>0</v>
      </c>
      <c r="Z373" s="99">
        <v>0</v>
      </c>
      <c r="AA373" s="99">
        <v>0</v>
      </c>
      <c r="AB373" s="99">
        <v>0</v>
      </c>
      <c r="AC373" s="99">
        <v>0</v>
      </c>
      <c r="AD373" s="99">
        <v>0</v>
      </c>
      <c r="AE373" s="99">
        <v>0</v>
      </c>
      <c r="AF373" s="99">
        <v>0</v>
      </c>
      <c r="AG373" s="99">
        <v>0</v>
      </c>
      <c r="AH373" s="99">
        <v>0</v>
      </c>
      <c r="AI373" s="99">
        <v>0</v>
      </c>
      <c r="AJ373" s="99">
        <v>0</v>
      </c>
      <c r="AK373" s="1129">
        <v>93798</v>
      </c>
      <c r="AL373" s="99">
        <v>0</v>
      </c>
      <c r="AM373" s="99">
        <v>0</v>
      </c>
      <c r="AN373" s="99">
        <v>0</v>
      </c>
      <c r="AO373" s="1129">
        <v>389476</v>
      </c>
      <c r="AP373" s="99">
        <v>0</v>
      </c>
      <c r="AQ373" s="99">
        <v>0</v>
      </c>
      <c r="AR373" s="99">
        <v>0</v>
      </c>
      <c r="AS373" s="99">
        <v>0</v>
      </c>
      <c r="AT373" s="99">
        <v>0</v>
      </c>
      <c r="AU373" s="99">
        <v>0</v>
      </c>
      <c r="AV373" s="99">
        <v>0</v>
      </c>
      <c r="AW373" s="99">
        <v>0</v>
      </c>
      <c r="AX373" s="99">
        <v>0</v>
      </c>
      <c r="AY373" s="99">
        <v>0</v>
      </c>
      <c r="AZ373" s="99">
        <v>0</v>
      </c>
      <c r="BA373" s="99">
        <v>0</v>
      </c>
      <c r="BB373" s="99">
        <v>0</v>
      </c>
      <c r="BC373" s="99">
        <v>0</v>
      </c>
      <c r="BD373" s="99">
        <v>0</v>
      </c>
      <c r="BE373" s="99">
        <v>0</v>
      </c>
      <c r="BF373" s="99">
        <v>0</v>
      </c>
      <c r="BG373" s="99">
        <v>0</v>
      </c>
      <c r="BH373" s="99">
        <v>0</v>
      </c>
      <c r="BI373" s="1129">
        <v>19963</v>
      </c>
      <c r="BJ373" s="99">
        <v>0</v>
      </c>
      <c r="BK373" s="99">
        <v>0</v>
      </c>
      <c r="BL373" s="99">
        <v>0</v>
      </c>
      <c r="BM373" s="99">
        <v>0</v>
      </c>
      <c r="BN373" s="99">
        <v>0</v>
      </c>
      <c r="BO373" s="99">
        <v>0</v>
      </c>
      <c r="BP373" s="99">
        <v>0</v>
      </c>
      <c r="BQ373" s="99">
        <v>0</v>
      </c>
      <c r="BR373" s="99">
        <v>0</v>
      </c>
      <c r="BS373" s="99">
        <v>0</v>
      </c>
      <c r="BT373" s="99">
        <v>0</v>
      </c>
    </row>
    <row r="374" spans="1:72" x14ac:dyDescent="0.3">
      <c r="A374" s="99">
        <v>336</v>
      </c>
      <c r="D374" s="99" t="s">
        <v>637</v>
      </c>
      <c r="E374" s="99" t="s">
        <v>419</v>
      </c>
      <c r="F374" s="1129">
        <v>1233464</v>
      </c>
      <c r="G374" s="1129">
        <v>435633</v>
      </c>
      <c r="H374" s="1129">
        <v>17918</v>
      </c>
      <c r="I374" s="1129">
        <v>3084515</v>
      </c>
      <c r="J374" s="99">
        <v>276</v>
      </c>
      <c r="K374" s="99">
        <v>0</v>
      </c>
      <c r="L374" s="1129">
        <v>322134</v>
      </c>
      <c r="M374" s="1129">
        <v>8968</v>
      </c>
      <c r="N374" s="1129">
        <v>12857682</v>
      </c>
      <c r="O374" s="99">
        <v>138</v>
      </c>
      <c r="P374" s="1129">
        <v>293871</v>
      </c>
      <c r="Q374" s="1129">
        <v>153759</v>
      </c>
      <c r="R374" s="1129">
        <v>3050400</v>
      </c>
      <c r="S374" s="1129">
        <v>50292647</v>
      </c>
      <c r="T374" s="99">
        <v>0</v>
      </c>
      <c r="U374" s="1129">
        <v>3116</v>
      </c>
      <c r="V374" s="1129">
        <v>889863</v>
      </c>
      <c r="W374" s="99">
        <v>0</v>
      </c>
      <c r="X374" s="1129">
        <v>12430</v>
      </c>
      <c r="Y374" s="1129">
        <v>2730</v>
      </c>
      <c r="Z374" s="99">
        <v>0</v>
      </c>
      <c r="AA374" s="99">
        <v>0</v>
      </c>
      <c r="AB374" s="99">
        <v>0</v>
      </c>
      <c r="AC374" s="1129">
        <v>5002</v>
      </c>
      <c r="AD374" s="1129">
        <v>3633216</v>
      </c>
      <c r="AE374" s="1129">
        <v>274015</v>
      </c>
      <c r="AF374" s="1129">
        <v>2153</v>
      </c>
      <c r="AG374" s="1129">
        <v>17897</v>
      </c>
      <c r="AH374" s="99">
        <v>0</v>
      </c>
      <c r="AI374" s="1129">
        <v>1318269</v>
      </c>
      <c r="AJ374" s="1129">
        <v>602900</v>
      </c>
      <c r="AK374" s="1129">
        <v>139519</v>
      </c>
      <c r="AL374" s="99">
        <v>0</v>
      </c>
      <c r="AM374" s="99">
        <v>0</v>
      </c>
      <c r="AN374" s="1129">
        <v>1318</v>
      </c>
      <c r="AO374" s="1129">
        <v>76577</v>
      </c>
      <c r="AP374" s="1129">
        <v>217125</v>
      </c>
      <c r="AQ374" s="1129">
        <v>488838</v>
      </c>
      <c r="AR374" s="1129">
        <v>2744</v>
      </c>
      <c r="AS374" s="1129">
        <v>10723</v>
      </c>
      <c r="AT374" s="1129">
        <v>10487</v>
      </c>
      <c r="AU374" s="1129">
        <v>271226</v>
      </c>
      <c r="AV374" s="1129">
        <v>52588</v>
      </c>
      <c r="AW374" s="99">
        <v>0</v>
      </c>
      <c r="AX374" s="1129">
        <v>1008430</v>
      </c>
      <c r="AY374" s="1129">
        <v>153665</v>
      </c>
      <c r="AZ374" s="1129">
        <v>2341965</v>
      </c>
      <c r="BA374" s="1129">
        <v>130648</v>
      </c>
      <c r="BB374" s="1129">
        <v>9821</v>
      </c>
      <c r="BC374" s="1129">
        <v>1360051</v>
      </c>
      <c r="BD374" s="1129">
        <v>58044</v>
      </c>
      <c r="BE374" s="1129">
        <v>1791</v>
      </c>
      <c r="BF374" s="1129">
        <v>18090</v>
      </c>
      <c r="BG374" s="1129">
        <v>1420845</v>
      </c>
      <c r="BH374" s="1129">
        <v>14385</v>
      </c>
      <c r="BI374" s="1129">
        <v>66160</v>
      </c>
      <c r="BJ374" s="1129">
        <v>747645</v>
      </c>
      <c r="BK374" s="1129">
        <v>104368</v>
      </c>
      <c r="BL374" s="1129">
        <v>63967</v>
      </c>
      <c r="BM374" s="1129">
        <v>8350</v>
      </c>
      <c r="BN374" s="1129">
        <v>2710</v>
      </c>
      <c r="BO374" s="1129">
        <v>113132</v>
      </c>
      <c r="BP374" s="99">
        <v>0</v>
      </c>
      <c r="BQ374" s="1129">
        <v>281019</v>
      </c>
      <c r="BR374" s="1129">
        <v>9458529</v>
      </c>
      <c r="BS374" s="1129">
        <v>221704</v>
      </c>
      <c r="BT374" s="1129">
        <v>952856</v>
      </c>
    </row>
    <row r="375" spans="1:72" x14ac:dyDescent="0.3">
      <c r="A375" s="99">
        <v>537</v>
      </c>
      <c r="B375" s="318">
        <v>537</v>
      </c>
      <c r="C375" s="99">
        <v>537</v>
      </c>
      <c r="D375" s="99" t="s">
        <v>295</v>
      </c>
      <c r="E375" s="99" t="s">
        <v>504</v>
      </c>
      <c r="F375" s="99">
        <v>1</v>
      </c>
      <c r="G375" s="99">
        <v>2</v>
      </c>
      <c r="H375" s="99">
        <v>2</v>
      </c>
      <c r="I375" s="99">
        <v>1</v>
      </c>
      <c r="J375" s="99">
        <v>2</v>
      </c>
      <c r="K375" s="99">
        <v>2</v>
      </c>
      <c r="L375" s="99">
        <v>2</v>
      </c>
      <c r="M375" s="99">
        <v>2</v>
      </c>
      <c r="N375" s="99">
        <v>1</v>
      </c>
      <c r="O375" s="99">
        <v>2</v>
      </c>
      <c r="P375" s="99">
        <v>1</v>
      </c>
      <c r="Q375" s="99">
        <v>2</v>
      </c>
      <c r="R375" s="99">
        <v>2</v>
      </c>
      <c r="S375" s="99">
        <v>1</v>
      </c>
      <c r="T375" s="99">
        <v>0</v>
      </c>
      <c r="U375" s="99">
        <v>2</v>
      </c>
      <c r="V375" s="99">
        <v>2</v>
      </c>
      <c r="W375" s="99">
        <v>2</v>
      </c>
      <c r="X375" s="99">
        <v>2</v>
      </c>
      <c r="Y375" s="99">
        <v>2</v>
      </c>
      <c r="Z375" s="99">
        <v>2</v>
      </c>
      <c r="AA375" s="99">
        <v>0</v>
      </c>
      <c r="AB375" s="99">
        <v>0</v>
      </c>
      <c r="AC375" s="99">
        <v>2</v>
      </c>
      <c r="AD375" s="99">
        <v>1</v>
      </c>
      <c r="AE375" s="99">
        <v>1</v>
      </c>
      <c r="AF375" s="99">
        <v>2</v>
      </c>
      <c r="AG375" s="99">
        <v>2</v>
      </c>
      <c r="AH375" s="99">
        <v>2</v>
      </c>
      <c r="AI375" s="99">
        <v>2</v>
      </c>
      <c r="AJ375" s="99">
        <v>2</v>
      </c>
      <c r="AK375" s="99">
        <v>2</v>
      </c>
      <c r="AL375" s="99">
        <v>0</v>
      </c>
      <c r="AM375" s="99">
        <v>0</v>
      </c>
      <c r="AN375" s="99">
        <v>2</v>
      </c>
      <c r="AO375" s="99">
        <v>2</v>
      </c>
      <c r="AP375" s="99">
        <v>2</v>
      </c>
      <c r="AQ375" s="99">
        <v>2</v>
      </c>
      <c r="AR375" s="99">
        <v>2</v>
      </c>
      <c r="AS375" s="99">
        <v>2</v>
      </c>
      <c r="AT375" s="99">
        <v>1</v>
      </c>
      <c r="AU375" s="99">
        <v>1</v>
      </c>
      <c r="AV375" s="99">
        <v>2</v>
      </c>
      <c r="AW375" s="99">
        <v>0</v>
      </c>
      <c r="AX375" s="99">
        <v>1</v>
      </c>
      <c r="AY375" s="99">
        <v>1</v>
      </c>
      <c r="AZ375" s="99">
        <v>1</v>
      </c>
      <c r="BA375" s="99">
        <v>2</v>
      </c>
      <c r="BB375" s="99">
        <v>2</v>
      </c>
      <c r="BC375" s="99">
        <v>2</v>
      </c>
      <c r="BD375" s="99">
        <v>2</v>
      </c>
      <c r="BE375" s="99">
        <v>2</v>
      </c>
      <c r="BF375" s="99">
        <v>2</v>
      </c>
      <c r="BG375" s="99">
        <v>2</v>
      </c>
      <c r="BH375" s="99">
        <v>2</v>
      </c>
      <c r="BI375" s="99">
        <v>2</v>
      </c>
      <c r="BJ375" s="99">
        <v>1</v>
      </c>
      <c r="BK375" s="99">
        <v>2</v>
      </c>
      <c r="BL375" s="99">
        <v>2</v>
      </c>
      <c r="BM375" s="99">
        <v>2</v>
      </c>
      <c r="BN375" s="99">
        <v>2</v>
      </c>
      <c r="BO375" s="99">
        <v>1</v>
      </c>
      <c r="BP375" s="99">
        <v>2</v>
      </c>
      <c r="BQ375" s="99">
        <v>2</v>
      </c>
      <c r="BR375" s="99">
        <v>1</v>
      </c>
      <c r="BS375" s="99">
        <v>2</v>
      </c>
      <c r="BT375" s="99">
        <v>2</v>
      </c>
    </row>
    <row r="376" spans="1:72" x14ac:dyDescent="0.3">
      <c r="A376" s="99">
        <v>538</v>
      </c>
      <c r="B376" s="318">
        <v>538</v>
      </c>
      <c r="C376" s="99">
        <v>538</v>
      </c>
      <c r="D376" s="99" t="s">
        <v>294</v>
      </c>
      <c r="E376" s="99" t="s">
        <v>505</v>
      </c>
      <c r="F376" s="99">
        <v>1</v>
      </c>
      <c r="G376" s="99">
        <v>2</v>
      </c>
      <c r="H376" s="99">
        <v>2</v>
      </c>
      <c r="I376" s="99">
        <v>1</v>
      </c>
      <c r="J376" s="99">
        <v>2</v>
      </c>
      <c r="K376" s="99">
        <v>2</v>
      </c>
      <c r="L376" s="99">
        <v>2</v>
      </c>
      <c r="M376" s="99">
        <v>2</v>
      </c>
      <c r="N376" s="99">
        <v>2</v>
      </c>
      <c r="O376" s="99">
        <v>2</v>
      </c>
      <c r="P376" s="99">
        <v>1</v>
      </c>
      <c r="Q376" s="99">
        <v>2</v>
      </c>
      <c r="R376" s="99">
        <v>2</v>
      </c>
      <c r="S376" s="99">
        <v>2</v>
      </c>
      <c r="T376" s="99">
        <v>0</v>
      </c>
      <c r="U376" s="99">
        <v>2</v>
      </c>
      <c r="V376" s="99">
        <v>2</v>
      </c>
      <c r="W376" s="99">
        <v>2</v>
      </c>
      <c r="X376" s="99">
        <v>2</v>
      </c>
      <c r="Y376" s="99">
        <v>2</v>
      </c>
      <c r="Z376" s="99">
        <v>2</v>
      </c>
      <c r="AA376" s="99">
        <v>0</v>
      </c>
      <c r="AB376" s="99">
        <v>0</v>
      </c>
      <c r="AC376" s="99">
        <v>2</v>
      </c>
      <c r="AD376" s="99">
        <v>1</v>
      </c>
      <c r="AE376" s="99">
        <v>1</v>
      </c>
      <c r="AF376" s="99">
        <v>2</v>
      </c>
      <c r="AG376" s="99">
        <v>2</v>
      </c>
      <c r="AH376" s="99">
        <v>2</v>
      </c>
      <c r="AI376" s="99">
        <v>2</v>
      </c>
      <c r="AJ376" s="99">
        <v>1</v>
      </c>
      <c r="AK376" s="99">
        <v>2</v>
      </c>
      <c r="AL376" s="99">
        <v>0</v>
      </c>
      <c r="AM376" s="99">
        <v>0</v>
      </c>
      <c r="AN376" s="99">
        <v>2</v>
      </c>
      <c r="AO376" s="99">
        <v>2</v>
      </c>
      <c r="AP376" s="99">
        <v>2</v>
      </c>
      <c r="AQ376" s="99">
        <v>2</v>
      </c>
      <c r="AR376" s="99">
        <v>2</v>
      </c>
      <c r="AS376" s="99">
        <v>2</v>
      </c>
      <c r="AT376" s="99">
        <v>1</v>
      </c>
      <c r="AU376" s="99">
        <v>2</v>
      </c>
      <c r="AV376" s="99">
        <v>2</v>
      </c>
      <c r="AW376" s="99">
        <v>0</v>
      </c>
      <c r="AX376" s="99">
        <v>2</v>
      </c>
      <c r="AY376" s="99">
        <v>2</v>
      </c>
      <c r="AZ376" s="99">
        <v>1</v>
      </c>
      <c r="BA376" s="99">
        <v>2</v>
      </c>
      <c r="BB376" s="99">
        <v>2</v>
      </c>
      <c r="BC376" s="99">
        <v>2</v>
      </c>
      <c r="BD376" s="99">
        <v>2</v>
      </c>
      <c r="BE376" s="99">
        <v>2</v>
      </c>
      <c r="BF376" s="99">
        <v>1</v>
      </c>
      <c r="BG376" s="99">
        <v>2</v>
      </c>
      <c r="BH376" s="99">
        <v>2</v>
      </c>
      <c r="BI376" s="99">
        <v>2</v>
      </c>
      <c r="BJ376" s="99">
        <v>1</v>
      </c>
      <c r="BK376" s="99">
        <v>2</v>
      </c>
      <c r="BL376" s="99">
        <v>2</v>
      </c>
      <c r="BM376" s="99">
        <v>2</v>
      </c>
      <c r="BN376" s="99">
        <v>2</v>
      </c>
      <c r="BO376" s="99">
        <v>1</v>
      </c>
      <c r="BP376" s="99">
        <v>2</v>
      </c>
      <c r="BQ376" s="99">
        <v>2</v>
      </c>
      <c r="BR376" s="99">
        <v>1</v>
      </c>
      <c r="BS376" s="99">
        <v>2</v>
      </c>
      <c r="BT376" s="99">
        <v>2</v>
      </c>
    </row>
    <row r="377" spans="1:72" x14ac:dyDescent="0.3">
      <c r="A377" s="99">
        <v>554</v>
      </c>
      <c r="D377" s="99" t="s">
        <v>578</v>
      </c>
      <c r="E377" s="99" t="s">
        <v>579</v>
      </c>
      <c r="F377" s="99">
        <v>0</v>
      </c>
      <c r="G377" s="99">
        <v>0</v>
      </c>
      <c r="H377" s="99">
        <v>0</v>
      </c>
      <c r="I377" s="1129">
        <v>7316603</v>
      </c>
      <c r="J377" s="99">
        <v>0</v>
      </c>
      <c r="K377" s="99">
        <v>0</v>
      </c>
      <c r="L377" s="99">
        <v>0</v>
      </c>
      <c r="M377" s="99">
        <v>0</v>
      </c>
      <c r="N377" s="1129">
        <v>1047736</v>
      </c>
      <c r="O377" s="99">
        <v>0</v>
      </c>
      <c r="P377" s="99">
        <v>0</v>
      </c>
      <c r="Q377" s="99">
        <v>0</v>
      </c>
      <c r="R377" s="1129">
        <v>398175</v>
      </c>
      <c r="S377" s="1129">
        <v>9877875</v>
      </c>
      <c r="T377" s="99">
        <v>0</v>
      </c>
      <c r="U377" s="99">
        <v>0</v>
      </c>
      <c r="V377" s="99">
        <v>0</v>
      </c>
      <c r="W377" s="99">
        <v>0</v>
      </c>
      <c r="X377" s="99">
        <v>0</v>
      </c>
      <c r="Y377" s="99">
        <v>0</v>
      </c>
      <c r="Z377" s="1129">
        <v>1932108</v>
      </c>
      <c r="AA377" s="99">
        <v>0</v>
      </c>
      <c r="AB377" s="99">
        <v>0</v>
      </c>
      <c r="AC377" s="1129">
        <v>1453283</v>
      </c>
      <c r="AD377" s="1129">
        <v>2809883</v>
      </c>
      <c r="AE377" s="99">
        <v>0</v>
      </c>
      <c r="AF377" s="99">
        <v>0</v>
      </c>
      <c r="AG377" s="99">
        <v>0</v>
      </c>
      <c r="AH377" s="99">
        <v>0</v>
      </c>
      <c r="AI377" s="99">
        <v>0</v>
      </c>
      <c r="AJ377" s="99">
        <v>0</v>
      </c>
      <c r="AK377" s="99">
        <v>0</v>
      </c>
      <c r="AL377" s="99">
        <v>0</v>
      </c>
      <c r="AM377" s="99">
        <v>0</v>
      </c>
      <c r="AN377" s="99">
        <v>0</v>
      </c>
      <c r="AO377" s="99">
        <v>0</v>
      </c>
      <c r="AP377" s="99">
        <v>0</v>
      </c>
      <c r="AQ377" s="1129">
        <v>2016633</v>
      </c>
      <c r="AR377" s="99">
        <v>0</v>
      </c>
      <c r="AS377" s="99">
        <v>0</v>
      </c>
      <c r="AT377" s="99">
        <v>0</v>
      </c>
      <c r="AU377" s="99">
        <v>0</v>
      </c>
      <c r="AV377" s="99">
        <v>0</v>
      </c>
      <c r="AW377" s="99">
        <v>0</v>
      </c>
      <c r="AX377" s="99">
        <v>0</v>
      </c>
      <c r="AY377" s="1129">
        <v>21000</v>
      </c>
      <c r="AZ377" s="99">
        <v>0</v>
      </c>
      <c r="BA377" s="99">
        <v>0</v>
      </c>
      <c r="BB377" s="99">
        <v>0</v>
      </c>
      <c r="BC377" s="1129">
        <v>1211682</v>
      </c>
      <c r="BD377" s="99">
        <v>0</v>
      </c>
      <c r="BE377" s="99">
        <v>0</v>
      </c>
      <c r="BF377" s="99">
        <v>0</v>
      </c>
      <c r="BG377" s="1129">
        <v>161364</v>
      </c>
      <c r="BH377" s="99">
        <v>0</v>
      </c>
      <c r="BI377" s="99">
        <v>0</v>
      </c>
      <c r="BJ377" s="1129">
        <v>105518</v>
      </c>
      <c r="BK377" s="99">
        <v>0</v>
      </c>
      <c r="BL377" s="99">
        <v>0</v>
      </c>
      <c r="BM377" s="99">
        <v>0</v>
      </c>
      <c r="BN377" s="1129">
        <v>1082505</v>
      </c>
      <c r="BO377" s="99">
        <v>0</v>
      </c>
      <c r="BP377" s="99">
        <v>0</v>
      </c>
      <c r="BQ377" s="99">
        <v>0</v>
      </c>
      <c r="BR377" s="1129">
        <v>2452499</v>
      </c>
      <c r="BS377" s="99">
        <v>0</v>
      </c>
      <c r="BT377" s="1129">
        <v>5080320</v>
      </c>
    </row>
    <row r="378" spans="1:72" x14ac:dyDescent="0.3">
      <c r="A378" s="99">
        <v>555</v>
      </c>
      <c r="D378" s="99" t="s">
        <v>580</v>
      </c>
      <c r="E378" s="99" t="s">
        <v>581</v>
      </c>
      <c r="F378" s="99">
        <v>0</v>
      </c>
      <c r="G378" s="99">
        <v>0</v>
      </c>
      <c r="H378" s="99">
        <v>0</v>
      </c>
      <c r="I378" s="1129">
        <v>4937758</v>
      </c>
      <c r="J378" s="99">
        <v>0</v>
      </c>
      <c r="K378" s="99">
        <v>0</v>
      </c>
      <c r="L378" s="99">
        <v>0</v>
      </c>
      <c r="M378" s="99">
        <v>0</v>
      </c>
      <c r="N378" s="1129">
        <v>791413</v>
      </c>
      <c r="O378" s="99">
        <v>0</v>
      </c>
      <c r="P378" s="99">
        <v>0</v>
      </c>
      <c r="Q378" s="99">
        <v>0</v>
      </c>
      <c r="R378" s="99">
        <v>0</v>
      </c>
      <c r="S378" s="1129">
        <v>4931301</v>
      </c>
      <c r="T378" s="99">
        <v>0</v>
      </c>
      <c r="U378" s="99">
        <v>0</v>
      </c>
      <c r="V378" s="99">
        <v>0</v>
      </c>
      <c r="W378" s="99">
        <v>0</v>
      </c>
      <c r="X378" s="99">
        <v>0</v>
      </c>
      <c r="Y378" s="99">
        <v>0</v>
      </c>
      <c r="Z378" s="1129">
        <v>1070391</v>
      </c>
      <c r="AA378" s="99">
        <v>0</v>
      </c>
      <c r="AB378" s="99">
        <v>0</v>
      </c>
      <c r="AC378" s="1129">
        <v>1453283</v>
      </c>
      <c r="AD378" s="1129">
        <v>2809505</v>
      </c>
      <c r="AE378" s="99">
        <v>0</v>
      </c>
      <c r="AF378" s="99">
        <v>0</v>
      </c>
      <c r="AG378" s="99">
        <v>0</v>
      </c>
      <c r="AH378" s="99">
        <v>0</v>
      </c>
      <c r="AI378" s="99">
        <v>0</v>
      </c>
      <c r="AJ378" s="99">
        <v>0</v>
      </c>
      <c r="AK378" s="99">
        <v>0</v>
      </c>
      <c r="AL378" s="99">
        <v>0</v>
      </c>
      <c r="AM378" s="99">
        <v>0</v>
      </c>
      <c r="AN378" s="99">
        <v>0</v>
      </c>
      <c r="AO378" s="99">
        <v>0</v>
      </c>
      <c r="AP378" s="99">
        <v>0</v>
      </c>
      <c r="AQ378" s="1129">
        <v>1892695</v>
      </c>
      <c r="AR378" s="99">
        <v>0</v>
      </c>
      <c r="AS378" s="99">
        <v>0</v>
      </c>
      <c r="AT378" s="99">
        <v>0</v>
      </c>
      <c r="AU378" s="99">
        <v>0</v>
      </c>
      <c r="AV378" s="99">
        <v>0</v>
      </c>
      <c r="AW378" s="99">
        <v>0</v>
      </c>
      <c r="AX378" s="99">
        <v>0</v>
      </c>
      <c r="AY378" s="99">
        <v>0</v>
      </c>
      <c r="AZ378" s="99">
        <v>0</v>
      </c>
      <c r="BA378" s="99">
        <v>0</v>
      </c>
      <c r="BB378" s="99">
        <v>0</v>
      </c>
      <c r="BC378" s="1129">
        <v>1201286</v>
      </c>
      <c r="BD378" s="99">
        <v>0</v>
      </c>
      <c r="BE378" s="99">
        <v>0</v>
      </c>
      <c r="BF378" s="99">
        <v>0</v>
      </c>
      <c r="BG378" s="99">
        <v>0</v>
      </c>
      <c r="BH378" s="99">
        <v>0</v>
      </c>
      <c r="BI378" s="99">
        <v>0</v>
      </c>
      <c r="BJ378" s="99">
        <v>0</v>
      </c>
      <c r="BK378" s="99">
        <v>0</v>
      </c>
      <c r="BL378" s="99">
        <v>0</v>
      </c>
      <c r="BM378" s="99">
        <v>0</v>
      </c>
      <c r="BN378" s="1129">
        <v>1082505</v>
      </c>
      <c r="BO378" s="99">
        <v>0</v>
      </c>
      <c r="BP378" s="99">
        <v>0</v>
      </c>
      <c r="BQ378" s="99">
        <v>0</v>
      </c>
      <c r="BR378" s="1129">
        <v>1975937</v>
      </c>
      <c r="BS378" s="99">
        <v>0</v>
      </c>
      <c r="BT378" s="1129">
        <v>5062874</v>
      </c>
    </row>
    <row r="379" spans="1:72" x14ac:dyDescent="0.3">
      <c r="A379" s="99">
        <v>556</v>
      </c>
      <c r="D379" s="99" t="s">
        <v>582</v>
      </c>
      <c r="E379" s="99" t="s">
        <v>583</v>
      </c>
      <c r="F379" s="99">
        <v>0</v>
      </c>
      <c r="G379" s="99">
        <v>0</v>
      </c>
      <c r="H379" s="99">
        <v>0</v>
      </c>
      <c r="I379" s="1129">
        <v>1692813</v>
      </c>
      <c r="J379" s="99">
        <v>0</v>
      </c>
      <c r="K379" s="99">
        <v>0</v>
      </c>
      <c r="L379" s="99">
        <v>0</v>
      </c>
      <c r="M379" s="99">
        <v>0</v>
      </c>
      <c r="N379" s="1129">
        <v>1404536</v>
      </c>
      <c r="O379" s="99">
        <v>0</v>
      </c>
      <c r="P379" s="99">
        <v>0</v>
      </c>
      <c r="Q379" s="99">
        <v>0</v>
      </c>
      <c r="R379" s="1129">
        <v>755849</v>
      </c>
      <c r="S379" s="1129">
        <v>4027127</v>
      </c>
      <c r="T379" s="99">
        <v>0</v>
      </c>
      <c r="U379" s="99">
        <v>0</v>
      </c>
      <c r="V379" s="99">
        <v>0</v>
      </c>
      <c r="W379" s="99">
        <v>0</v>
      </c>
      <c r="X379" s="99">
        <v>0</v>
      </c>
      <c r="Y379" s="99">
        <v>0</v>
      </c>
      <c r="Z379" s="1129">
        <v>682700</v>
      </c>
      <c r="AA379" s="99">
        <v>0</v>
      </c>
      <c r="AB379" s="99">
        <v>0</v>
      </c>
      <c r="AC379" s="99">
        <v>0</v>
      </c>
      <c r="AD379" s="1129">
        <v>1065827</v>
      </c>
      <c r="AE379" s="99">
        <v>0</v>
      </c>
      <c r="AF379" s="99">
        <v>0</v>
      </c>
      <c r="AG379" s="99">
        <v>0</v>
      </c>
      <c r="AH379" s="99">
        <v>0</v>
      </c>
      <c r="AI379" s="99">
        <v>0</v>
      </c>
      <c r="AJ379" s="99">
        <v>0</v>
      </c>
      <c r="AK379" s="99">
        <v>0</v>
      </c>
      <c r="AL379" s="99">
        <v>0</v>
      </c>
      <c r="AM379" s="99">
        <v>0</v>
      </c>
      <c r="AN379" s="99">
        <v>0</v>
      </c>
      <c r="AO379" s="99">
        <v>0</v>
      </c>
      <c r="AP379" s="99">
        <v>0</v>
      </c>
      <c r="AQ379" s="1129">
        <v>183840</v>
      </c>
      <c r="AR379" s="99">
        <v>0</v>
      </c>
      <c r="AS379" s="99">
        <v>0</v>
      </c>
      <c r="AT379" s="99">
        <v>0</v>
      </c>
      <c r="AU379" s="99">
        <v>0</v>
      </c>
      <c r="AV379" s="99">
        <v>0</v>
      </c>
      <c r="AW379" s="99">
        <v>0</v>
      </c>
      <c r="AX379" s="99">
        <v>0</v>
      </c>
      <c r="AY379" s="1129">
        <v>630501</v>
      </c>
      <c r="AZ379" s="99">
        <v>0</v>
      </c>
      <c r="BA379" s="99">
        <v>0</v>
      </c>
      <c r="BB379" s="99">
        <v>0</v>
      </c>
      <c r="BC379" s="1129">
        <v>501181</v>
      </c>
      <c r="BD379" s="99">
        <v>0</v>
      </c>
      <c r="BE379" s="99">
        <v>0</v>
      </c>
      <c r="BF379" s="99">
        <v>0</v>
      </c>
      <c r="BG379" s="1129">
        <v>565578</v>
      </c>
      <c r="BH379" s="99">
        <v>0</v>
      </c>
      <c r="BI379" s="99">
        <v>0</v>
      </c>
      <c r="BJ379" s="1129">
        <v>945570</v>
      </c>
      <c r="BK379" s="99">
        <v>0</v>
      </c>
      <c r="BL379" s="99">
        <v>0</v>
      </c>
      <c r="BM379" s="99">
        <v>0</v>
      </c>
      <c r="BN379" s="1129">
        <v>23611</v>
      </c>
      <c r="BO379" s="99">
        <v>0</v>
      </c>
      <c r="BP379" s="99">
        <v>0</v>
      </c>
      <c r="BQ379" s="99">
        <v>0</v>
      </c>
      <c r="BR379" s="1129">
        <v>1764426</v>
      </c>
      <c r="BS379" s="99">
        <v>0</v>
      </c>
      <c r="BT379" s="1129">
        <v>241637</v>
      </c>
    </row>
    <row r="380" spans="1:72" x14ac:dyDescent="0.3">
      <c r="A380" s="99">
        <v>557</v>
      </c>
      <c r="D380" s="99" t="s">
        <v>584</v>
      </c>
      <c r="E380" s="99" t="s">
        <v>585</v>
      </c>
      <c r="F380" s="99">
        <v>0</v>
      </c>
      <c r="G380" s="99">
        <v>0</v>
      </c>
      <c r="H380" s="99">
        <v>0</v>
      </c>
      <c r="I380" s="1129">
        <v>1109439</v>
      </c>
      <c r="J380" s="99">
        <v>0</v>
      </c>
      <c r="K380" s="99">
        <v>0</v>
      </c>
      <c r="L380" s="99">
        <v>0</v>
      </c>
      <c r="M380" s="99">
        <v>0</v>
      </c>
      <c r="N380" s="1129">
        <v>1354536</v>
      </c>
      <c r="O380" s="99">
        <v>0</v>
      </c>
      <c r="P380" s="99">
        <v>0</v>
      </c>
      <c r="Q380" s="99">
        <v>0</v>
      </c>
      <c r="R380" s="1129">
        <v>726009</v>
      </c>
      <c r="S380" s="1129">
        <v>3545996</v>
      </c>
      <c r="T380" s="99">
        <v>0</v>
      </c>
      <c r="U380" s="99">
        <v>0</v>
      </c>
      <c r="V380" s="99">
        <v>0</v>
      </c>
      <c r="W380" s="99">
        <v>0</v>
      </c>
      <c r="X380" s="99">
        <v>0</v>
      </c>
      <c r="Y380" s="99">
        <v>0</v>
      </c>
      <c r="Z380" s="1129">
        <v>320800</v>
      </c>
      <c r="AA380" s="99">
        <v>0</v>
      </c>
      <c r="AB380" s="99">
        <v>0</v>
      </c>
      <c r="AC380" s="99">
        <v>0</v>
      </c>
      <c r="AD380" s="1129">
        <v>874071</v>
      </c>
      <c r="AE380" s="99">
        <v>0</v>
      </c>
      <c r="AF380" s="99">
        <v>0</v>
      </c>
      <c r="AG380" s="99">
        <v>0</v>
      </c>
      <c r="AH380" s="99">
        <v>0</v>
      </c>
      <c r="AI380" s="99">
        <v>0</v>
      </c>
      <c r="AJ380" s="99">
        <v>0</v>
      </c>
      <c r="AK380" s="99">
        <v>0</v>
      </c>
      <c r="AL380" s="99">
        <v>0</v>
      </c>
      <c r="AM380" s="99">
        <v>0</v>
      </c>
      <c r="AN380" s="99">
        <v>0</v>
      </c>
      <c r="AO380" s="99">
        <v>0</v>
      </c>
      <c r="AP380" s="99">
        <v>0</v>
      </c>
      <c r="AQ380" s="99">
        <v>0</v>
      </c>
      <c r="AR380" s="99">
        <v>0</v>
      </c>
      <c r="AS380" s="99">
        <v>0</v>
      </c>
      <c r="AT380" s="99">
        <v>0</v>
      </c>
      <c r="AU380" s="99">
        <v>0</v>
      </c>
      <c r="AV380" s="99">
        <v>0</v>
      </c>
      <c r="AW380" s="99">
        <v>0</v>
      </c>
      <c r="AX380" s="99">
        <v>0</v>
      </c>
      <c r="AY380" s="1129">
        <v>500000</v>
      </c>
      <c r="AZ380" s="99">
        <v>0</v>
      </c>
      <c r="BA380" s="99">
        <v>0</v>
      </c>
      <c r="BB380" s="99">
        <v>0</v>
      </c>
      <c r="BC380" s="1129">
        <v>340299</v>
      </c>
      <c r="BD380" s="99">
        <v>0</v>
      </c>
      <c r="BE380" s="99">
        <v>0</v>
      </c>
      <c r="BF380" s="99">
        <v>0</v>
      </c>
      <c r="BG380" s="1129">
        <v>565578</v>
      </c>
      <c r="BH380" s="99">
        <v>0</v>
      </c>
      <c r="BI380" s="99">
        <v>0</v>
      </c>
      <c r="BJ380" s="1129">
        <v>613333</v>
      </c>
      <c r="BK380" s="99">
        <v>0</v>
      </c>
      <c r="BL380" s="99">
        <v>0</v>
      </c>
      <c r="BM380" s="99">
        <v>0</v>
      </c>
      <c r="BN380" s="99">
        <v>0</v>
      </c>
      <c r="BO380" s="99">
        <v>0</v>
      </c>
      <c r="BP380" s="99">
        <v>0</v>
      </c>
      <c r="BQ380" s="99">
        <v>0</v>
      </c>
      <c r="BR380" s="1129">
        <v>1427685</v>
      </c>
      <c r="BS380" s="99">
        <v>0</v>
      </c>
      <c r="BT380" s="99">
        <v>0</v>
      </c>
    </row>
    <row r="381" spans="1:72" x14ac:dyDescent="0.3">
      <c r="A381" s="99">
        <v>606</v>
      </c>
      <c r="D381" s="99" t="s">
        <v>714</v>
      </c>
      <c r="F381" s="99">
        <v>0</v>
      </c>
      <c r="G381" s="99">
        <v>0</v>
      </c>
      <c r="H381" s="99">
        <v>0</v>
      </c>
      <c r="I381" s="99">
        <v>1</v>
      </c>
      <c r="J381" s="99">
        <v>0</v>
      </c>
      <c r="K381" s="99">
        <v>0</v>
      </c>
      <c r="L381" s="99">
        <v>0</v>
      </c>
      <c r="M381" s="99">
        <v>0</v>
      </c>
      <c r="N381" s="99">
        <v>1</v>
      </c>
      <c r="O381" s="99">
        <v>0</v>
      </c>
      <c r="P381" s="99">
        <v>0</v>
      </c>
      <c r="Q381" s="99">
        <v>0</v>
      </c>
      <c r="R381" s="99">
        <v>1</v>
      </c>
      <c r="S381" s="99">
        <v>1</v>
      </c>
      <c r="T381" s="99">
        <v>0</v>
      </c>
      <c r="U381" s="99">
        <v>0</v>
      </c>
      <c r="V381" s="99">
        <v>0</v>
      </c>
      <c r="W381" s="99">
        <v>0</v>
      </c>
      <c r="X381" s="99">
        <v>0</v>
      </c>
      <c r="Y381" s="99">
        <v>0</v>
      </c>
      <c r="Z381" s="99">
        <v>1</v>
      </c>
      <c r="AA381" s="99">
        <v>0</v>
      </c>
      <c r="AB381" s="99">
        <v>0</v>
      </c>
      <c r="AC381" s="99">
        <v>1</v>
      </c>
      <c r="AD381" s="99">
        <v>1</v>
      </c>
      <c r="AE381" s="99">
        <v>0</v>
      </c>
      <c r="AF381" s="99">
        <v>0</v>
      </c>
      <c r="AG381" s="99">
        <v>0</v>
      </c>
      <c r="AH381" s="99">
        <v>0</v>
      </c>
      <c r="AI381" s="99">
        <v>0</v>
      </c>
      <c r="AJ381" s="99">
        <v>0</v>
      </c>
      <c r="AK381" s="99">
        <v>0</v>
      </c>
      <c r="AL381" s="99">
        <v>0</v>
      </c>
      <c r="AM381" s="99">
        <v>0</v>
      </c>
      <c r="AN381" s="99">
        <v>0</v>
      </c>
      <c r="AO381" s="99">
        <v>0</v>
      </c>
      <c r="AP381" s="99">
        <v>0</v>
      </c>
      <c r="AQ381" s="99">
        <v>1</v>
      </c>
      <c r="AR381" s="99">
        <v>0</v>
      </c>
      <c r="AS381" s="99">
        <v>0</v>
      </c>
      <c r="AT381" s="99">
        <v>0</v>
      </c>
      <c r="AU381" s="99">
        <v>0</v>
      </c>
      <c r="AV381" s="99">
        <v>0</v>
      </c>
      <c r="AW381" s="99">
        <v>0</v>
      </c>
      <c r="AX381" s="99">
        <v>0</v>
      </c>
      <c r="AY381" s="99">
        <v>1</v>
      </c>
      <c r="AZ381" s="99">
        <v>0</v>
      </c>
      <c r="BA381" s="99">
        <v>0</v>
      </c>
      <c r="BB381" s="99">
        <v>0</v>
      </c>
      <c r="BC381" s="99">
        <v>1</v>
      </c>
      <c r="BD381" s="99">
        <v>0</v>
      </c>
      <c r="BE381" s="99">
        <v>0</v>
      </c>
      <c r="BF381" s="99">
        <v>0</v>
      </c>
      <c r="BG381" s="99">
        <v>1</v>
      </c>
      <c r="BH381" s="99">
        <v>0</v>
      </c>
      <c r="BI381" s="99">
        <v>0</v>
      </c>
      <c r="BJ381" s="99">
        <v>1</v>
      </c>
      <c r="BK381" s="99">
        <v>0</v>
      </c>
      <c r="BL381" s="99">
        <v>0</v>
      </c>
      <c r="BM381" s="99">
        <v>0</v>
      </c>
      <c r="BN381" s="99">
        <v>1</v>
      </c>
      <c r="BO381" s="99">
        <v>0</v>
      </c>
      <c r="BP381" s="99">
        <v>0</v>
      </c>
      <c r="BQ381" s="99">
        <v>0</v>
      </c>
      <c r="BR381" s="99">
        <v>1</v>
      </c>
      <c r="BS381" s="99">
        <v>0</v>
      </c>
      <c r="BT381" s="99">
        <v>1</v>
      </c>
    </row>
    <row r="382" spans="1:72" x14ac:dyDescent="0.3">
      <c r="A382" s="99">
        <v>661</v>
      </c>
      <c r="D382" s="99" t="s">
        <v>858</v>
      </c>
      <c r="F382" s="99">
        <v>0</v>
      </c>
      <c r="G382" s="99">
        <v>0</v>
      </c>
      <c r="H382" s="99">
        <v>0</v>
      </c>
      <c r="I382" s="99">
        <v>0</v>
      </c>
      <c r="J382" s="99">
        <v>0</v>
      </c>
      <c r="K382" s="99">
        <v>0</v>
      </c>
      <c r="L382" s="99">
        <v>0</v>
      </c>
      <c r="M382" s="99">
        <v>0</v>
      </c>
      <c r="N382" s="1130">
        <v>33455</v>
      </c>
      <c r="O382" s="99">
        <v>0</v>
      </c>
      <c r="P382" s="99">
        <v>0</v>
      </c>
      <c r="Q382" s="99">
        <v>0</v>
      </c>
      <c r="R382" s="1130">
        <v>79363</v>
      </c>
      <c r="S382" s="1130">
        <v>674603</v>
      </c>
      <c r="T382" s="99">
        <v>0</v>
      </c>
      <c r="U382" s="99">
        <v>0</v>
      </c>
      <c r="V382" s="99">
        <v>0</v>
      </c>
      <c r="W382" s="99">
        <v>0</v>
      </c>
      <c r="X382" s="99">
        <v>0</v>
      </c>
      <c r="Y382" s="99">
        <v>0</v>
      </c>
      <c r="Z382" s="99">
        <v>0</v>
      </c>
      <c r="AA382" s="99">
        <v>0</v>
      </c>
      <c r="AB382" s="99">
        <v>0</v>
      </c>
      <c r="AC382" s="99">
        <v>0</v>
      </c>
      <c r="AD382" s="99">
        <v>0</v>
      </c>
      <c r="AE382" s="99">
        <v>0</v>
      </c>
      <c r="AF382" s="99">
        <v>0</v>
      </c>
      <c r="AG382" s="99">
        <v>0</v>
      </c>
      <c r="AH382" s="99">
        <v>0</v>
      </c>
      <c r="AI382" s="99">
        <v>0</v>
      </c>
      <c r="AJ382" s="99">
        <v>0</v>
      </c>
      <c r="AK382" s="99">
        <v>0</v>
      </c>
      <c r="AL382" s="99">
        <v>0</v>
      </c>
      <c r="AM382" s="99">
        <v>0</v>
      </c>
      <c r="AN382" s="99">
        <v>0</v>
      </c>
      <c r="AO382" s="99">
        <v>0</v>
      </c>
      <c r="AP382" s="99">
        <v>0</v>
      </c>
      <c r="AQ382" s="99">
        <v>0</v>
      </c>
      <c r="AR382" s="99">
        <v>0</v>
      </c>
      <c r="AS382" s="99">
        <v>0</v>
      </c>
      <c r="AT382" s="99">
        <v>0</v>
      </c>
      <c r="AU382" s="99">
        <v>0</v>
      </c>
      <c r="AV382" s="99">
        <v>0</v>
      </c>
      <c r="AW382" s="99">
        <v>0</v>
      </c>
      <c r="AX382" s="99">
        <v>0</v>
      </c>
      <c r="AY382" s="99">
        <v>0</v>
      </c>
      <c r="AZ382" s="99">
        <v>0</v>
      </c>
      <c r="BA382" s="99">
        <v>0</v>
      </c>
      <c r="BB382" s="99">
        <v>0</v>
      </c>
      <c r="BC382" s="1130">
        <v>3014</v>
      </c>
      <c r="BD382" s="99">
        <v>0</v>
      </c>
      <c r="BE382" s="99">
        <v>0</v>
      </c>
      <c r="BF382" s="99">
        <v>0</v>
      </c>
      <c r="BG382" s="99">
        <v>0</v>
      </c>
      <c r="BH382" s="99">
        <v>0</v>
      </c>
      <c r="BI382" s="99">
        <v>0</v>
      </c>
      <c r="BJ382" s="1130">
        <v>105518</v>
      </c>
      <c r="BK382" s="99">
        <v>0</v>
      </c>
      <c r="BL382" s="99">
        <v>0</v>
      </c>
      <c r="BM382" s="99">
        <v>0</v>
      </c>
      <c r="BN382" s="99">
        <v>0</v>
      </c>
      <c r="BO382" s="99">
        <v>0</v>
      </c>
      <c r="BP382" s="99">
        <v>0</v>
      </c>
      <c r="BQ382" s="99">
        <v>0</v>
      </c>
      <c r="BR382" s="99">
        <v>0</v>
      </c>
      <c r="BS382" s="99">
        <v>0</v>
      </c>
      <c r="BT382" s="99">
        <v>0</v>
      </c>
    </row>
    <row r="383" spans="1:72" x14ac:dyDescent="0.3">
      <c r="A383" s="99">
        <v>663</v>
      </c>
      <c r="D383" s="99" t="s">
        <v>859</v>
      </c>
      <c r="F383" s="99">
        <v>0</v>
      </c>
      <c r="G383" s="99">
        <v>0</v>
      </c>
      <c r="H383" s="99">
        <v>0</v>
      </c>
      <c r="I383" s="1130">
        <v>62184</v>
      </c>
      <c r="J383" s="99">
        <v>0</v>
      </c>
      <c r="K383" s="99">
        <v>0</v>
      </c>
      <c r="L383" s="99">
        <v>0</v>
      </c>
      <c r="M383" s="99">
        <v>0</v>
      </c>
      <c r="N383" s="99">
        <v>0</v>
      </c>
      <c r="O383" s="99">
        <v>0</v>
      </c>
      <c r="P383" s="99">
        <v>0</v>
      </c>
      <c r="Q383" s="99">
        <v>0</v>
      </c>
      <c r="R383" s="99">
        <v>0</v>
      </c>
      <c r="S383" s="99">
        <v>0</v>
      </c>
      <c r="T383" s="99">
        <v>0</v>
      </c>
      <c r="U383" s="99">
        <v>0</v>
      </c>
      <c r="V383" s="99">
        <v>0</v>
      </c>
      <c r="W383" s="99">
        <v>0</v>
      </c>
      <c r="X383" s="99">
        <v>0</v>
      </c>
      <c r="Y383" s="99">
        <v>0</v>
      </c>
      <c r="Z383" s="99">
        <v>0</v>
      </c>
      <c r="AA383" s="99">
        <v>0</v>
      </c>
      <c r="AB383" s="99">
        <v>0</v>
      </c>
      <c r="AC383" s="99">
        <v>0</v>
      </c>
      <c r="AD383" s="99">
        <v>378</v>
      </c>
      <c r="AE383" s="99">
        <v>0</v>
      </c>
      <c r="AF383" s="99">
        <v>0</v>
      </c>
      <c r="AG383" s="99">
        <v>0</v>
      </c>
      <c r="AH383" s="99">
        <v>0</v>
      </c>
      <c r="AI383" s="99">
        <v>0</v>
      </c>
      <c r="AJ383" s="99">
        <v>0</v>
      </c>
      <c r="AK383" s="99">
        <v>0</v>
      </c>
      <c r="AL383" s="99">
        <v>0</v>
      </c>
      <c r="AM383" s="99">
        <v>0</v>
      </c>
      <c r="AN383" s="99">
        <v>0</v>
      </c>
      <c r="AO383" s="99">
        <v>0</v>
      </c>
      <c r="AP383" s="99">
        <v>0</v>
      </c>
      <c r="AQ383" s="99">
        <v>0</v>
      </c>
      <c r="AR383" s="99">
        <v>0</v>
      </c>
      <c r="AS383" s="99">
        <v>0</v>
      </c>
      <c r="AT383" s="99">
        <v>0</v>
      </c>
      <c r="AU383" s="99">
        <v>0</v>
      </c>
      <c r="AV383" s="99">
        <v>0</v>
      </c>
      <c r="AW383" s="99">
        <v>0</v>
      </c>
      <c r="AX383" s="99">
        <v>0</v>
      </c>
      <c r="AY383" s="99">
        <v>0</v>
      </c>
      <c r="AZ383" s="99">
        <v>0</v>
      </c>
      <c r="BA383" s="99">
        <v>0</v>
      </c>
      <c r="BB383" s="99">
        <v>0</v>
      </c>
      <c r="BC383" s="99">
        <v>0</v>
      </c>
      <c r="BD383" s="99">
        <v>0</v>
      </c>
      <c r="BE383" s="99">
        <v>0</v>
      </c>
      <c r="BF383" s="99">
        <v>0</v>
      </c>
      <c r="BG383" s="99">
        <v>0</v>
      </c>
      <c r="BH383" s="99">
        <v>0</v>
      </c>
      <c r="BI383" s="99">
        <v>0</v>
      </c>
      <c r="BJ383" s="99">
        <v>0</v>
      </c>
      <c r="BK383" s="99">
        <v>0</v>
      </c>
      <c r="BL383" s="99">
        <v>0</v>
      </c>
      <c r="BM383" s="99">
        <v>0</v>
      </c>
      <c r="BN383" s="99">
        <v>0</v>
      </c>
      <c r="BO383" s="99">
        <v>0</v>
      </c>
      <c r="BP383" s="99">
        <v>0</v>
      </c>
      <c r="BQ383" s="99">
        <v>0</v>
      </c>
      <c r="BR383" s="99">
        <v>0</v>
      </c>
      <c r="BS383" s="99">
        <v>0</v>
      </c>
      <c r="BT383" s="99">
        <v>0</v>
      </c>
    </row>
    <row r="384" spans="1:72" x14ac:dyDescent="0.3">
      <c r="A384" s="99">
        <v>577</v>
      </c>
      <c r="D384" s="99" t="s">
        <v>645</v>
      </c>
      <c r="E384" s="99" t="s">
        <v>646</v>
      </c>
      <c r="F384" s="99">
        <v>2</v>
      </c>
      <c r="G384" s="99">
        <v>2</v>
      </c>
      <c r="H384" s="99">
        <v>0</v>
      </c>
      <c r="I384" s="99">
        <v>2</v>
      </c>
      <c r="J384" s="99">
        <v>0</v>
      </c>
      <c r="K384" s="99">
        <v>2</v>
      </c>
      <c r="L384" s="99">
        <v>2</v>
      </c>
      <c r="M384" s="99">
        <v>2</v>
      </c>
      <c r="N384" s="99">
        <v>1</v>
      </c>
      <c r="O384" s="99">
        <v>2</v>
      </c>
      <c r="P384" s="99">
        <v>2</v>
      </c>
      <c r="Q384" s="99">
        <v>2</v>
      </c>
      <c r="R384" s="99">
        <v>2</v>
      </c>
      <c r="S384" s="99">
        <v>2</v>
      </c>
      <c r="T384" s="99">
        <v>0</v>
      </c>
      <c r="U384" s="99">
        <v>2</v>
      </c>
      <c r="V384" s="99">
        <v>2</v>
      </c>
      <c r="W384" s="99">
        <v>2</v>
      </c>
      <c r="X384" s="99">
        <v>2</v>
      </c>
      <c r="Y384" s="99">
        <v>0</v>
      </c>
      <c r="Z384" s="99">
        <v>2</v>
      </c>
      <c r="AA384" s="99">
        <v>0</v>
      </c>
      <c r="AB384" s="99">
        <v>0</v>
      </c>
      <c r="AC384" s="99">
        <v>2</v>
      </c>
      <c r="AD384" s="99">
        <v>2</v>
      </c>
      <c r="AE384" s="99">
        <v>2</v>
      </c>
      <c r="AF384" s="99">
        <v>0</v>
      </c>
      <c r="AG384" s="99">
        <v>2</v>
      </c>
      <c r="AH384" s="99">
        <v>2</v>
      </c>
      <c r="AI384" s="99">
        <v>2</v>
      </c>
      <c r="AJ384" s="99">
        <v>2</v>
      </c>
      <c r="AK384" s="99">
        <v>2</v>
      </c>
      <c r="AL384" s="99">
        <v>0</v>
      </c>
      <c r="AM384" s="99">
        <v>0</v>
      </c>
      <c r="AN384" s="99">
        <v>2</v>
      </c>
      <c r="AO384" s="99">
        <v>2</v>
      </c>
      <c r="AP384" s="99">
        <v>2</v>
      </c>
      <c r="AQ384" s="99">
        <v>2</v>
      </c>
      <c r="AR384" s="99">
        <v>2</v>
      </c>
      <c r="AS384" s="99">
        <v>2</v>
      </c>
      <c r="AT384" s="99">
        <v>1</v>
      </c>
      <c r="AU384" s="99">
        <v>1</v>
      </c>
      <c r="AV384" s="99">
        <v>2</v>
      </c>
      <c r="AW384" s="99">
        <v>0</v>
      </c>
      <c r="AX384" s="99">
        <v>2</v>
      </c>
      <c r="AY384" s="99">
        <v>2</v>
      </c>
      <c r="AZ384" s="99">
        <v>2</v>
      </c>
      <c r="BA384" s="99">
        <v>2</v>
      </c>
      <c r="BB384" s="99">
        <v>2</v>
      </c>
      <c r="BC384" s="99">
        <v>2</v>
      </c>
      <c r="BD384" s="99">
        <v>2</v>
      </c>
      <c r="BE384" s="99">
        <v>2</v>
      </c>
      <c r="BF384" s="99">
        <v>2</v>
      </c>
      <c r="BG384" s="99">
        <v>2</v>
      </c>
      <c r="BH384" s="99">
        <v>2</v>
      </c>
      <c r="BI384" s="99">
        <v>2</v>
      </c>
      <c r="BJ384" s="99">
        <v>2</v>
      </c>
      <c r="BK384" s="99">
        <v>2</v>
      </c>
      <c r="BL384" s="99">
        <v>2</v>
      </c>
      <c r="BM384" s="99">
        <v>0</v>
      </c>
      <c r="BN384" s="99">
        <v>2</v>
      </c>
      <c r="BO384" s="99">
        <v>0</v>
      </c>
      <c r="BP384" s="99">
        <v>2</v>
      </c>
      <c r="BQ384" s="99">
        <v>2</v>
      </c>
      <c r="BR384" s="99">
        <v>2</v>
      </c>
      <c r="BS384" s="99">
        <v>2</v>
      </c>
      <c r="BT384" s="99">
        <v>1</v>
      </c>
    </row>
    <row r="385" spans="1:72" x14ac:dyDescent="0.3">
      <c r="A385" s="99">
        <v>620</v>
      </c>
      <c r="D385" s="99" t="s">
        <v>701</v>
      </c>
      <c r="F385" s="99">
        <v>1</v>
      </c>
      <c r="G385" s="99">
        <v>1</v>
      </c>
      <c r="H385" s="99">
        <v>2</v>
      </c>
      <c r="I385" s="99">
        <v>1</v>
      </c>
      <c r="J385" s="99">
        <v>2</v>
      </c>
      <c r="K385" s="99">
        <v>2</v>
      </c>
      <c r="L385" s="99">
        <v>2</v>
      </c>
      <c r="M385" s="99">
        <v>2</v>
      </c>
      <c r="N385" s="99">
        <v>1</v>
      </c>
      <c r="O385" s="99">
        <v>2</v>
      </c>
      <c r="P385" s="99">
        <v>2</v>
      </c>
      <c r="Q385" s="99">
        <v>2</v>
      </c>
      <c r="R385" s="99">
        <v>2</v>
      </c>
      <c r="S385" s="99">
        <v>1</v>
      </c>
      <c r="T385" s="99">
        <v>0</v>
      </c>
      <c r="U385" s="99">
        <v>2</v>
      </c>
      <c r="V385" s="99">
        <v>1</v>
      </c>
      <c r="W385" s="99">
        <v>0</v>
      </c>
      <c r="X385" s="99">
        <v>2</v>
      </c>
      <c r="Y385" s="99">
        <v>2</v>
      </c>
      <c r="Z385" s="99">
        <v>2</v>
      </c>
      <c r="AA385" s="99">
        <v>0</v>
      </c>
      <c r="AB385" s="99">
        <v>0</v>
      </c>
      <c r="AC385" s="99">
        <v>2</v>
      </c>
      <c r="AD385" s="99">
        <v>1</v>
      </c>
      <c r="AE385" s="99">
        <v>2</v>
      </c>
      <c r="AF385" s="99">
        <v>2</v>
      </c>
      <c r="AG385" s="99">
        <v>0</v>
      </c>
      <c r="AH385" s="99">
        <v>2</v>
      </c>
      <c r="AI385" s="99">
        <v>2</v>
      </c>
      <c r="AJ385" s="99">
        <v>2</v>
      </c>
      <c r="AK385" s="99">
        <v>2</v>
      </c>
      <c r="AL385" s="99">
        <v>0</v>
      </c>
      <c r="AM385" s="99">
        <v>0</v>
      </c>
      <c r="AN385" s="99">
        <v>2</v>
      </c>
      <c r="AO385" s="99">
        <v>2</v>
      </c>
      <c r="AP385" s="99">
        <v>2</v>
      </c>
      <c r="AQ385" s="99">
        <v>1</v>
      </c>
      <c r="AR385" s="99">
        <v>2</v>
      </c>
      <c r="AS385" s="99">
        <v>2</v>
      </c>
      <c r="AT385" s="99">
        <v>2</v>
      </c>
      <c r="AU385" s="99">
        <v>2</v>
      </c>
      <c r="AV385" s="99">
        <v>2</v>
      </c>
      <c r="AW385" s="99">
        <v>0</v>
      </c>
      <c r="AX385" s="99">
        <v>2</v>
      </c>
      <c r="AY385" s="99">
        <v>2</v>
      </c>
      <c r="AZ385" s="99">
        <v>1</v>
      </c>
      <c r="BA385" s="99">
        <v>2</v>
      </c>
      <c r="BB385" s="99">
        <v>2</v>
      </c>
      <c r="BC385" s="99">
        <v>2</v>
      </c>
      <c r="BD385" s="99">
        <v>2</v>
      </c>
      <c r="BE385" s="99">
        <v>2</v>
      </c>
      <c r="BF385" s="99">
        <v>2</v>
      </c>
      <c r="BG385" s="99">
        <v>2</v>
      </c>
      <c r="BH385" s="99">
        <v>0</v>
      </c>
      <c r="BI385" s="99">
        <v>2</v>
      </c>
      <c r="BJ385" s="99">
        <v>1</v>
      </c>
      <c r="BK385" s="99">
        <v>2</v>
      </c>
      <c r="BL385" s="99">
        <v>2</v>
      </c>
      <c r="BM385" s="99">
        <v>2</v>
      </c>
      <c r="BN385" s="99">
        <v>2</v>
      </c>
      <c r="BO385" s="99">
        <v>2</v>
      </c>
      <c r="BP385" s="99">
        <v>2</v>
      </c>
      <c r="BQ385" s="99">
        <v>2</v>
      </c>
      <c r="BR385" s="99">
        <v>2</v>
      </c>
      <c r="BS385" s="99">
        <v>2</v>
      </c>
      <c r="BT385" s="99">
        <v>2</v>
      </c>
    </row>
    <row r="386" spans="1:72" x14ac:dyDescent="0.3">
      <c r="A386" s="99">
        <v>545</v>
      </c>
      <c r="B386" s="318">
        <v>545</v>
      </c>
      <c r="C386" s="99">
        <v>545</v>
      </c>
      <c r="D386" s="99" t="s">
        <v>54</v>
      </c>
      <c r="E386" s="99" t="s">
        <v>512</v>
      </c>
      <c r="F386" s="99">
        <v>0</v>
      </c>
      <c r="G386" s="99">
        <v>0</v>
      </c>
      <c r="H386" s="99">
        <v>0</v>
      </c>
      <c r="I386" s="99">
        <v>0</v>
      </c>
      <c r="J386" s="99">
        <v>0</v>
      </c>
      <c r="K386" s="99">
        <v>0</v>
      </c>
      <c r="L386" s="99">
        <v>0</v>
      </c>
      <c r="M386" s="99">
        <v>0</v>
      </c>
      <c r="N386" s="99">
        <v>0</v>
      </c>
      <c r="O386" s="99">
        <v>0</v>
      </c>
      <c r="P386" s="99">
        <v>0</v>
      </c>
      <c r="Q386" s="99">
        <v>0</v>
      </c>
      <c r="R386" s="99">
        <v>0</v>
      </c>
      <c r="S386" s="99">
        <v>0</v>
      </c>
      <c r="T386" s="99">
        <v>0</v>
      </c>
      <c r="U386" s="99">
        <v>0</v>
      </c>
      <c r="V386" s="99">
        <v>0</v>
      </c>
      <c r="W386" s="99">
        <v>0</v>
      </c>
      <c r="X386" s="99">
        <v>0</v>
      </c>
      <c r="Y386" s="99">
        <v>0</v>
      </c>
      <c r="Z386" s="99">
        <v>0</v>
      </c>
      <c r="AA386" s="99">
        <v>0</v>
      </c>
      <c r="AB386" s="99">
        <v>0</v>
      </c>
      <c r="AC386" s="99">
        <v>0.05</v>
      </c>
      <c r="AD386" s="99">
        <v>0</v>
      </c>
      <c r="AE386" s="99">
        <v>0</v>
      </c>
      <c r="AF386" s="99">
        <v>0</v>
      </c>
      <c r="AG386" s="99">
        <v>0</v>
      </c>
      <c r="AH386" s="99">
        <v>0</v>
      </c>
      <c r="AI386" s="99">
        <v>0</v>
      </c>
      <c r="AJ386" s="99">
        <v>0</v>
      </c>
      <c r="AK386" s="99">
        <v>0</v>
      </c>
      <c r="AL386" s="99">
        <v>0</v>
      </c>
      <c r="AM386" s="99">
        <v>0</v>
      </c>
      <c r="AN386" s="99">
        <v>0</v>
      </c>
      <c r="AO386" s="99">
        <v>0</v>
      </c>
      <c r="AP386" s="99">
        <v>0</v>
      </c>
      <c r="AQ386" s="99">
        <v>0</v>
      </c>
      <c r="AR386" s="99">
        <v>0</v>
      </c>
      <c r="AS386" s="99">
        <v>0</v>
      </c>
      <c r="AT386" s="99">
        <v>0</v>
      </c>
      <c r="AU386" s="99">
        <v>0</v>
      </c>
      <c r="AV386" s="99">
        <v>0</v>
      </c>
      <c r="AW386" s="99">
        <v>0</v>
      </c>
      <c r="AX386" s="99">
        <v>0</v>
      </c>
      <c r="AY386" s="99">
        <v>0</v>
      </c>
      <c r="AZ386" s="99">
        <v>0.01</v>
      </c>
      <c r="BA386" s="99">
        <v>0</v>
      </c>
      <c r="BB386" s="99">
        <v>0</v>
      </c>
      <c r="BC386" s="99">
        <v>0</v>
      </c>
      <c r="BD386" s="99">
        <v>0.01</v>
      </c>
      <c r="BE386" s="99">
        <v>0</v>
      </c>
      <c r="BF386" s="99">
        <v>0</v>
      </c>
      <c r="BG386" s="99">
        <v>0</v>
      </c>
      <c r="BH386" s="99">
        <v>0</v>
      </c>
      <c r="BI386" s="99">
        <v>0</v>
      </c>
      <c r="BJ386" s="99">
        <v>0</v>
      </c>
      <c r="BK386" s="99">
        <v>0</v>
      </c>
      <c r="BL386" s="99">
        <v>0</v>
      </c>
      <c r="BM386" s="99">
        <v>0</v>
      </c>
      <c r="BN386" s="99">
        <v>0</v>
      </c>
      <c r="BO386" s="99">
        <v>0</v>
      </c>
      <c r="BP386" s="99">
        <v>0</v>
      </c>
      <c r="BQ386" s="99">
        <v>0</v>
      </c>
      <c r="BR386" s="99">
        <v>0</v>
      </c>
      <c r="BS386" s="99">
        <v>0</v>
      </c>
      <c r="BT386" s="99">
        <v>0</v>
      </c>
    </row>
    <row r="387" spans="1:72" x14ac:dyDescent="0.3">
      <c r="A387" s="99">
        <v>624</v>
      </c>
      <c r="B387" s="318">
        <v>624</v>
      </c>
      <c r="C387" s="99">
        <v>624</v>
      </c>
      <c r="D387" s="99" t="s">
        <v>721</v>
      </c>
      <c r="F387" s="99">
        <v>1</v>
      </c>
      <c r="G387" s="99">
        <v>1</v>
      </c>
      <c r="H387" s="99">
        <v>2</v>
      </c>
      <c r="I387" s="99">
        <v>1</v>
      </c>
      <c r="J387" s="99">
        <v>2</v>
      </c>
      <c r="K387" s="99">
        <v>2</v>
      </c>
      <c r="L387" s="99">
        <v>1</v>
      </c>
      <c r="M387" s="99">
        <v>1</v>
      </c>
      <c r="N387" s="99">
        <v>1</v>
      </c>
      <c r="O387" s="99">
        <v>1</v>
      </c>
      <c r="P387" s="99">
        <v>1</v>
      </c>
      <c r="Q387" s="99">
        <v>1</v>
      </c>
      <c r="R387" s="99">
        <v>1</v>
      </c>
      <c r="S387" s="99">
        <v>1</v>
      </c>
      <c r="T387" s="99">
        <v>0</v>
      </c>
      <c r="U387" s="99">
        <v>1</v>
      </c>
      <c r="V387" s="99">
        <v>1</v>
      </c>
      <c r="W387" s="99">
        <v>0</v>
      </c>
      <c r="X387" s="99">
        <v>1</v>
      </c>
      <c r="Y387" s="99">
        <v>2</v>
      </c>
      <c r="Z387" s="99">
        <v>1</v>
      </c>
      <c r="AA387" s="99">
        <v>0</v>
      </c>
      <c r="AB387" s="99">
        <v>0</v>
      </c>
      <c r="AC387" s="99">
        <v>2</v>
      </c>
      <c r="AD387" s="99">
        <v>1</v>
      </c>
      <c r="AE387" s="99">
        <v>2</v>
      </c>
      <c r="AF387" s="99">
        <v>2</v>
      </c>
      <c r="AG387" s="99">
        <v>1</v>
      </c>
      <c r="AH387" s="99">
        <v>1</v>
      </c>
      <c r="AI387" s="99">
        <v>1</v>
      </c>
      <c r="AJ387" s="99">
        <v>2</v>
      </c>
      <c r="AK387" s="99">
        <v>2</v>
      </c>
      <c r="AL387" s="99">
        <v>0</v>
      </c>
      <c r="AM387" s="99">
        <v>0</v>
      </c>
      <c r="AN387" s="99">
        <v>1</v>
      </c>
      <c r="AO387" s="99">
        <v>1</v>
      </c>
      <c r="AP387" s="99">
        <v>1</v>
      </c>
      <c r="AQ387" s="99">
        <v>1</v>
      </c>
      <c r="AR387" s="99">
        <v>1</v>
      </c>
      <c r="AS387" s="99">
        <v>1</v>
      </c>
      <c r="AT387" s="99">
        <v>2</v>
      </c>
      <c r="AU387" s="99">
        <v>2</v>
      </c>
      <c r="AV387" s="99">
        <v>1</v>
      </c>
      <c r="AW387" s="99">
        <v>0</v>
      </c>
      <c r="AX387" s="99">
        <v>1</v>
      </c>
      <c r="AY387" s="99">
        <v>2</v>
      </c>
      <c r="AZ387" s="99">
        <v>2</v>
      </c>
      <c r="BA387" s="99">
        <v>1</v>
      </c>
      <c r="BB387" s="99">
        <v>1</v>
      </c>
      <c r="BC387" s="99">
        <v>1</v>
      </c>
      <c r="BD387" s="99">
        <v>1</v>
      </c>
      <c r="BE387" s="99">
        <v>1</v>
      </c>
      <c r="BF387" s="99">
        <v>1</v>
      </c>
      <c r="BG387" s="99">
        <v>1</v>
      </c>
      <c r="BH387" s="99">
        <v>1</v>
      </c>
      <c r="BI387" s="99">
        <v>1</v>
      </c>
      <c r="BJ387" s="99">
        <v>2</v>
      </c>
      <c r="BK387" s="99">
        <v>1</v>
      </c>
      <c r="BL387" s="99">
        <v>1</v>
      </c>
      <c r="BM387" s="99">
        <v>1</v>
      </c>
      <c r="BN387" s="99">
        <v>1</v>
      </c>
      <c r="BO387" s="99">
        <v>2</v>
      </c>
      <c r="BP387" s="99">
        <v>1</v>
      </c>
      <c r="BQ387" s="99">
        <v>1</v>
      </c>
      <c r="BR387" s="99">
        <v>2</v>
      </c>
      <c r="BS387" s="99">
        <v>1</v>
      </c>
      <c r="BT387" s="99">
        <v>1</v>
      </c>
    </row>
    <row r="388" spans="1:72" x14ac:dyDescent="0.3">
      <c r="A388" s="99">
        <v>995</v>
      </c>
      <c r="D388" s="99" t="s">
        <v>519</v>
      </c>
      <c r="E388" s="99" t="s">
        <v>520</v>
      </c>
      <c r="F388" s="99">
        <v>0</v>
      </c>
      <c r="G388" s="99">
        <v>0</v>
      </c>
      <c r="H388" s="99">
        <v>0</v>
      </c>
      <c r="I388" s="99">
        <v>7.0000000000000007E-2</v>
      </c>
      <c r="J388" s="99">
        <v>0</v>
      </c>
      <c r="K388" s="99">
        <v>0</v>
      </c>
      <c r="L388" s="99">
        <v>0</v>
      </c>
      <c r="M388" s="99">
        <v>0</v>
      </c>
      <c r="N388" s="99">
        <v>0.08</v>
      </c>
      <c r="O388" s="99">
        <v>0</v>
      </c>
      <c r="P388" s="99">
        <v>0</v>
      </c>
      <c r="Q388" s="99">
        <v>0</v>
      </c>
      <c r="R388" s="99">
        <v>0</v>
      </c>
      <c r="S388" s="99">
        <v>0</v>
      </c>
      <c r="T388" s="99">
        <v>0</v>
      </c>
      <c r="U388" s="99">
        <v>0</v>
      </c>
      <c r="V388" s="99">
        <v>0</v>
      </c>
      <c r="W388" s="99">
        <v>0</v>
      </c>
      <c r="X388" s="99">
        <v>0</v>
      </c>
      <c r="Y388" s="99">
        <v>0</v>
      </c>
      <c r="Z388" s="99">
        <v>0.08</v>
      </c>
      <c r="AA388" s="99">
        <v>0</v>
      </c>
      <c r="AB388" s="99">
        <v>0</v>
      </c>
      <c r="AC388" s="99">
        <v>0</v>
      </c>
      <c r="AD388" s="99">
        <v>0</v>
      </c>
      <c r="AE388" s="99">
        <v>0</v>
      </c>
      <c r="AF388" s="99">
        <v>0</v>
      </c>
      <c r="AG388" s="99">
        <v>0</v>
      </c>
      <c r="AH388" s="99">
        <v>0</v>
      </c>
      <c r="AI388" s="99">
        <v>0</v>
      </c>
      <c r="AJ388" s="99">
        <v>0</v>
      </c>
      <c r="AK388" s="99">
        <v>0.08</v>
      </c>
      <c r="AL388" s="99">
        <v>0</v>
      </c>
      <c r="AM388" s="99">
        <v>0</v>
      </c>
      <c r="AN388" s="99">
        <v>0</v>
      </c>
      <c r="AO388" s="99">
        <v>0.08</v>
      </c>
      <c r="AP388" s="99">
        <v>0</v>
      </c>
      <c r="AQ388" s="99">
        <v>0</v>
      </c>
      <c r="AR388" s="99">
        <v>0</v>
      </c>
      <c r="AS388" s="99">
        <v>0</v>
      </c>
      <c r="AT388" s="99">
        <v>0</v>
      </c>
      <c r="AU388" s="99">
        <v>0</v>
      </c>
      <c r="AV388" s="99">
        <v>0</v>
      </c>
      <c r="AW388" s="99">
        <v>0.09</v>
      </c>
      <c r="AX388" s="99">
        <v>0</v>
      </c>
      <c r="AY388" s="99">
        <v>0</v>
      </c>
      <c r="AZ388" s="99">
        <v>0</v>
      </c>
      <c r="BA388" s="99">
        <v>0</v>
      </c>
      <c r="BB388" s="99">
        <v>0</v>
      </c>
      <c r="BC388" s="99">
        <v>0</v>
      </c>
      <c r="BD388" s="99">
        <v>0</v>
      </c>
      <c r="BE388" s="99">
        <v>0</v>
      </c>
      <c r="BF388" s="99">
        <v>0</v>
      </c>
      <c r="BG388" s="99">
        <v>0</v>
      </c>
      <c r="BH388" s="99">
        <v>0</v>
      </c>
      <c r="BI388" s="99">
        <v>7.0000000000000007E-2</v>
      </c>
      <c r="BJ388" s="99">
        <v>0</v>
      </c>
      <c r="BK388" s="99">
        <v>0</v>
      </c>
      <c r="BL388" s="99">
        <v>0</v>
      </c>
      <c r="BM388" s="99">
        <v>0</v>
      </c>
      <c r="BN388" s="99">
        <v>0</v>
      </c>
      <c r="BO388" s="99">
        <v>0</v>
      </c>
      <c r="BP388" s="99">
        <v>0</v>
      </c>
      <c r="BQ388" s="99">
        <v>0</v>
      </c>
      <c r="BR388" s="99">
        <v>0</v>
      </c>
      <c r="BS388" s="99">
        <v>0</v>
      </c>
      <c r="BT388" s="99">
        <v>0</v>
      </c>
    </row>
    <row r="389" spans="1:72" x14ac:dyDescent="0.3">
      <c r="A389" s="99">
        <v>996</v>
      </c>
      <c r="D389" s="99" t="s">
        <v>521</v>
      </c>
      <c r="E389" s="99" t="s">
        <v>522</v>
      </c>
      <c r="F389" s="99">
        <v>0.01</v>
      </c>
      <c r="G389" s="99">
        <v>0.01</v>
      </c>
      <c r="H389" s="99">
        <v>0.01</v>
      </c>
      <c r="I389" s="99">
        <v>0.01</v>
      </c>
      <c r="J389" s="99">
        <v>0</v>
      </c>
      <c r="K389" s="99">
        <v>0.01</v>
      </c>
      <c r="L389" s="99">
        <v>0.01</v>
      </c>
      <c r="M389" s="99">
        <v>0.01</v>
      </c>
      <c r="N389" s="99">
        <v>0.01</v>
      </c>
      <c r="O389" s="99">
        <v>0</v>
      </c>
      <c r="P389" s="99">
        <v>0.01</v>
      </c>
      <c r="Q389" s="99">
        <v>0</v>
      </c>
      <c r="R389" s="99">
        <v>0.01</v>
      </c>
      <c r="S389" s="99">
        <v>0.01</v>
      </c>
      <c r="T389" s="99">
        <v>0.01</v>
      </c>
      <c r="U389" s="99">
        <v>0.01</v>
      </c>
      <c r="V389" s="99">
        <v>0.01</v>
      </c>
      <c r="W389" s="99">
        <v>0.01</v>
      </c>
      <c r="X389" s="99">
        <v>0.01</v>
      </c>
      <c r="Y389" s="99">
        <v>0.01</v>
      </c>
      <c r="Z389" s="99">
        <v>0.01</v>
      </c>
      <c r="AA389" s="99">
        <v>0</v>
      </c>
      <c r="AB389" s="99">
        <v>0.01</v>
      </c>
      <c r="AC389" s="99">
        <v>0.01</v>
      </c>
      <c r="AD389" s="99">
        <v>0.01</v>
      </c>
      <c r="AE389" s="99">
        <v>0.01</v>
      </c>
      <c r="AF389" s="99">
        <v>0.01</v>
      </c>
      <c r="AG389" s="99">
        <v>0</v>
      </c>
      <c r="AH389" s="99">
        <v>0</v>
      </c>
      <c r="AI389" s="99">
        <v>0.01</v>
      </c>
      <c r="AJ389" s="99">
        <v>0.01</v>
      </c>
      <c r="AK389" s="99">
        <v>0.01</v>
      </c>
      <c r="AL389" s="99">
        <v>0.01</v>
      </c>
      <c r="AM389" s="99">
        <v>0</v>
      </c>
      <c r="AN389" s="99">
        <v>0</v>
      </c>
      <c r="AO389" s="99">
        <v>0.01</v>
      </c>
      <c r="AP389" s="99">
        <v>0.01</v>
      </c>
      <c r="AQ389" s="99">
        <v>0.01</v>
      </c>
      <c r="AR389" s="99">
        <v>0</v>
      </c>
      <c r="AS389" s="99">
        <v>0.01</v>
      </c>
      <c r="AT389" s="99">
        <v>0.01</v>
      </c>
      <c r="AU389" s="99">
        <v>0.01</v>
      </c>
      <c r="AV389" s="99">
        <v>0.01</v>
      </c>
      <c r="AW389" s="99">
        <v>0.01</v>
      </c>
      <c r="AX389" s="99">
        <v>0.01</v>
      </c>
      <c r="AY389" s="99">
        <v>0.01</v>
      </c>
      <c r="AZ389" s="99">
        <v>0.01</v>
      </c>
      <c r="BA389" s="99">
        <v>0.01</v>
      </c>
      <c r="BB389" s="99">
        <v>0</v>
      </c>
      <c r="BC389" s="99">
        <v>0</v>
      </c>
      <c r="BD389" s="99">
        <v>0.01</v>
      </c>
      <c r="BE389" s="99">
        <v>0</v>
      </c>
      <c r="BF389" s="99">
        <v>0.01</v>
      </c>
      <c r="BG389" s="99">
        <v>0.01</v>
      </c>
      <c r="BH389" s="99">
        <v>0.01</v>
      </c>
      <c r="BI389" s="99">
        <v>0.01</v>
      </c>
      <c r="BJ389" s="99">
        <v>0.01</v>
      </c>
      <c r="BK389" s="99">
        <v>0.01</v>
      </c>
      <c r="BL389" s="99">
        <v>0.01</v>
      </c>
      <c r="BM389" s="99">
        <v>0</v>
      </c>
      <c r="BN389" s="99">
        <v>0.01</v>
      </c>
      <c r="BO389" s="99">
        <v>0.01</v>
      </c>
      <c r="BP389" s="99">
        <v>0.01</v>
      </c>
      <c r="BQ389" s="99">
        <v>0.01</v>
      </c>
      <c r="BR389" s="99">
        <v>0.01</v>
      </c>
      <c r="BS389" s="99">
        <v>0.01</v>
      </c>
      <c r="BT389" s="99">
        <v>0</v>
      </c>
    </row>
    <row r="390" spans="1:72" x14ac:dyDescent="0.3">
      <c r="A390" s="99">
        <v>997</v>
      </c>
      <c r="E390" s="99" t="s">
        <v>1760</v>
      </c>
    </row>
    <row r="391" spans="1:72" x14ac:dyDescent="0.3">
      <c r="A391" s="99">
        <v>998</v>
      </c>
      <c r="D391" s="99" t="s">
        <v>292</v>
      </c>
      <c r="E391" s="99" t="s">
        <v>523</v>
      </c>
      <c r="F391" s="99">
        <v>50</v>
      </c>
      <c r="G391" s="99">
        <v>50</v>
      </c>
      <c r="H391" s="99">
        <v>50</v>
      </c>
      <c r="I391" s="99">
        <v>50</v>
      </c>
      <c r="J391" s="99">
        <v>50</v>
      </c>
      <c r="K391" s="99">
        <v>50</v>
      </c>
      <c r="L391" s="99">
        <v>50</v>
      </c>
      <c r="M391" s="99">
        <v>50</v>
      </c>
      <c r="N391" s="99">
        <v>50</v>
      </c>
      <c r="O391" s="99">
        <v>50</v>
      </c>
      <c r="P391" s="99">
        <v>50</v>
      </c>
      <c r="Q391" s="99">
        <v>50</v>
      </c>
      <c r="R391" s="99">
        <v>50</v>
      </c>
      <c r="S391" s="99">
        <v>50</v>
      </c>
      <c r="T391" s="99">
        <v>0</v>
      </c>
      <c r="U391" s="99">
        <v>50</v>
      </c>
      <c r="V391" s="99">
        <v>50</v>
      </c>
      <c r="W391" s="99">
        <v>50</v>
      </c>
      <c r="X391" s="99">
        <v>50</v>
      </c>
      <c r="Y391" s="99">
        <v>50</v>
      </c>
      <c r="Z391" s="99">
        <v>50</v>
      </c>
      <c r="AA391" s="99">
        <v>0</v>
      </c>
      <c r="AB391" s="99">
        <v>0</v>
      </c>
      <c r="AC391" s="99">
        <v>50</v>
      </c>
      <c r="AD391" s="99">
        <v>50</v>
      </c>
      <c r="AE391" s="99">
        <v>50</v>
      </c>
      <c r="AF391" s="99">
        <v>50</v>
      </c>
      <c r="AG391" s="99">
        <v>50</v>
      </c>
      <c r="AH391" s="99">
        <v>50</v>
      </c>
      <c r="AI391" s="99">
        <v>50</v>
      </c>
      <c r="AJ391" s="99">
        <v>50</v>
      </c>
      <c r="AK391" s="99">
        <v>50</v>
      </c>
      <c r="AL391" s="99">
        <v>0</v>
      </c>
      <c r="AM391" s="99">
        <v>0</v>
      </c>
      <c r="AN391" s="99">
        <v>50</v>
      </c>
      <c r="AO391" s="99">
        <v>50</v>
      </c>
      <c r="AP391" s="99">
        <v>50</v>
      </c>
      <c r="AQ391" s="99">
        <v>50</v>
      </c>
      <c r="AR391" s="99">
        <v>50</v>
      </c>
      <c r="AS391" s="99">
        <v>50</v>
      </c>
      <c r="AT391" s="99">
        <v>50</v>
      </c>
      <c r="AU391" s="99">
        <v>50</v>
      </c>
      <c r="AV391" s="99">
        <v>50</v>
      </c>
      <c r="AW391" s="99">
        <v>0</v>
      </c>
      <c r="AX391" s="99">
        <v>50</v>
      </c>
      <c r="AY391" s="99">
        <v>50</v>
      </c>
      <c r="AZ391" s="99">
        <v>50</v>
      </c>
      <c r="BA391" s="99">
        <v>50</v>
      </c>
      <c r="BB391" s="99">
        <v>50</v>
      </c>
      <c r="BC391" s="99">
        <v>50</v>
      </c>
      <c r="BD391" s="99">
        <v>50</v>
      </c>
      <c r="BE391" s="99">
        <v>50</v>
      </c>
      <c r="BF391" s="99">
        <v>50</v>
      </c>
      <c r="BG391" s="99">
        <v>50</v>
      </c>
      <c r="BH391" s="99">
        <v>50</v>
      </c>
      <c r="BI391" s="99">
        <v>50</v>
      </c>
      <c r="BJ391" s="99">
        <v>50</v>
      </c>
      <c r="BK391" s="99">
        <v>50</v>
      </c>
      <c r="BL391" s="99">
        <v>50</v>
      </c>
      <c r="BM391" s="99">
        <v>50</v>
      </c>
      <c r="BN391" s="99">
        <v>50</v>
      </c>
      <c r="BO391" s="99">
        <v>50</v>
      </c>
      <c r="BP391" s="99">
        <v>50</v>
      </c>
      <c r="BQ391" s="99">
        <v>50</v>
      </c>
      <c r="BR391" s="99">
        <v>50</v>
      </c>
      <c r="BS391" s="99">
        <v>50</v>
      </c>
      <c r="BT391" s="99">
        <v>50</v>
      </c>
    </row>
    <row r="392" spans="1:72" x14ac:dyDescent="0.3">
      <c r="A392" s="99">
        <v>999</v>
      </c>
      <c r="D392" s="99" t="s">
        <v>293</v>
      </c>
      <c r="E392" s="99" t="s">
        <v>524</v>
      </c>
      <c r="F392" s="99">
        <v>50001</v>
      </c>
      <c r="G392" s="99">
        <v>50002</v>
      </c>
      <c r="H392" s="99">
        <v>50471</v>
      </c>
      <c r="I392" s="99">
        <v>50003</v>
      </c>
      <c r="J392" s="99">
        <v>50005</v>
      </c>
      <c r="K392" s="99">
        <v>50006</v>
      </c>
      <c r="L392" s="99">
        <v>50007</v>
      </c>
      <c r="M392" s="99">
        <v>50008</v>
      </c>
      <c r="N392" s="99">
        <v>50009</v>
      </c>
      <c r="O392" s="99">
        <v>50464</v>
      </c>
      <c r="P392" s="99">
        <v>50442</v>
      </c>
      <c r="Q392" s="99">
        <v>50569</v>
      </c>
      <c r="R392" s="99">
        <v>50011</v>
      </c>
      <c r="S392" s="99">
        <v>50012</v>
      </c>
      <c r="T392" s="99">
        <v>0</v>
      </c>
      <c r="U392" s="99">
        <v>50014</v>
      </c>
      <c r="V392" s="99">
        <v>50015</v>
      </c>
      <c r="W392" s="99">
        <v>50016</v>
      </c>
      <c r="X392" s="99">
        <v>50017</v>
      </c>
      <c r="Y392" s="99">
        <v>50018</v>
      </c>
      <c r="Z392" s="99">
        <v>50019</v>
      </c>
      <c r="AA392" s="99">
        <v>0</v>
      </c>
      <c r="AB392" s="99">
        <v>0</v>
      </c>
      <c r="AC392" s="99">
        <v>50022</v>
      </c>
      <c r="AD392" s="99">
        <v>50505</v>
      </c>
      <c r="AE392" s="99">
        <v>50023</v>
      </c>
      <c r="AF392" s="99">
        <v>50024</v>
      </c>
      <c r="AG392" s="99">
        <v>50026</v>
      </c>
      <c r="AH392" s="99">
        <v>50027</v>
      </c>
      <c r="AI392" s="99">
        <v>50028</v>
      </c>
      <c r="AJ392" s="99">
        <v>50491</v>
      </c>
      <c r="AK392" s="99">
        <v>50029</v>
      </c>
      <c r="AL392" s="99">
        <v>0</v>
      </c>
      <c r="AM392" s="99">
        <v>0</v>
      </c>
      <c r="AN392" s="99">
        <v>50459</v>
      </c>
      <c r="AO392" s="99">
        <v>50032</v>
      </c>
      <c r="AP392" s="99">
        <v>50556</v>
      </c>
      <c r="AQ392" s="99">
        <v>50033</v>
      </c>
      <c r="AR392" s="99">
        <v>50030</v>
      </c>
      <c r="AS392" s="99">
        <v>50034</v>
      </c>
      <c r="AT392" s="99">
        <v>50035</v>
      </c>
      <c r="AU392" s="99">
        <v>50036</v>
      </c>
      <c r="AV392" s="99">
        <v>50037</v>
      </c>
      <c r="AW392" s="99">
        <v>0</v>
      </c>
      <c r="AX392" s="99">
        <v>50039</v>
      </c>
      <c r="AY392" s="99">
        <v>50040</v>
      </c>
      <c r="AZ392" s="99">
        <v>50041</v>
      </c>
      <c r="BA392" s="99">
        <v>50506</v>
      </c>
      <c r="BB392" s="99">
        <v>50507</v>
      </c>
      <c r="BC392" s="99">
        <v>50043</v>
      </c>
      <c r="BD392" s="99">
        <v>50042</v>
      </c>
      <c r="BE392" s="99">
        <v>50044</v>
      </c>
      <c r="BF392" s="99">
        <v>50045</v>
      </c>
      <c r="BG392" s="99">
        <v>50046</v>
      </c>
      <c r="BH392" s="99">
        <v>50047</v>
      </c>
      <c r="BI392" s="99">
        <v>50048</v>
      </c>
      <c r="BJ392" s="99">
        <v>50049</v>
      </c>
      <c r="BK392" s="99">
        <v>50050</v>
      </c>
      <c r="BL392" s="99">
        <v>50051</v>
      </c>
      <c r="BM392" s="99">
        <v>50052</v>
      </c>
      <c r="BN392" s="99">
        <v>50053</v>
      </c>
      <c r="BO392" s="99">
        <v>50054</v>
      </c>
      <c r="BP392" s="99">
        <v>50055</v>
      </c>
      <c r="BQ392" s="99">
        <v>50057</v>
      </c>
      <c r="BR392" s="99">
        <v>50058</v>
      </c>
      <c r="BS392" s="99">
        <v>50059</v>
      </c>
      <c r="BT392" s="99">
        <v>50567</v>
      </c>
    </row>
    <row r="393" spans="1:72" x14ac:dyDescent="0.3">
      <c r="A393" s="99">
        <v>906</v>
      </c>
      <c r="D393" s="99" t="s">
        <v>914</v>
      </c>
      <c r="F393" s="99">
        <v>1</v>
      </c>
      <c r="G393" s="99">
        <v>1</v>
      </c>
      <c r="H393" s="99">
        <v>1</v>
      </c>
      <c r="I393" s="99">
        <v>1</v>
      </c>
      <c r="J393" s="99">
        <v>1</v>
      </c>
      <c r="K393" s="99">
        <v>1</v>
      </c>
      <c r="L393" s="99">
        <v>1</v>
      </c>
      <c r="M393" s="99">
        <v>1</v>
      </c>
      <c r="N393" s="99">
        <v>1</v>
      </c>
      <c r="O393" s="99">
        <v>1</v>
      </c>
      <c r="P393" s="99">
        <v>1</v>
      </c>
      <c r="Q393" s="99">
        <v>1</v>
      </c>
      <c r="R393" s="99">
        <v>1</v>
      </c>
      <c r="S393" s="99">
        <v>1</v>
      </c>
      <c r="T393" s="99">
        <v>0</v>
      </c>
      <c r="U393" s="99">
        <v>1</v>
      </c>
      <c r="V393" s="99">
        <v>1</v>
      </c>
      <c r="W393" s="99">
        <v>1</v>
      </c>
      <c r="X393" s="99">
        <v>1</v>
      </c>
      <c r="Y393" s="99">
        <v>1</v>
      </c>
      <c r="Z393" s="99">
        <v>1</v>
      </c>
      <c r="AA393" s="99">
        <v>0</v>
      </c>
      <c r="AB393" s="99">
        <v>0</v>
      </c>
      <c r="AC393" s="99">
        <v>1</v>
      </c>
      <c r="AD393" s="99">
        <v>1</v>
      </c>
      <c r="AE393" s="99">
        <v>1</v>
      </c>
      <c r="AF393" s="99">
        <v>2</v>
      </c>
      <c r="AG393" s="99">
        <v>1</v>
      </c>
      <c r="AH393" s="99">
        <v>1</v>
      </c>
      <c r="AI393" s="99">
        <v>1</v>
      </c>
      <c r="AJ393" s="99">
        <v>1</v>
      </c>
      <c r="AK393" s="99">
        <v>1</v>
      </c>
      <c r="AL393" s="99">
        <v>0</v>
      </c>
      <c r="AM393" s="99">
        <v>0</v>
      </c>
      <c r="AN393" s="99">
        <v>1</v>
      </c>
      <c r="AO393" s="99">
        <v>1</v>
      </c>
      <c r="AP393" s="99">
        <v>1</v>
      </c>
      <c r="AQ393" s="99">
        <v>1</v>
      </c>
      <c r="AR393" s="99">
        <v>1</v>
      </c>
      <c r="AS393" s="99">
        <v>1</v>
      </c>
      <c r="AT393" s="99">
        <v>1</v>
      </c>
      <c r="AU393" s="99">
        <v>1</v>
      </c>
      <c r="AV393" s="99">
        <v>1</v>
      </c>
      <c r="AW393" s="99">
        <v>0</v>
      </c>
      <c r="AX393" s="99">
        <v>1</v>
      </c>
      <c r="AY393" s="99">
        <v>1</v>
      </c>
      <c r="AZ393" s="99">
        <v>1</v>
      </c>
      <c r="BA393" s="99">
        <v>1</v>
      </c>
      <c r="BB393" s="99">
        <v>1</v>
      </c>
      <c r="BC393" s="99">
        <v>1</v>
      </c>
      <c r="BD393" s="99">
        <v>1</v>
      </c>
      <c r="BE393" s="99">
        <v>1</v>
      </c>
      <c r="BF393" s="99">
        <v>1</v>
      </c>
      <c r="BG393" s="99">
        <v>1</v>
      </c>
      <c r="BH393" s="99">
        <v>1</v>
      </c>
      <c r="BI393" s="99">
        <v>1</v>
      </c>
      <c r="BJ393" s="99">
        <v>2</v>
      </c>
      <c r="BK393" s="99">
        <v>1</v>
      </c>
      <c r="BL393" s="99">
        <v>1</v>
      </c>
      <c r="BM393" s="99">
        <v>1</v>
      </c>
      <c r="BN393" s="99">
        <v>1</v>
      </c>
      <c r="BO393" s="99">
        <v>1</v>
      </c>
      <c r="BP393" s="99">
        <v>1</v>
      </c>
      <c r="BQ393" s="99">
        <v>1</v>
      </c>
      <c r="BR393" s="99">
        <v>1</v>
      </c>
      <c r="BS393" s="99">
        <v>1</v>
      </c>
      <c r="BT393" s="99">
        <v>1</v>
      </c>
    </row>
    <row r="394" spans="1:72" x14ac:dyDescent="0.3">
      <c r="A394" s="99">
        <v>907</v>
      </c>
      <c r="D394" s="99" t="s">
        <v>915</v>
      </c>
      <c r="F394" s="99">
        <v>2</v>
      </c>
      <c r="G394" s="99">
        <v>2</v>
      </c>
      <c r="H394" s="99">
        <v>1</v>
      </c>
      <c r="I394" s="99">
        <v>2</v>
      </c>
      <c r="J394" s="99">
        <v>2</v>
      </c>
      <c r="K394" s="99">
        <v>2</v>
      </c>
      <c r="L394" s="99">
        <v>1</v>
      </c>
      <c r="M394" s="99">
        <v>2</v>
      </c>
      <c r="N394" s="99">
        <v>2</v>
      </c>
      <c r="O394" s="99">
        <v>2</v>
      </c>
      <c r="P394" s="99">
        <v>2</v>
      </c>
      <c r="Q394" s="99">
        <v>2</v>
      </c>
      <c r="R394" s="99">
        <v>2</v>
      </c>
      <c r="S394" s="99">
        <v>2</v>
      </c>
      <c r="T394" s="99">
        <v>0</v>
      </c>
      <c r="U394" s="99">
        <v>2</v>
      </c>
      <c r="V394" s="99">
        <v>2</v>
      </c>
      <c r="W394" s="99">
        <v>2</v>
      </c>
      <c r="X394" s="99">
        <v>2</v>
      </c>
      <c r="Y394" s="99">
        <v>1</v>
      </c>
      <c r="Z394" s="99">
        <v>2</v>
      </c>
      <c r="AA394" s="99">
        <v>0</v>
      </c>
      <c r="AB394" s="99">
        <v>0</v>
      </c>
      <c r="AC394" s="99">
        <v>2</v>
      </c>
      <c r="AD394" s="99">
        <v>2</v>
      </c>
      <c r="AE394" s="99">
        <v>2</v>
      </c>
      <c r="AF394" s="99">
        <v>2</v>
      </c>
      <c r="AG394" s="99">
        <v>2</v>
      </c>
      <c r="AH394" s="99">
        <v>2</v>
      </c>
      <c r="AI394" s="99">
        <v>2</v>
      </c>
      <c r="AJ394" s="99">
        <v>2</v>
      </c>
      <c r="AK394" s="99">
        <v>2</v>
      </c>
      <c r="AL394" s="99">
        <v>0</v>
      </c>
      <c r="AM394" s="99">
        <v>0</v>
      </c>
      <c r="AN394" s="99">
        <v>1</v>
      </c>
      <c r="AO394" s="99">
        <v>2</v>
      </c>
      <c r="AP394" s="99">
        <v>1</v>
      </c>
      <c r="AQ394" s="99">
        <v>2</v>
      </c>
      <c r="AR394" s="99">
        <v>2</v>
      </c>
      <c r="AS394" s="99">
        <v>1</v>
      </c>
      <c r="AT394" s="99">
        <v>1</v>
      </c>
      <c r="AU394" s="99">
        <v>1</v>
      </c>
      <c r="AV394" s="99">
        <v>2</v>
      </c>
      <c r="AW394" s="99">
        <v>0</v>
      </c>
      <c r="AX394" s="99">
        <v>1</v>
      </c>
      <c r="AY394" s="99">
        <v>1</v>
      </c>
      <c r="AZ394" s="99">
        <v>2</v>
      </c>
      <c r="BA394" s="99">
        <v>2</v>
      </c>
      <c r="BB394" s="99">
        <v>2</v>
      </c>
      <c r="BC394" s="99">
        <v>2</v>
      </c>
      <c r="BD394" s="99">
        <v>2</v>
      </c>
      <c r="BE394" s="99">
        <v>2</v>
      </c>
      <c r="BF394" s="99">
        <v>1</v>
      </c>
      <c r="BG394" s="99">
        <v>2</v>
      </c>
      <c r="BH394" s="99">
        <v>1</v>
      </c>
      <c r="BI394" s="99">
        <v>1</v>
      </c>
      <c r="BJ394" s="99">
        <v>2</v>
      </c>
      <c r="BK394" s="99">
        <v>2</v>
      </c>
      <c r="BL394" s="99">
        <v>1</v>
      </c>
      <c r="BM394" s="99">
        <v>1</v>
      </c>
      <c r="BN394" s="99">
        <v>2</v>
      </c>
      <c r="BO394" s="99">
        <v>2</v>
      </c>
      <c r="BP394" s="99">
        <v>2</v>
      </c>
      <c r="BQ394" s="99">
        <v>2</v>
      </c>
      <c r="BR394" s="99">
        <v>2</v>
      </c>
      <c r="BS394" s="99">
        <v>2</v>
      </c>
      <c r="BT394" s="99">
        <v>2</v>
      </c>
    </row>
    <row r="395" spans="1:72" x14ac:dyDescent="0.3">
      <c r="A395" s="99">
        <v>951</v>
      </c>
      <c r="D395" s="99" t="s">
        <v>916</v>
      </c>
      <c r="F395" s="99">
        <v>2</v>
      </c>
      <c r="G395" s="99">
        <v>2</v>
      </c>
      <c r="H395" s="99">
        <v>2</v>
      </c>
      <c r="I395" s="99">
        <v>2</v>
      </c>
      <c r="J395" s="99">
        <v>2</v>
      </c>
      <c r="K395" s="99">
        <v>2</v>
      </c>
      <c r="L395" s="99">
        <v>2</v>
      </c>
      <c r="M395" s="99">
        <v>2</v>
      </c>
      <c r="N395" s="99">
        <v>2</v>
      </c>
      <c r="O395" s="99">
        <v>2</v>
      </c>
      <c r="P395" s="99">
        <v>2</v>
      </c>
      <c r="Q395" s="99">
        <v>2</v>
      </c>
      <c r="R395" s="99">
        <v>2</v>
      </c>
      <c r="S395" s="99">
        <v>1</v>
      </c>
      <c r="T395" s="99">
        <v>0</v>
      </c>
      <c r="U395" s="99">
        <v>2</v>
      </c>
      <c r="V395" s="99">
        <v>2</v>
      </c>
      <c r="W395" s="99">
        <v>2</v>
      </c>
      <c r="X395" s="99">
        <v>2</v>
      </c>
      <c r="Y395" s="99">
        <v>2</v>
      </c>
      <c r="Z395" s="99">
        <v>2</v>
      </c>
      <c r="AA395" s="99">
        <v>0</v>
      </c>
      <c r="AB395" s="99">
        <v>0</v>
      </c>
      <c r="AC395" s="99">
        <v>2</v>
      </c>
      <c r="AD395" s="99">
        <v>2</v>
      </c>
      <c r="AE395" s="99">
        <v>2</v>
      </c>
      <c r="AF395" s="99">
        <v>2</v>
      </c>
      <c r="AG395" s="99">
        <v>2</v>
      </c>
      <c r="AH395" s="99">
        <v>2</v>
      </c>
      <c r="AI395" s="99">
        <v>2</v>
      </c>
      <c r="AJ395" s="99">
        <v>2</v>
      </c>
      <c r="AK395" s="99">
        <v>2</v>
      </c>
      <c r="AL395" s="99">
        <v>0</v>
      </c>
      <c r="AM395" s="99">
        <v>0</v>
      </c>
      <c r="AN395" s="99">
        <v>2</v>
      </c>
      <c r="AO395" s="99">
        <v>2</v>
      </c>
      <c r="AP395" s="99">
        <v>1</v>
      </c>
      <c r="AQ395" s="99">
        <v>2</v>
      </c>
      <c r="AR395" s="99">
        <v>2</v>
      </c>
      <c r="AS395" s="99">
        <v>2</v>
      </c>
      <c r="AT395" s="99">
        <v>2</v>
      </c>
      <c r="AU395" s="99">
        <v>2</v>
      </c>
      <c r="AV395" s="99">
        <v>2</v>
      </c>
      <c r="AW395" s="99">
        <v>0</v>
      </c>
      <c r="AX395" s="99">
        <v>2</v>
      </c>
      <c r="AY395" s="99">
        <v>2</v>
      </c>
      <c r="AZ395" s="99">
        <v>2</v>
      </c>
      <c r="BA395" s="99">
        <v>2</v>
      </c>
      <c r="BB395" s="99">
        <v>2</v>
      </c>
      <c r="BC395" s="99">
        <v>2</v>
      </c>
      <c r="BD395" s="99">
        <v>2</v>
      </c>
      <c r="BE395" s="99">
        <v>2</v>
      </c>
      <c r="BF395" s="99">
        <v>2</v>
      </c>
      <c r="BG395" s="99">
        <v>2</v>
      </c>
      <c r="BH395" s="99">
        <v>2</v>
      </c>
      <c r="BI395" s="99">
        <v>2</v>
      </c>
      <c r="BJ395" s="99">
        <v>2</v>
      </c>
      <c r="BK395" s="99">
        <v>2</v>
      </c>
      <c r="BL395" s="99">
        <v>2</v>
      </c>
      <c r="BM395" s="99">
        <v>1</v>
      </c>
      <c r="BN395" s="99">
        <v>2</v>
      </c>
      <c r="BO395" s="99">
        <v>2</v>
      </c>
      <c r="BP395" s="99">
        <v>2</v>
      </c>
      <c r="BQ395" s="99">
        <v>2</v>
      </c>
      <c r="BR395" s="99">
        <v>2</v>
      </c>
      <c r="BS395" s="99">
        <v>2</v>
      </c>
      <c r="BT395" s="99">
        <v>2</v>
      </c>
    </row>
    <row r="396" spans="1:72" x14ac:dyDescent="0.3">
      <c r="A396" s="99">
        <v>953</v>
      </c>
      <c r="D396" s="99" t="s">
        <v>917</v>
      </c>
      <c r="F396" s="99">
        <v>2</v>
      </c>
      <c r="G396" s="99">
        <v>2</v>
      </c>
      <c r="H396" s="99">
        <v>2</v>
      </c>
      <c r="I396" s="99">
        <v>2</v>
      </c>
      <c r="J396" s="99">
        <v>2</v>
      </c>
      <c r="K396" s="99">
        <v>2</v>
      </c>
      <c r="L396" s="99">
        <v>2</v>
      </c>
      <c r="M396" s="99">
        <v>2</v>
      </c>
      <c r="N396" s="99">
        <v>2</v>
      </c>
      <c r="O396" s="99">
        <v>2</v>
      </c>
      <c r="P396" s="99">
        <v>2</v>
      </c>
      <c r="Q396" s="99">
        <v>2</v>
      </c>
      <c r="R396" s="99">
        <v>2</v>
      </c>
      <c r="S396" s="99">
        <v>2</v>
      </c>
      <c r="T396" s="99">
        <v>0</v>
      </c>
      <c r="U396" s="99">
        <v>2</v>
      </c>
      <c r="V396" s="99">
        <v>2</v>
      </c>
      <c r="W396" s="99">
        <v>2</v>
      </c>
      <c r="X396" s="99">
        <v>2</v>
      </c>
      <c r="Y396" s="99">
        <v>2</v>
      </c>
      <c r="Z396" s="99">
        <v>2</v>
      </c>
      <c r="AA396" s="99">
        <v>0</v>
      </c>
      <c r="AB396" s="99">
        <v>0</v>
      </c>
      <c r="AC396" s="99">
        <v>2</v>
      </c>
      <c r="AD396" s="99">
        <v>2</v>
      </c>
      <c r="AE396" s="99">
        <v>2</v>
      </c>
      <c r="AF396" s="99">
        <v>2</v>
      </c>
      <c r="AG396" s="99">
        <v>2</v>
      </c>
      <c r="AH396" s="99">
        <v>2</v>
      </c>
      <c r="AI396" s="99">
        <v>2</v>
      </c>
      <c r="AJ396" s="99">
        <v>2</v>
      </c>
      <c r="AK396" s="99">
        <v>2</v>
      </c>
      <c r="AL396" s="99">
        <v>0</v>
      </c>
      <c r="AM396" s="99">
        <v>0</v>
      </c>
      <c r="AN396" s="99">
        <v>2</v>
      </c>
      <c r="AO396" s="99">
        <v>2</v>
      </c>
      <c r="AP396" s="99">
        <v>2</v>
      </c>
      <c r="AQ396" s="99">
        <v>2</v>
      </c>
      <c r="AR396" s="99">
        <v>2</v>
      </c>
      <c r="AS396" s="99">
        <v>2</v>
      </c>
      <c r="AT396" s="99">
        <v>2</v>
      </c>
      <c r="AU396" s="99">
        <v>2</v>
      </c>
      <c r="AV396" s="99">
        <v>2</v>
      </c>
      <c r="AW396" s="99">
        <v>0</v>
      </c>
      <c r="AX396" s="99">
        <v>2</v>
      </c>
      <c r="AY396" s="99">
        <v>2</v>
      </c>
      <c r="AZ396" s="99">
        <v>2</v>
      </c>
      <c r="BA396" s="99">
        <v>2</v>
      </c>
      <c r="BB396" s="99">
        <v>2</v>
      </c>
      <c r="BC396" s="99">
        <v>2</v>
      </c>
      <c r="BD396" s="99">
        <v>2</v>
      </c>
      <c r="BE396" s="99">
        <v>2</v>
      </c>
      <c r="BF396" s="99">
        <v>2</v>
      </c>
      <c r="BG396" s="99">
        <v>2</v>
      </c>
      <c r="BH396" s="99">
        <v>2</v>
      </c>
      <c r="BI396" s="99">
        <v>2</v>
      </c>
      <c r="BJ396" s="99">
        <v>2</v>
      </c>
      <c r="BK396" s="99">
        <v>2</v>
      </c>
      <c r="BL396" s="99">
        <v>2</v>
      </c>
      <c r="BM396" s="99">
        <v>2</v>
      </c>
      <c r="BN396" s="99">
        <v>2</v>
      </c>
      <c r="BO396" s="99">
        <v>2</v>
      </c>
      <c r="BP396" s="99">
        <v>2</v>
      </c>
      <c r="BQ396" s="99">
        <v>2</v>
      </c>
      <c r="BR396" s="99">
        <v>2</v>
      </c>
      <c r="BS396" s="99">
        <v>2</v>
      </c>
      <c r="BT396" s="99">
        <v>2</v>
      </c>
    </row>
    <row r="397" spans="1:72" x14ac:dyDescent="0.3">
      <c r="A397" s="99">
        <v>955</v>
      </c>
      <c r="D397" s="99" t="s">
        <v>927</v>
      </c>
      <c r="F397" s="99">
        <v>0</v>
      </c>
      <c r="G397" s="99">
        <v>0</v>
      </c>
      <c r="H397" s="99">
        <v>0</v>
      </c>
      <c r="I397" s="99">
        <v>0</v>
      </c>
      <c r="J397" s="99">
        <v>0</v>
      </c>
      <c r="K397" s="99">
        <v>1</v>
      </c>
      <c r="L397" s="99">
        <v>0</v>
      </c>
      <c r="M397" s="99">
        <v>0</v>
      </c>
      <c r="N397" s="99">
        <v>1</v>
      </c>
      <c r="O397" s="99">
        <v>0</v>
      </c>
      <c r="P397" s="99">
        <v>0</v>
      </c>
      <c r="Q397" s="99">
        <v>0</v>
      </c>
      <c r="R397" s="99">
        <v>0</v>
      </c>
      <c r="S397" s="99">
        <v>0</v>
      </c>
      <c r="T397" s="99">
        <v>0</v>
      </c>
      <c r="U397" s="99">
        <v>0</v>
      </c>
      <c r="V397" s="99">
        <v>0</v>
      </c>
      <c r="W397" s="99">
        <v>0</v>
      </c>
      <c r="X397" s="99">
        <v>0</v>
      </c>
      <c r="Y397" s="99">
        <v>0</v>
      </c>
      <c r="Z397" s="99">
        <v>0</v>
      </c>
      <c r="AA397" s="99">
        <v>0</v>
      </c>
      <c r="AB397" s="99">
        <v>0</v>
      </c>
      <c r="AC397" s="99">
        <v>0</v>
      </c>
      <c r="AD397" s="99">
        <v>0</v>
      </c>
      <c r="AE397" s="99">
        <v>0</v>
      </c>
      <c r="AF397" s="99">
        <v>0</v>
      </c>
      <c r="AG397" s="99">
        <v>0</v>
      </c>
      <c r="AH397" s="99">
        <v>0</v>
      </c>
      <c r="AI397" s="99">
        <v>0</v>
      </c>
      <c r="AJ397" s="99">
        <v>0</v>
      </c>
      <c r="AK397" s="99">
        <v>0</v>
      </c>
      <c r="AL397" s="99">
        <v>0</v>
      </c>
      <c r="AM397" s="99">
        <v>0</v>
      </c>
      <c r="AN397" s="99">
        <v>0</v>
      </c>
      <c r="AO397" s="99">
        <v>0</v>
      </c>
      <c r="AP397" s="99">
        <v>0</v>
      </c>
      <c r="AQ397" s="99">
        <v>0</v>
      </c>
      <c r="AR397" s="99">
        <v>0</v>
      </c>
      <c r="AS397" s="99">
        <v>0</v>
      </c>
      <c r="AT397" s="99">
        <v>0</v>
      </c>
      <c r="AU397" s="99">
        <v>1</v>
      </c>
      <c r="AV397" s="99">
        <v>0</v>
      </c>
      <c r="AW397" s="99">
        <v>0</v>
      </c>
      <c r="AX397" s="99">
        <v>0</v>
      </c>
      <c r="AY397" s="99">
        <v>0</v>
      </c>
      <c r="AZ397" s="99">
        <v>0</v>
      </c>
      <c r="BA397" s="99">
        <v>0</v>
      </c>
      <c r="BB397" s="99">
        <v>0</v>
      </c>
      <c r="BC397" s="99">
        <v>0</v>
      </c>
      <c r="BD397" s="99">
        <v>0</v>
      </c>
      <c r="BE397" s="99">
        <v>0</v>
      </c>
      <c r="BF397" s="99">
        <v>1</v>
      </c>
      <c r="BG397" s="99">
        <v>0</v>
      </c>
      <c r="BH397" s="99">
        <v>0</v>
      </c>
      <c r="BI397" s="99">
        <v>0</v>
      </c>
      <c r="BJ397" s="99">
        <v>0</v>
      </c>
      <c r="BK397" s="99">
        <v>1</v>
      </c>
      <c r="BL397" s="99">
        <v>0</v>
      </c>
      <c r="BM397" s="99">
        <v>0</v>
      </c>
      <c r="BN397" s="99">
        <v>1</v>
      </c>
      <c r="BO397" s="99">
        <v>1</v>
      </c>
      <c r="BP397" s="99">
        <v>0</v>
      </c>
      <c r="BQ397" s="99">
        <v>0</v>
      </c>
      <c r="BR397" s="99">
        <v>0</v>
      </c>
      <c r="BS397" s="99">
        <v>1</v>
      </c>
      <c r="BT397" s="99">
        <v>0</v>
      </c>
    </row>
    <row r="398" spans="1:72" x14ac:dyDescent="0.3">
      <c r="A398" s="99">
        <v>957</v>
      </c>
      <c r="D398" s="99" t="s">
        <v>928</v>
      </c>
      <c r="F398" s="99">
        <v>0</v>
      </c>
      <c r="G398" s="99">
        <v>1</v>
      </c>
      <c r="H398" s="99">
        <v>0</v>
      </c>
      <c r="I398" s="99">
        <v>0</v>
      </c>
      <c r="J398" s="99">
        <v>0</v>
      </c>
      <c r="K398" s="99">
        <v>1</v>
      </c>
      <c r="L398" s="99">
        <v>0</v>
      </c>
      <c r="M398" s="99">
        <v>0</v>
      </c>
      <c r="N398" s="99">
        <v>0</v>
      </c>
      <c r="O398" s="99">
        <v>0</v>
      </c>
      <c r="P398" s="99">
        <v>0</v>
      </c>
      <c r="Q398" s="99">
        <v>0</v>
      </c>
      <c r="R398" s="99">
        <v>0</v>
      </c>
      <c r="S398" s="99">
        <v>0</v>
      </c>
      <c r="T398" s="99">
        <v>0</v>
      </c>
      <c r="U398" s="99">
        <v>0</v>
      </c>
      <c r="V398" s="99">
        <v>0</v>
      </c>
      <c r="W398" s="99">
        <v>0</v>
      </c>
      <c r="X398" s="99">
        <v>0</v>
      </c>
      <c r="Y398" s="99">
        <v>0</v>
      </c>
      <c r="Z398" s="99">
        <v>1</v>
      </c>
      <c r="AA398" s="99">
        <v>0</v>
      </c>
      <c r="AB398" s="99">
        <v>0</v>
      </c>
      <c r="AC398" s="99">
        <v>0</v>
      </c>
      <c r="AD398" s="99">
        <v>0</v>
      </c>
      <c r="AE398" s="99">
        <v>1</v>
      </c>
      <c r="AF398" s="99">
        <v>0</v>
      </c>
      <c r="AG398" s="99">
        <v>0</v>
      </c>
      <c r="AH398" s="99">
        <v>1</v>
      </c>
      <c r="AI398" s="99">
        <v>0</v>
      </c>
      <c r="AJ398" s="99">
        <v>0</v>
      </c>
      <c r="AK398" s="99">
        <v>0</v>
      </c>
      <c r="AL398" s="99">
        <v>0</v>
      </c>
      <c r="AM398" s="99">
        <v>0</v>
      </c>
      <c r="AN398" s="99">
        <v>0</v>
      </c>
      <c r="AO398" s="99">
        <v>0</v>
      </c>
      <c r="AP398" s="99">
        <v>0</v>
      </c>
      <c r="AQ398" s="99">
        <v>0</v>
      </c>
      <c r="AR398" s="99">
        <v>0</v>
      </c>
      <c r="AS398" s="99">
        <v>0</v>
      </c>
      <c r="AT398" s="99">
        <v>0</v>
      </c>
      <c r="AU398" s="99">
        <v>0</v>
      </c>
      <c r="AV398" s="99">
        <v>0</v>
      </c>
      <c r="AW398" s="99">
        <v>0</v>
      </c>
      <c r="AX398" s="99">
        <v>0</v>
      </c>
      <c r="AY398" s="99">
        <v>0</v>
      </c>
      <c r="AZ398" s="99">
        <v>0</v>
      </c>
      <c r="BA398" s="99">
        <v>0</v>
      </c>
      <c r="BB398" s="99">
        <v>0</v>
      </c>
      <c r="BC398" s="99">
        <v>0</v>
      </c>
      <c r="BD398" s="99">
        <v>0</v>
      </c>
      <c r="BE398" s="99">
        <v>0</v>
      </c>
      <c r="BF398" s="99">
        <v>0</v>
      </c>
      <c r="BG398" s="99">
        <v>0</v>
      </c>
      <c r="BH398" s="99">
        <v>0</v>
      </c>
      <c r="BI398" s="99">
        <v>0</v>
      </c>
      <c r="BJ398" s="99">
        <v>1</v>
      </c>
      <c r="BK398" s="99">
        <v>0</v>
      </c>
      <c r="BL398" s="99">
        <v>0</v>
      </c>
      <c r="BM398" s="99">
        <v>0</v>
      </c>
      <c r="BN398" s="99">
        <v>0</v>
      </c>
      <c r="BO398" s="99">
        <v>0</v>
      </c>
      <c r="BP398" s="99">
        <v>1</v>
      </c>
      <c r="BQ398" s="99">
        <v>0</v>
      </c>
      <c r="BR398" s="99">
        <v>0</v>
      </c>
      <c r="BS398" s="99">
        <v>1</v>
      </c>
      <c r="BT398" s="99">
        <v>0</v>
      </c>
    </row>
    <row r="399" spans="1:72" x14ac:dyDescent="0.3">
      <c r="A399" s="99">
        <v>959</v>
      </c>
      <c r="D399" s="99" t="s">
        <v>918</v>
      </c>
      <c r="F399" s="99">
        <v>2</v>
      </c>
      <c r="G399" s="99">
        <v>2</v>
      </c>
      <c r="H399" s="99">
        <v>2</v>
      </c>
      <c r="I399" s="99">
        <v>2</v>
      </c>
      <c r="J399" s="99">
        <v>3</v>
      </c>
      <c r="K399" s="99">
        <v>2</v>
      </c>
      <c r="L399" s="99">
        <v>2</v>
      </c>
      <c r="M399" s="99">
        <v>2</v>
      </c>
      <c r="N399" s="99">
        <v>2</v>
      </c>
      <c r="O399" s="99">
        <v>3</v>
      </c>
      <c r="P399" s="99">
        <v>2</v>
      </c>
      <c r="Q399" s="99">
        <v>2</v>
      </c>
      <c r="R399" s="99">
        <v>2</v>
      </c>
      <c r="S399" s="99">
        <v>2</v>
      </c>
      <c r="T399" s="99">
        <v>0</v>
      </c>
      <c r="U399" s="99">
        <v>3</v>
      </c>
      <c r="V399" s="99">
        <v>2</v>
      </c>
      <c r="W399" s="99">
        <v>2</v>
      </c>
      <c r="X399" s="99">
        <v>2</v>
      </c>
      <c r="Y399" s="99">
        <v>2</v>
      </c>
      <c r="Z399" s="99">
        <v>2</v>
      </c>
      <c r="AA399" s="99">
        <v>0</v>
      </c>
      <c r="AB399" s="99">
        <v>0</v>
      </c>
      <c r="AC399" s="99">
        <v>2</v>
      </c>
      <c r="AD399" s="99">
        <v>2</v>
      </c>
      <c r="AE399" s="99">
        <v>2</v>
      </c>
      <c r="AF399" s="99">
        <v>2</v>
      </c>
      <c r="AG399" s="99">
        <v>2</v>
      </c>
      <c r="AH399" s="99">
        <v>3</v>
      </c>
      <c r="AI399" s="99">
        <v>2</v>
      </c>
      <c r="AJ399" s="99">
        <v>2</v>
      </c>
      <c r="AK399" s="99">
        <v>2</v>
      </c>
      <c r="AL399" s="99">
        <v>0</v>
      </c>
      <c r="AM399" s="99">
        <v>0</v>
      </c>
      <c r="AN399" s="99">
        <v>3</v>
      </c>
      <c r="AO399" s="99">
        <v>2</v>
      </c>
      <c r="AP399" s="99">
        <v>2</v>
      </c>
      <c r="AQ399" s="99">
        <v>2</v>
      </c>
      <c r="AR399" s="99">
        <v>3</v>
      </c>
      <c r="AS399" s="99">
        <v>2</v>
      </c>
      <c r="AT399" s="99">
        <v>2</v>
      </c>
      <c r="AU399" s="99">
        <v>2</v>
      </c>
      <c r="AV399" s="99">
        <v>3</v>
      </c>
      <c r="AW399" s="99">
        <v>0</v>
      </c>
      <c r="AX399" s="99">
        <v>2</v>
      </c>
      <c r="AY399" s="99">
        <v>2</v>
      </c>
      <c r="AZ399" s="99">
        <v>2</v>
      </c>
      <c r="BA399" s="99">
        <v>3</v>
      </c>
      <c r="BB399" s="99">
        <v>3</v>
      </c>
      <c r="BC399" s="99">
        <v>2</v>
      </c>
      <c r="BD399" s="99">
        <v>2</v>
      </c>
      <c r="BE399" s="99">
        <v>3</v>
      </c>
      <c r="BF399" s="99">
        <v>2</v>
      </c>
      <c r="BG399" s="99">
        <v>2</v>
      </c>
      <c r="BH399" s="99">
        <v>2</v>
      </c>
      <c r="BI399" s="99">
        <v>2</v>
      </c>
      <c r="BJ399" s="99">
        <v>2</v>
      </c>
      <c r="BK399" s="99">
        <v>2</v>
      </c>
      <c r="BL399" s="99">
        <v>2</v>
      </c>
      <c r="BM399" s="99">
        <v>2</v>
      </c>
      <c r="BN399" s="99">
        <v>2</v>
      </c>
      <c r="BO399" s="99">
        <v>2</v>
      </c>
      <c r="BP399" s="99">
        <v>2</v>
      </c>
      <c r="BQ399" s="99">
        <v>3</v>
      </c>
      <c r="BR399" s="99">
        <v>2</v>
      </c>
      <c r="BS399" s="99">
        <v>3</v>
      </c>
      <c r="BT399" s="99">
        <v>2</v>
      </c>
    </row>
    <row r="400" spans="1:72" x14ac:dyDescent="0.3">
      <c r="A400" s="99">
        <v>961</v>
      </c>
      <c r="D400" s="99" t="s">
        <v>919</v>
      </c>
      <c r="F400" s="99">
        <v>2</v>
      </c>
      <c r="G400" s="99">
        <v>2</v>
      </c>
      <c r="H400" s="99">
        <v>2</v>
      </c>
      <c r="I400" s="99">
        <v>2</v>
      </c>
      <c r="J400" s="99">
        <v>3</v>
      </c>
      <c r="K400" s="99">
        <v>2</v>
      </c>
      <c r="L400" s="99">
        <v>2</v>
      </c>
      <c r="M400" s="99">
        <v>2</v>
      </c>
      <c r="N400" s="99">
        <v>2</v>
      </c>
      <c r="O400" s="99">
        <v>3</v>
      </c>
      <c r="P400" s="99">
        <v>2</v>
      </c>
      <c r="Q400" s="99">
        <v>2</v>
      </c>
      <c r="R400" s="99">
        <v>2</v>
      </c>
      <c r="S400" s="99">
        <v>2</v>
      </c>
      <c r="T400" s="99">
        <v>0</v>
      </c>
      <c r="U400" s="99">
        <v>3</v>
      </c>
      <c r="V400" s="99">
        <v>2</v>
      </c>
      <c r="W400" s="99">
        <v>2</v>
      </c>
      <c r="X400" s="99">
        <v>2</v>
      </c>
      <c r="Y400" s="99">
        <v>2</v>
      </c>
      <c r="Z400" s="99">
        <v>2</v>
      </c>
      <c r="AA400" s="99">
        <v>0</v>
      </c>
      <c r="AB400" s="99">
        <v>0</v>
      </c>
      <c r="AC400" s="99">
        <v>2</v>
      </c>
      <c r="AD400" s="99">
        <v>2</v>
      </c>
      <c r="AE400" s="99">
        <v>3</v>
      </c>
      <c r="AF400" s="99">
        <v>2</v>
      </c>
      <c r="AG400" s="99">
        <v>2</v>
      </c>
      <c r="AH400" s="99">
        <v>3</v>
      </c>
      <c r="AI400" s="99">
        <v>2</v>
      </c>
      <c r="AJ400" s="99">
        <v>2</v>
      </c>
      <c r="AK400" s="99">
        <v>2</v>
      </c>
      <c r="AL400" s="99">
        <v>0</v>
      </c>
      <c r="AM400" s="99">
        <v>0</v>
      </c>
      <c r="AN400" s="99">
        <v>3</v>
      </c>
      <c r="AO400" s="99">
        <v>2</v>
      </c>
      <c r="AP400" s="99">
        <v>2</v>
      </c>
      <c r="AQ400" s="99">
        <v>2</v>
      </c>
      <c r="AR400" s="99">
        <v>3</v>
      </c>
      <c r="AS400" s="99">
        <v>2</v>
      </c>
      <c r="AT400" s="99">
        <v>2</v>
      </c>
      <c r="AU400" s="99">
        <v>2</v>
      </c>
      <c r="AV400" s="99">
        <v>2</v>
      </c>
      <c r="AW400" s="99">
        <v>0</v>
      </c>
      <c r="AX400" s="99">
        <v>2</v>
      </c>
      <c r="AY400" s="99">
        <v>2</v>
      </c>
      <c r="AZ400" s="99">
        <v>2</v>
      </c>
      <c r="BA400" s="99">
        <v>3</v>
      </c>
      <c r="BB400" s="99">
        <v>3</v>
      </c>
      <c r="BC400" s="99">
        <v>2</v>
      </c>
      <c r="BD400" s="99">
        <v>2</v>
      </c>
      <c r="BE400" s="99">
        <v>2</v>
      </c>
      <c r="BF400" s="99">
        <v>2</v>
      </c>
      <c r="BG400" s="99">
        <v>2</v>
      </c>
      <c r="BH400" s="99">
        <v>2</v>
      </c>
      <c r="BI400" s="99">
        <v>2</v>
      </c>
      <c r="BJ400" s="99">
        <v>2</v>
      </c>
      <c r="BK400" s="99">
        <v>2</v>
      </c>
      <c r="BL400" s="99">
        <v>2</v>
      </c>
      <c r="BM400" s="99">
        <v>2</v>
      </c>
      <c r="BN400" s="99">
        <v>2</v>
      </c>
      <c r="BO400" s="99">
        <v>2</v>
      </c>
      <c r="BP400" s="99">
        <v>2</v>
      </c>
      <c r="BQ400" s="99">
        <v>3</v>
      </c>
      <c r="BR400" s="99">
        <v>2</v>
      </c>
      <c r="BS400" s="99">
        <v>3</v>
      </c>
      <c r="BT400" s="99">
        <v>2</v>
      </c>
    </row>
    <row r="401" spans="1:72" x14ac:dyDescent="0.3">
      <c r="A401" s="99">
        <v>963</v>
      </c>
      <c r="D401" s="99" t="s">
        <v>920</v>
      </c>
      <c r="F401" s="99">
        <v>3</v>
      </c>
      <c r="G401" s="99">
        <v>1</v>
      </c>
      <c r="H401" s="99">
        <v>3</v>
      </c>
      <c r="I401" s="99">
        <v>3</v>
      </c>
      <c r="J401" s="99">
        <v>3</v>
      </c>
      <c r="K401" s="99">
        <v>3</v>
      </c>
      <c r="L401" s="99">
        <v>1</v>
      </c>
      <c r="M401" s="99">
        <v>1</v>
      </c>
      <c r="N401" s="99">
        <v>1</v>
      </c>
      <c r="O401" s="99">
        <v>3</v>
      </c>
      <c r="P401" s="99">
        <v>3</v>
      </c>
      <c r="Q401" s="99">
        <v>3</v>
      </c>
      <c r="R401" s="99">
        <v>3</v>
      </c>
      <c r="S401" s="99">
        <v>1</v>
      </c>
      <c r="T401" s="99">
        <v>0</v>
      </c>
      <c r="U401" s="99">
        <v>3</v>
      </c>
      <c r="V401" s="99">
        <v>1</v>
      </c>
      <c r="W401" s="99">
        <v>3</v>
      </c>
      <c r="X401" s="99">
        <v>3</v>
      </c>
      <c r="Y401" s="99">
        <v>3</v>
      </c>
      <c r="Z401" s="99">
        <v>2</v>
      </c>
      <c r="AA401" s="99">
        <v>0</v>
      </c>
      <c r="AB401" s="99">
        <v>0</v>
      </c>
      <c r="AC401" s="99">
        <v>1</v>
      </c>
      <c r="AD401" s="99">
        <v>3</v>
      </c>
      <c r="AE401" s="99">
        <v>3</v>
      </c>
      <c r="AF401" s="99">
        <v>3</v>
      </c>
      <c r="AG401" s="99">
        <v>3</v>
      </c>
      <c r="AH401" s="99">
        <v>3</v>
      </c>
      <c r="AI401" s="99">
        <v>3</v>
      </c>
      <c r="AJ401" s="99">
        <v>3</v>
      </c>
      <c r="AK401" s="99">
        <v>3</v>
      </c>
      <c r="AL401" s="99">
        <v>0</v>
      </c>
      <c r="AM401" s="99">
        <v>0</v>
      </c>
      <c r="AN401" s="99">
        <v>3</v>
      </c>
      <c r="AO401" s="99">
        <v>2</v>
      </c>
      <c r="AP401" s="99">
        <v>3</v>
      </c>
      <c r="AQ401" s="99">
        <v>3</v>
      </c>
      <c r="AR401" s="99">
        <v>3</v>
      </c>
      <c r="AS401" s="99">
        <v>1</v>
      </c>
      <c r="AT401" s="99">
        <v>1</v>
      </c>
      <c r="AU401" s="99">
        <v>3</v>
      </c>
      <c r="AV401" s="99">
        <v>3</v>
      </c>
      <c r="AW401" s="99">
        <v>0</v>
      </c>
      <c r="AX401" s="99">
        <v>3</v>
      </c>
      <c r="AY401" s="99">
        <v>3</v>
      </c>
      <c r="AZ401" s="99">
        <v>3</v>
      </c>
      <c r="BA401" s="99">
        <v>3</v>
      </c>
      <c r="BB401" s="99">
        <v>3</v>
      </c>
      <c r="BC401" s="99">
        <v>3</v>
      </c>
      <c r="BD401" s="99">
        <v>3</v>
      </c>
      <c r="BE401" s="99">
        <v>3</v>
      </c>
      <c r="BF401" s="99">
        <v>1</v>
      </c>
      <c r="BG401" s="99">
        <v>1</v>
      </c>
      <c r="BH401" s="99">
        <v>3</v>
      </c>
      <c r="BI401" s="99">
        <v>3</v>
      </c>
      <c r="BJ401" s="99">
        <v>3</v>
      </c>
      <c r="BK401" s="99">
        <v>3</v>
      </c>
      <c r="BL401" s="99">
        <v>3</v>
      </c>
      <c r="BM401" s="99">
        <v>3</v>
      </c>
      <c r="BN401" s="99">
        <v>3</v>
      </c>
      <c r="BO401" s="99">
        <v>3</v>
      </c>
      <c r="BP401" s="99">
        <v>1</v>
      </c>
      <c r="BQ401" s="99">
        <v>3</v>
      </c>
      <c r="BR401" s="99">
        <v>1</v>
      </c>
      <c r="BS401" s="99">
        <v>3</v>
      </c>
      <c r="BT401" s="99">
        <v>3</v>
      </c>
    </row>
    <row r="402" spans="1:72" x14ac:dyDescent="0.3">
      <c r="A402" s="99">
        <v>965</v>
      </c>
      <c r="D402" s="99" t="s">
        <v>921</v>
      </c>
      <c r="F402" s="99">
        <v>1</v>
      </c>
      <c r="G402" s="99">
        <v>1</v>
      </c>
      <c r="H402" s="99">
        <v>1</v>
      </c>
      <c r="I402" s="99">
        <v>1</v>
      </c>
      <c r="J402" s="99">
        <v>1</v>
      </c>
      <c r="K402" s="99">
        <v>2</v>
      </c>
      <c r="L402" s="99">
        <v>1</v>
      </c>
      <c r="M402" s="99">
        <v>1</v>
      </c>
      <c r="N402" s="99">
        <v>1</v>
      </c>
      <c r="O402" s="99">
        <v>1</v>
      </c>
      <c r="P402" s="99">
        <v>1</v>
      </c>
      <c r="Q402" s="99">
        <v>1</v>
      </c>
      <c r="R402" s="99">
        <v>1</v>
      </c>
      <c r="S402" s="99">
        <v>1</v>
      </c>
      <c r="T402" s="99">
        <v>0</v>
      </c>
      <c r="U402" s="99">
        <v>1</v>
      </c>
      <c r="V402" s="99">
        <v>1</v>
      </c>
      <c r="W402" s="99">
        <v>1</v>
      </c>
      <c r="X402" s="99">
        <v>1</v>
      </c>
      <c r="Y402" s="99">
        <v>1</v>
      </c>
      <c r="Z402" s="99">
        <v>1</v>
      </c>
      <c r="AA402" s="99">
        <v>0</v>
      </c>
      <c r="AB402" s="99">
        <v>0</v>
      </c>
      <c r="AC402" s="99">
        <v>1</v>
      </c>
      <c r="AD402" s="99">
        <v>1</v>
      </c>
      <c r="AE402" s="99">
        <v>1</v>
      </c>
      <c r="AF402" s="99">
        <v>1</v>
      </c>
      <c r="AG402" s="99">
        <v>1</v>
      </c>
      <c r="AH402" s="99">
        <v>1</v>
      </c>
      <c r="AI402" s="99">
        <v>1</v>
      </c>
      <c r="AJ402" s="99">
        <v>1</v>
      </c>
      <c r="AK402" s="99">
        <v>1</v>
      </c>
      <c r="AL402" s="99">
        <v>0</v>
      </c>
      <c r="AM402" s="99">
        <v>0</v>
      </c>
      <c r="AN402" s="99">
        <v>1</v>
      </c>
      <c r="AO402" s="99">
        <v>1</v>
      </c>
      <c r="AP402" s="99">
        <v>1</v>
      </c>
      <c r="AQ402" s="99">
        <v>1</v>
      </c>
      <c r="AR402" s="99">
        <v>1</v>
      </c>
      <c r="AS402" s="99">
        <v>1</v>
      </c>
      <c r="AT402" s="99">
        <v>1</v>
      </c>
      <c r="AU402" s="99">
        <v>1</v>
      </c>
      <c r="AV402" s="99">
        <v>1</v>
      </c>
      <c r="AW402" s="99">
        <v>0</v>
      </c>
      <c r="AX402" s="99">
        <v>1</v>
      </c>
      <c r="AY402" s="99">
        <v>1</v>
      </c>
      <c r="AZ402" s="99">
        <v>1</v>
      </c>
      <c r="BA402" s="99">
        <v>1</v>
      </c>
      <c r="BB402" s="99">
        <v>1</v>
      </c>
      <c r="BC402" s="99">
        <v>1</v>
      </c>
      <c r="BD402" s="99">
        <v>1</v>
      </c>
      <c r="BE402" s="99">
        <v>1</v>
      </c>
      <c r="BF402" s="99">
        <v>1</v>
      </c>
      <c r="BG402" s="99">
        <v>1</v>
      </c>
      <c r="BH402" s="99">
        <v>1</v>
      </c>
      <c r="BI402" s="99">
        <v>1</v>
      </c>
      <c r="BJ402" s="99">
        <v>1</v>
      </c>
      <c r="BK402" s="99">
        <v>1</v>
      </c>
      <c r="BL402" s="99">
        <v>1</v>
      </c>
      <c r="BM402" s="99">
        <v>1</v>
      </c>
      <c r="BN402" s="99">
        <v>1</v>
      </c>
      <c r="BO402" s="99">
        <v>1</v>
      </c>
      <c r="BP402" s="99">
        <v>1</v>
      </c>
      <c r="BQ402" s="99">
        <v>1</v>
      </c>
      <c r="BR402" s="99">
        <v>1</v>
      </c>
      <c r="BS402" s="99">
        <v>1</v>
      </c>
      <c r="BT402" s="99">
        <v>1</v>
      </c>
    </row>
    <row r="403" spans="1:72" x14ac:dyDescent="0.3">
      <c r="A403" s="99">
        <v>603</v>
      </c>
      <c r="D403" s="99" t="s">
        <v>926</v>
      </c>
      <c r="F403" s="99">
        <v>4</v>
      </c>
      <c r="G403" s="99">
        <v>2</v>
      </c>
      <c r="H403" s="99">
        <v>2</v>
      </c>
      <c r="I403" s="99">
        <v>0</v>
      </c>
      <c r="J403" s="99">
        <v>0</v>
      </c>
      <c r="K403" s="99">
        <v>4</v>
      </c>
      <c r="L403" s="99">
        <v>0</v>
      </c>
      <c r="M403" s="99">
        <v>0</v>
      </c>
      <c r="N403" s="99">
        <v>0</v>
      </c>
      <c r="O403" s="99">
        <v>0</v>
      </c>
      <c r="P403" s="99">
        <v>0</v>
      </c>
      <c r="Q403" s="99">
        <v>0</v>
      </c>
      <c r="R403" s="99">
        <v>0</v>
      </c>
      <c r="S403" s="99">
        <v>4</v>
      </c>
      <c r="T403" s="99">
        <v>0</v>
      </c>
      <c r="U403" s="99">
        <v>2</v>
      </c>
      <c r="V403" s="99">
        <v>0</v>
      </c>
      <c r="W403" s="99">
        <v>0</v>
      </c>
      <c r="X403" s="99">
        <v>1</v>
      </c>
      <c r="Y403" s="99">
        <v>0</v>
      </c>
      <c r="Z403" s="99">
        <v>2</v>
      </c>
      <c r="AA403" s="99">
        <v>0</v>
      </c>
      <c r="AB403" s="99">
        <v>0</v>
      </c>
      <c r="AC403" s="99">
        <v>0</v>
      </c>
      <c r="AD403" s="99">
        <v>0</v>
      </c>
      <c r="AE403" s="99">
        <v>2</v>
      </c>
      <c r="AF403" s="99">
        <v>5</v>
      </c>
      <c r="AG403" s="99">
        <v>0</v>
      </c>
      <c r="AH403" s="99">
        <v>6</v>
      </c>
      <c r="AI403" s="99">
        <v>0</v>
      </c>
      <c r="AJ403" s="99">
        <v>1</v>
      </c>
      <c r="AK403" s="99">
        <v>1</v>
      </c>
      <c r="AL403" s="99">
        <v>0</v>
      </c>
      <c r="AM403" s="99">
        <v>0</v>
      </c>
      <c r="AN403" s="99">
        <v>0</v>
      </c>
      <c r="AO403" s="99">
        <v>4</v>
      </c>
      <c r="AP403" s="99">
        <v>0</v>
      </c>
      <c r="AQ403" s="99">
        <v>1</v>
      </c>
      <c r="AR403" s="99">
        <v>0</v>
      </c>
      <c r="AS403" s="99">
        <v>4</v>
      </c>
      <c r="AT403" s="99">
        <v>0</v>
      </c>
      <c r="AU403" s="99">
        <v>0</v>
      </c>
      <c r="AV403" s="99">
        <v>1</v>
      </c>
      <c r="AW403" s="99">
        <v>0</v>
      </c>
      <c r="AX403" s="99">
        <v>0</v>
      </c>
      <c r="AY403" s="99">
        <v>0</v>
      </c>
      <c r="AZ403" s="99">
        <v>1</v>
      </c>
      <c r="BA403" s="99">
        <v>4</v>
      </c>
      <c r="BB403" s="99">
        <v>1</v>
      </c>
      <c r="BC403" s="99">
        <v>1</v>
      </c>
      <c r="BD403" s="99">
        <v>0</v>
      </c>
      <c r="BE403" s="99">
        <v>0</v>
      </c>
      <c r="BF403" s="99">
        <v>4</v>
      </c>
      <c r="BG403" s="99">
        <v>0</v>
      </c>
      <c r="BH403" s="99">
        <v>2</v>
      </c>
      <c r="BI403" s="99">
        <v>0</v>
      </c>
      <c r="BJ403" s="99">
        <v>1</v>
      </c>
      <c r="BK403" s="99">
        <v>2</v>
      </c>
      <c r="BL403" s="99">
        <v>0</v>
      </c>
      <c r="BM403" s="99">
        <v>0</v>
      </c>
      <c r="BN403" s="99">
        <v>0</v>
      </c>
      <c r="BO403" s="99">
        <v>2</v>
      </c>
      <c r="BP403" s="99">
        <v>2</v>
      </c>
      <c r="BQ403" s="99">
        <v>0</v>
      </c>
      <c r="BR403" s="99">
        <v>0</v>
      </c>
      <c r="BS403" s="99">
        <v>4</v>
      </c>
      <c r="BT403" s="99">
        <v>0</v>
      </c>
    </row>
    <row r="404" spans="1:72" x14ac:dyDescent="0.3">
      <c r="A404" s="99">
        <v>929</v>
      </c>
      <c r="D404" s="99" t="s">
        <v>922</v>
      </c>
      <c r="F404" s="99">
        <v>1</v>
      </c>
      <c r="G404" s="99">
        <v>1</v>
      </c>
      <c r="H404" s="99">
        <v>2</v>
      </c>
      <c r="I404" s="99">
        <v>0</v>
      </c>
      <c r="J404" s="99">
        <v>0</v>
      </c>
      <c r="K404" s="99">
        <v>1</v>
      </c>
      <c r="L404" s="99">
        <v>0</v>
      </c>
      <c r="M404" s="99">
        <v>0</v>
      </c>
      <c r="N404" s="99">
        <v>0</v>
      </c>
      <c r="O404" s="99">
        <v>0</v>
      </c>
      <c r="P404" s="99">
        <v>0</v>
      </c>
      <c r="Q404" s="99">
        <v>0</v>
      </c>
      <c r="R404" s="99">
        <v>0</v>
      </c>
      <c r="S404" s="99">
        <v>2</v>
      </c>
      <c r="T404" s="99">
        <v>0</v>
      </c>
      <c r="U404" s="99">
        <v>2</v>
      </c>
      <c r="V404" s="99">
        <v>0</v>
      </c>
      <c r="W404" s="99">
        <v>1</v>
      </c>
      <c r="X404" s="99">
        <v>2</v>
      </c>
      <c r="Y404" s="99">
        <v>0</v>
      </c>
      <c r="Z404" s="99">
        <v>2</v>
      </c>
      <c r="AA404" s="99">
        <v>0</v>
      </c>
      <c r="AB404" s="99">
        <v>0</v>
      </c>
      <c r="AC404" s="99">
        <v>0</v>
      </c>
      <c r="AD404" s="99">
        <v>0</v>
      </c>
      <c r="AE404" s="99">
        <v>2</v>
      </c>
      <c r="AF404" s="99">
        <v>1</v>
      </c>
      <c r="AG404" s="99">
        <v>0</v>
      </c>
      <c r="AH404" s="99">
        <v>2</v>
      </c>
      <c r="AI404" s="99">
        <v>0</v>
      </c>
      <c r="AJ404" s="99">
        <v>2</v>
      </c>
      <c r="AK404" s="99">
        <v>2</v>
      </c>
      <c r="AL404" s="99">
        <v>0</v>
      </c>
      <c r="AM404" s="99">
        <v>0</v>
      </c>
      <c r="AN404" s="99">
        <v>0</v>
      </c>
      <c r="AO404" s="99">
        <v>1</v>
      </c>
      <c r="AP404" s="99">
        <v>0</v>
      </c>
      <c r="AQ404" s="99">
        <v>2</v>
      </c>
      <c r="AR404" s="99">
        <v>0</v>
      </c>
      <c r="AS404" s="99">
        <v>2</v>
      </c>
      <c r="AT404" s="99">
        <v>0</v>
      </c>
      <c r="AU404" s="99">
        <v>0</v>
      </c>
      <c r="AV404" s="99">
        <v>2</v>
      </c>
      <c r="AW404" s="99">
        <v>0</v>
      </c>
      <c r="AX404" s="99">
        <v>0</v>
      </c>
      <c r="AY404" s="99">
        <v>0</v>
      </c>
      <c r="AZ404" s="99">
        <v>2</v>
      </c>
      <c r="BA404" s="99">
        <v>2</v>
      </c>
      <c r="BB404" s="99">
        <v>2</v>
      </c>
      <c r="BC404" s="99">
        <v>0</v>
      </c>
      <c r="BD404" s="99">
        <v>0</v>
      </c>
      <c r="BE404" s="99">
        <v>0</v>
      </c>
      <c r="BF404" s="99">
        <v>2</v>
      </c>
      <c r="BG404" s="99">
        <v>0</v>
      </c>
      <c r="BH404" s="99">
        <v>2</v>
      </c>
      <c r="BI404" s="99">
        <v>0</v>
      </c>
      <c r="BJ404" s="99">
        <v>1</v>
      </c>
      <c r="BK404" s="99">
        <v>1</v>
      </c>
      <c r="BL404" s="99">
        <v>0</v>
      </c>
      <c r="BM404" s="99">
        <v>0</v>
      </c>
      <c r="BN404" s="99">
        <v>0</v>
      </c>
      <c r="BO404" s="99">
        <v>1</v>
      </c>
      <c r="BP404" s="99">
        <v>2</v>
      </c>
      <c r="BQ404" s="99">
        <v>0</v>
      </c>
      <c r="BR404" s="99">
        <v>0</v>
      </c>
      <c r="BS404" s="99">
        <v>1</v>
      </c>
      <c r="BT404" s="99">
        <v>0</v>
      </c>
    </row>
    <row r="405" spans="1:72" x14ac:dyDescent="0.3">
      <c r="A405" s="99">
        <v>930</v>
      </c>
      <c r="D405" s="99" t="s">
        <v>923</v>
      </c>
      <c r="F405" s="99">
        <v>2</v>
      </c>
      <c r="G405" s="99">
        <v>2</v>
      </c>
      <c r="H405" s="99">
        <v>2</v>
      </c>
      <c r="I405" s="99">
        <v>0</v>
      </c>
      <c r="J405" s="99">
        <v>0</v>
      </c>
      <c r="K405" s="99">
        <v>2</v>
      </c>
      <c r="L405" s="99">
        <v>0</v>
      </c>
      <c r="M405" s="99">
        <v>0</v>
      </c>
      <c r="N405" s="99">
        <v>0</v>
      </c>
      <c r="O405" s="99">
        <v>0</v>
      </c>
      <c r="P405" s="99">
        <v>0</v>
      </c>
      <c r="Q405" s="99">
        <v>0</v>
      </c>
      <c r="R405" s="99">
        <v>0</v>
      </c>
      <c r="S405" s="99">
        <v>1</v>
      </c>
      <c r="T405" s="99">
        <v>0</v>
      </c>
      <c r="U405" s="99">
        <v>2</v>
      </c>
      <c r="V405" s="99">
        <v>0</v>
      </c>
      <c r="W405" s="99">
        <v>2</v>
      </c>
      <c r="X405" s="99">
        <v>2</v>
      </c>
      <c r="Y405" s="99">
        <v>0</v>
      </c>
      <c r="Z405" s="99">
        <v>1</v>
      </c>
      <c r="AA405" s="99">
        <v>0</v>
      </c>
      <c r="AB405" s="99">
        <v>0</v>
      </c>
      <c r="AC405" s="99">
        <v>0</v>
      </c>
      <c r="AD405" s="99">
        <v>0</v>
      </c>
      <c r="AE405" s="99">
        <v>2</v>
      </c>
      <c r="AF405" s="99">
        <v>2</v>
      </c>
      <c r="AG405" s="99">
        <v>0</v>
      </c>
      <c r="AH405" s="99">
        <v>2</v>
      </c>
      <c r="AI405" s="99">
        <v>0</v>
      </c>
      <c r="AJ405" s="99">
        <v>2</v>
      </c>
      <c r="AK405" s="99">
        <v>1</v>
      </c>
      <c r="AL405" s="99">
        <v>0</v>
      </c>
      <c r="AM405" s="99">
        <v>0</v>
      </c>
      <c r="AN405" s="99">
        <v>0</v>
      </c>
      <c r="AO405" s="99">
        <v>2</v>
      </c>
      <c r="AP405" s="99">
        <v>0</v>
      </c>
      <c r="AQ405" s="99">
        <v>2</v>
      </c>
      <c r="AR405" s="99">
        <v>0</v>
      </c>
      <c r="AS405" s="99">
        <v>1</v>
      </c>
      <c r="AT405" s="99">
        <v>0</v>
      </c>
      <c r="AU405" s="99">
        <v>0</v>
      </c>
      <c r="AV405" s="99">
        <v>2</v>
      </c>
      <c r="AW405" s="99">
        <v>0</v>
      </c>
      <c r="AX405" s="99">
        <v>0</v>
      </c>
      <c r="AY405" s="99">
        <v>0</v>
      </c>
      <c r="AZ405" s="99">
        <v>2</v>
      </c>
      <c r="BA405" s="99">
        <v>1</v>
      </c>
      <c r="BB405" s="99">
        <v>2</v>
      </c>
      <c r="BC405" s="99">
        <v>0</v>
      </c>
      <c r="BD405" s="99">
        <v>0</v>
      </c>
      <c r="BE405" s="99">
        <v>0</v>
      </c>
      <c r="BF405" s="99">
        <v>1</v>
      </c>
      <c r="BG405" s="99">
        <v>0</v>
      </c>
      <c r="BH405" s="99">
        <v>2</v>
      </c>
      <c r="BI405" s="99">
        <v>0</v>
      </c>
      <c r="BJ405" s="99">
        <v>2</v>
      </c>
      <c r="BK405" s="99">
        <v>2</v>
      </c>
      <c r="BL405" s="99">
        <v>0</v>
      </c>
      <c r="BM405" s="99">
        <v>0</v>
      </c>
      <c r="BN405" s="99">
        <v>0</v>
      </c>
      <c r="BO405" s="99">
        <v>2</v>
      </c>
      <c r="BP405" s="99">
        <v>2</v>
      </c>
      <c r="BQ405" s="99">
        <v>0</v>
      </c>
      <c r="BR405" s="99">
        <v>0</v>
      </c>
      <c r="BS405" s="99">
        <v>2</v>
      </c>
      <c r="BT405" s="99">
        <v>0</v>
      </c>
    </row>
    <row r="406" spans="1:72" x14ac:dyDescent="0.3">
      <c r="A406" s="99">
        <v>931</v>
      </c>
      <c r="D406" s="99" t="s">
        <v>924</v>
      </c>
      <c r="F406" s="99">
        <v>2</v>
      </c>
      <c r="G406" s="99">
        <v>2</v>
      </c>
      <c r="H406" s="99">
        <v>2</v>
      </c>
      <c r="I406" s="99">
        <v>0</v>
      </c>
      <c r="J406" s="99">
        <v>0</v>
      </c>
      <c r="K406" s="99">
        <v>2</v>
      </c>
      <c r="L406" s="99">
        <v>0</v>
      </c>
      <c r="M406" s="99">
        <v>0</v>
      </c>
      <c r="N406" s="99">
        <v>0</v>
      </c>
      <c r="O406" s="99">
        <v>0</v>
      </c>
      <c r="P406" s="99">
        <v>0</v>
      </c>
      <c r="Q406" s="99">
        <v>0</v>
      </c>
      <c r="R406" s="99">
        <v>0</v>
      </c>
      <c r="S406" s="99">
        <v>2</v>
      </c>
      <c r="T406" s="99">
        <v>0</v>
      </c>
      <c r="U406" s="99">
        <v>2</v>
      </c>
      <c r="V406" s="99">
        <v>0</v>
      </c>
      <c r="W406" s="99">
        <v>2</v>
      </c>
      <c r="X406" s="99">
        <v>2</v>
      </c>
      <c r="Y406" s="99">
        <v>0</v>
      </c>
      <c r="Z406" s="99">
        <v>2</v>
      </c>
      <c r="AA406" s="99">
        <v>0</v>
      </c>
      <c r="AB406" s="99">
        <v>0</v>
      </c>
      <c r="AC406" s="99">
        <v>0</v>
      </c>
      <c r="AD406" s="99">
        <v>0</v>
      </c>
      <c r="AE406" s="99">
        <v>2</v>
      </c>
      <c r="AF406" s="99">
        <v>2</v>
      </c>
      <c r="AG406" s="99">
        <v>0</v>
      </c>
      <c r="AH406" s="99">
        <v>2</v>
      </c>
      <c r="AI406" s="99">
        <v>0</v>
      </c>
      <c r="AJ406" s="99">
        <v>2</v>
      </c>
      <c r="AK406" s="99">
        <v>2</v>
      </c>
      <c r="AL406" s="99">
        <v>0</v>
      </c>
      <c r="AM406" s="99">
        <v>0</v>
      </c>
      <c r="AN406" s="99">
        <v>0</v>
      </c>
      <c r="AO406" s="99">
        <v>2</v>
      </c>
      <c r="AP406" s="99">
        <v>0</v>
      </c>
      <c r="AQ406" s="99">
        <v>2</v>
      </c>
      <c r="AR406" s="99">
        <v>0</v>
      </c>
      <c r="AS406" s="99">
        <v>2</v>
      </c>
      <c r="AT406" s="99">
        <v>0</v>
      </c>
      <c r="AU406" s="99">
        <v>0</v>
      </c>
      <c r="AV406" s="99">
        <v>2</v>
      </c>
      <c r="AW406" s="99">
        <v>0</v>
      </c>
      <c r="AX406" s="99">
        <v>0</v>
      </c>
      <c r="AY406" s="99">
        <v>0</v>
      </c>
      <c r="AZ406" s="99">
        <v>2</v>
      </c>
      <c r="BA406" s="99">
        <v>2</v>
      </c>
      <c r="BB406" s="99">
        <v>2</v>
      </c>
      <c r="BC406" s="99">
        <v>0</v>
      </c>
      <c r="BD406" s="99">
        <v>0</v>
      </c>
      <c r="BE406" s="99">
        <v>0</v>
      </c>
      <c r="BF406" s="99">
        <v>2</v>
      </c>
      <c r="BG406" s="99">
        <v>0</v>
      </c>
      <c r="BH406" s="99">
        <v>0</v>
      </c>
      <c r="BI406" s="99">
        <v>0</v>
      </c>
      <c r="BJ406" s="99">
        <v>2</v>
      </c>
      <c r="BK406" s="99">
        <v>2</v>
      </c>
      <c r="BL406" s="99">
        <v>0</v>
      </c>
      <c r="BM406" s="99">
        <v>0</v>
      </c>
      <c r="BN406" s="99">
        <v>0</v>
      </c>
      <c r="BO406" s="99">
        <v>2</v>
      </c>
      <c r="BP406" s="99">
        <v>2</v>
      </c>
      <c r="BQ406" s="99">
        <v>0</v>
      </c>
      <c r="BR406" s="99">
        <v>0</v>
      </c>
      <c r="BS406" s="99">
        <v>2</v>
      </c>
      <c r="BT406" s="99">
        <v>0</v>
      </c>
    </row>
    <row r="407" spans="1:72" x14ac:dyDescent="0.3">
      <c r="A407" s="99">
        <v>932</v>
      </c>
      <c r="D407" s="99" t="s">
        <v>925</v>
      </c>
      <c r="F407" s="99">
        <v>2</v>
      </c>
      <c r="G407" s="99">
        <v>2</v>
      </c>
      <c r="H407" s="99">
        <v>2</v>
      </c>
      <c r="I407" s="99">
        <v>0</v>
      </c>
      <c r="J407" s="99">
        <v>0</v>
      </c>
      <c r="K407" s="99">
        <v>2</v>
      </c>
      <c r="L407" s="99">
        <v>0</v>
      </c>
      <c r="M407" s="99">
        <v>0</v>
      </c>
      <c r="N407" s="99">
        <v>0</v>
      </c>
      <c r="O407" s="99">
        <v>0</v>
      </c>
      <c r="P407" s="99">
        <v>0</v>
      </c>
      <c r="Q407" s="99">
        <v>0</v>
      </c>
      <c r="R407" s="99">
        <v>0</v>
      </c>
      <c r="S407" s="99">
        <v>2</v>
      </c>
      <c r="T407" s="99">
        <v>0</v>
      </c>
      <c r="U407" s="99">
        <v>2</v>
      </c>
      <c r="V407" s="99">
        <v>0</v>
      </c>
      <c r="W407" s="99">
        <v>2</v>
      </c>
      <c r="X407" s="99">
        <v>2</v>
      </c>
      <c r="Y407" s="99">
        <v>0</v>
      </c>
      <c r="Z407" s="99">
        <v>2</v>
      </c>
      <c r="AA407" s="99">
        <v>0</v>
      </c>
      <c r="AB407" s="99">
        <v>0</v>
      </c>
      <c r="AC407" s="99">
        <v>0</v>
      </c>
      <c r="AD407" s="99">
        <v>0</v>
      </c>
      <c r="AE407" s="99">
        <v>2</v>
      </c>
      <c r="AF407" s="99">
        <v>1</v>
      </c>
      <c r="AG407" s="99">
        <v>0</v>
      </c>
      <c r="AH407" s="99">
        <v>2</v>
      </c>
      <c r="AI407" s="99">
        <v>0</v>
      </c>
      <c r="AJ407" s="99">
        <v>2</v>
      </c>
      <c r="AK407" s="99">
        <v>2</v>
      </c>
      <c r="AL407" s="99">
        <v>0</v>
      </c>
      <c r="AM407" s="99">
        <v>0</v>
      </c>
      <c r="AN407" s="99">
        <v>0</v>
      </c>
      <c r="AO407" s="99">
        <v>2</v>
      </c>
      <c r="AP407" s="99">
        <v>0</v>
      </c>
      <c r="AQ407" s="99">
        <v>2</v>
      </c>
      <c r="AR407" s="99">
        <v>0</v>
      </c>
      <c r="AS407" s="99">
        <v>2</v>
      </c>
      <c r="AT407" s="99">
        <v>0</v>
      </c>
      <c r="AU407" s="99">
        <v>0</v>
      </c>
      <c r="AV407" s="99">
        <v>2</v>
      </c>
      <c r="AW407" s="99">
        <v>0</v>
      </c>
      <c r="AX407" s="99">
        <v>0</v>
      </c>
      <c r="AY407" s="99">
        <v>0</v>
      </c>
      <c r="AZ407" s="99">
        <v>2</v>
      </c>
      <c r="BA407" s="99">
        <v>2</v>
      </c>
      <c r="BB407" s="99">
        <v>2</v>
      </c>
      <c r="BC407" s="99">
        <v>0</v>
      </c>
      <c r="BD407" s="99">
        <v>0</v>
      </c>
      <c r="BE407" s="99">
        <v>0</v>
      </c>
      <c r="BF407" s="99">
        <v>2</v>
      </c>
      <c r="BG407" s="99">
        <v>0</v>
      </c>
      <c r="BH407" s="99">
        <v>2</v>
      </c>
      <c r="BI407" s="99">
        <v>0</v>
      </c>
      <c r="BJ407" s="99">
        <v>2</v>
      </c>
      <c r="BK407" s="99">
        <v>2</v>
      </c>
      <c r="BL407" s="99">
        <v>0</v>
      </c>
      <c r="BM407" s="99">
        <v>0</v>
      </c>
      <c r="BN407" s="99">
        <v>0</v>
      </c>
      <c r="BO407" s="99">
        <v>2</v>
      </c>
      <c r="BP407" s="99">
        <v>2</v>
      </c>
      <c r="BQ407" s="99">
        <v>0</v>
      </c>
      <c r="BR407" s="99">
        <v>0</v>
      </c>
      <c r="BS407" s="99">
        <v>2</v>
      </c>
      <c r="BT407" s="99">
        <v>0</v>
      </c>
    </row>
    <row r="408" spans="1:72" x14ac:dyDescent="0.3">
      <c r="F408" s="99">
        <v>4893018</v>
      </c>
      <c r="G408" s="99">
        <v>2338079</v>
      </c>
      <c r="H408" s="99">
        <v>421481</v>
      </c>
      <c r="I408" s="99">
        <v>47057487</v>
      </c>
      <c r="J408" s="99">
        <v>50356</v>
      </c>
      <c r="K408" s="99">
        <v>50095</v>
      </c>
      <c r="L408" s="99">
        <v>6152070</v>
      </c>
      <c r="M408" s="99">
        <v>278184</v>
      </c>
      <c r="N408" s="99">
        <v>113327437</v>
      </c>
      <c r="O408" s="99">
        <v>50678</v>
      </c>
      <c r="P408" s="99">
        <v>8964356</v>
      </c>
      <c r="Q408" s="99">
        <v>204402</v>
      </c>
      <c r="R408" s="99">
        <v>21572781</v>
      </c>
      <c r="S408" s="99">
        <v>190725065</v>
      </c>
      <c r="T408" s="99">
        <v>0</v>
      </c>
      <c r="U408" s="99">
        <v>205933</v>
      </c>
      <c r="V408" s="99">
        <v>2608794</v>
      </c>
      <c r="W408" s="99">
        <v>50094</v>
      </c>
      <c r="X408" s="99">
        <v>219114</v>
      </c>
      <c r="Y408" s="99">
        <v>111378</v>
      </c>
      <c r="Z408" s="99">
        <v>4056102</v>
      </c>
      <c r="AA408" s="99">
        <v>0</v>
      </c>
      <c r="AB408" s="99">
        <v>0</v>
      </c>
      <c r="AC408" s="99">
        <v>3516416</v>
      </c>
      <c r="AD408" s="99">
        <v>13996726</v>
      </c>
      <c r="AE408" s="99">
        <v>2088941</v>
      </c>
      <c r="AF408" s="99">
        <v>449577</v>
      </c>
      <c r="AG408" s="99">
        <v>67995</v>
      </c>
      <c r="AH408" s="99">
        <v>50118</v>
      </c>
      <c r="AI408" s="99">
        <v>5403705</v>
      </c>
      <c r="AJ408" s="99">
        <v>3816712</v>
      </c>
      <c r="AK408" s="99">
        <v>1624591</v>
      </c>
      <c r="AL408" s="99">
        <v>0</v>
      </c>
      <c r="AM408" s="99">
        <v>0</v>
      </c>
      <c r="AN408" s="99">
        <v>51852</v>
      </c>
      <c r="AO408" s="99">
        <v>3735848</v>
      </c>
      <c r="AP408" s="99">
        <v>2217663</v>
      </c>
      <c r="AQ408" s="99">
        <v>6625657</v>
      </c>
      <c r="AR408" s="99">
        <v>52850</v>
      </c>
      <c r="AS408" s="99">
        <v>1101414</v>
      </c>
      <c r="AT408" s="99">
        <v>1031056</v>
      </c>
      <c r="AU408" s="99">
        <v>801432</v>
      </c>
      <c r="AV408" s="99">
        <v>1660317</v>
      </c>
      <c r="AW408" s="99">
        <v>0</v>
      </c>
      <c r="AX408" s="99">
        <v>2596127</v>
      </c>
      <c r="AY408" s="99">
        <v>2078758</v>
      </c>
      <c r="AZ408" s="99">
        <v>3632564</v>
      </c>
      <c r="BA408" s="99">
        <v>259378</v>
      </c>
      <c r="BB408" s="99">
        <v>60413</v>
      </c>
      <c r="BC408" s="99">
        <v>4667632</v>
      </c>
      <c r="BD408" s="99">
        <v>1039279</v>
      </c>
      <c r="BE408" s="99">
        <v>51910</v>
      </c>
      <c r="BF408" s="99">
        <v>81737</v>
      </c>
      <c r="BG408" s="99">
        <v>25782846</v>
      </c>
      <c r="BH408" s="99">
        <v>1423181</v>
      </c>
      <c r="BI408" s="99">
        <v>2422022</v>
      </c>
      <c r="BJ408" s="99">
        <v>5995104</v>
      </c>
      <c r="BK408" s="99">
        <v>325022</v>
      </c>
      <c r="BL408" s="99">
        <v>882391</v>
      </c>
      <c r="BM408" s="99">
        <v>58472</v>
      </c>
      <c r="BN408" s="99">
        <v>2443110</v>
      </c>
      <c r="BO408" s="99">
        <v>843814</v>
      </c>
      <c r="BP408" s="99">
        <v>50138</v>
      </c>
      <c r="BQ408" s="99">
        <v>3664122</v>
      </c>
      <c r="BR408" s="99">
        <v>107286937</v>
      </c>
      <c r="BS408" s="99">
        <v>2762696</v>
      </c>
      <c r="BT408" s="99">
        <v>11388328</v>
      </c>
    </row>
    <row r="410" spans="1:72" x14ac:dyDescent="0.3">
      <c r="D410" s="99" t="s">
        <v>1773</v>
      </c>
      <c r="F410" s="99">
        <v>234007368</v>
      </c>
      <c r="G410" s="99">
        <v>246010748</v>
      </c>
      <c r="H410" s="99">
        <v>45087434</v>
      </c>
      <c r="I410" s="99">
        <v>1057782754</v>
      </c>
      <c r="J410" s="99">
        <v>4709065</v>
      </c>
      <c r="K410" s="99">
        <v>100100212</v>
      </c>
      <c r="L410" s="99">
        <v>180738597</v>
      </c>
      <c r="M410" s="99">
        <v>20828737</v>
      </c>
      <c r="N410" s="99">
        <v>5176325396</v>
      </c>
      <c r="O410" s="99">
        <v>764340</v>
      </c>
      <c r="P410" s="99">
        <v>379402080</v>
      </c>
      <c r="Q410" s="99">
        <v>24931892</v>
      </c>
      <c r="R410" s="99">
        <v>908645982</v>
      </c>
      <c r="S410" s="99">
        <v>4772793286</v>
      </c>
      <c r="T410" s="99">
        <v>0</v>
      </c>
      <c r="U410" s="99">
        <v>22739991</v>
      </c>
      <c r="V410" s="99">
        <v>162365072</v>
      </c>
      <c r="W410" s="99">
        <v>49384894</v>
      </c>
      <c r="X410" s="99">
        <v>16519407</v>
      </c>
      <c r="Y410" s="99">
        <v>7322121</v>
      </c>
      <c r="Z410" s="99">
        <v>286405035</v>
      </c>
      <c r="AA410" s="99">
        <v>0</v>
      </c>
      <c r="AB410" s="99">
        <v>0</v>
      </c>
      <c r="AC410" s="99">
        <v>45457802</v>
      </c>
      <c r="AD410" s="99">
        <v>319695102</v>
      </c>
      <c r="AE410" s="99">
        <v>86041815</v>
      </c>
      <c r="AF410" s="99">
        <v>22559337</v>
      </c>
      <c r="AG410" s="99">
        <v>6111973</v>
      </c>
      <c r="AH410" s="99">
        <v>1584557</v>
      </c>
      <c r="AI410" s="99">
        <v>331807379</v>
      </c>
      <c r="AJ410" s="99">
        <v>246150438</v>
      </c>
      <c r="AK410" s="99">
        <v>97422688</v>
      </c>
      <c r="AL410" s="99">
        <v>0</v>
      </c>
      <c r="AM410" s="99">
        <v>0</v>
      </c>
      <c r="AN410" s="99">
        <v>4029694</v>
      </c>
      <c r="AO410" s="99">
        <v>203320636</v>
      </c>
      <c r="AP410" s="99">
        <v>77594000</v>
      </c>
      <c r="AQ410" s="99">
        <v>217997629</v>
      </c>
      <c r="AR410" s="99">
        <v>6707985</v>
      </c>
      <c r="AS410" s="99">
        <v>99505708</v>
      </c>
      <c r="AT410" s="99">
        <v>70817580</v>
      </c>
      <c r="AU410" s="99">
        <v>88771347</v>
      </c>
      <c r="AV410" s="99">
        <v>80659762</v>
      </c>
      <c r="AW410" s="99">
        <v>0</v>
      </c>
      <c r="AX410" s="99">
        <v>210494013</v>
      </c>
      <c r="AY410" s="99">
        <v>71879898</v>
      </c>
      <c r="AZ410" s="99">
        <v>318634864</v>
      </c>
      <c r="BA410" s="99">
        <v>10947411</v>
      </c>
      <c r="BB410" s="99">
        <v>5266993</v>
      </c>
      <c r="BC410" s="99">
        <v>82008606</v>
      </c>
      <c r="BD410" s="99">
        <v>75196731</v>
      </c>
      <c r="BE410" s="99">
        <v>6231961</v>
      </c>
      <c r="BF410" s="99">
        <v>26946217</v>
      </c>
      <c r="BG410" s="99">
        <v>708044518</v>
      </c>
      <c r="BH410" s="99">
        <v>42603886</v>
      </c>
      <c r="BI410" s="99">
        <v>32901358</v>
      </c>
      <c r="BJ410" s="99">
        <v>337155750</v>
      </c>
      <c r="BK410" s="99">
        <v>16893333</v>
      </c>
      <c r="BL410" s="99">
        <v>36486527</v>
      </c>
      <c r="BM410" s="99">
        <v>8182618</v>
      </c>
      <c r="BN410" s="99">
        <v>30507676</v>
      </c>
      <c r="BO410" s="99">
        <v>105633237</v>
      </c>
      <c r="BP410" s="99">
        <v>40982803</v>
      </c>
      <c r="BQ410" s="99">
        <v>176630175</v>
      </c>
      <c r="BR410" s="99">
        <v>2423966938</v>
      </c>
      <c r="BS410" s="99">
        <v>112932049</v>
      </c>
      <c r="BT410" s="99">
        <v>197209946</v>
      </c>
    </row>
    <row r="412" spans="1:72" x14ac:dyDescent="0.3">
      <c r="E412" s="99">
        <v>576</v>
      </c>
      <c r="F412" s="1169">
        <f>F226</f>
        <v>0</v>
      </c>
      <c r="G412" s="1169">
        <f t="shared" ref="G412:BR412" si="6">G226</f>
        <v>0</v>
      </c>
      <c r="H412" s="1169">
        <f t="shared" si="6"/>
        <v>0</v>
      </c>
      <c r="I412" s="1169">
        <f t="shared" si="6"/>
        <v>760973</v>
      </c>
      <c r="J412" s="1169">
        <f t="shared" si="6"/>
        <v>0</v>
      </c>
      <c r="K412" s="1169">
        <f t="shared" si="6"/>
        <v>0</v>
      </c>
      <c r="L412" s="1169">
        <f t="shared" si="6"/>
        <v>0</v>
      </c>
      <c r="M412" s="1169">
        <f t="shared" si="6"/>
        <v>0</v>
      </c>
      <c r="N412" s="1169">
        <f t="shared" si="6"/>
        <v>0</v>
      </c>
      <c r="O412" s="1169">
        <f t="shared" si="6"/>
        <v>0</v>
      </c>
      <c r="P412" s="1169">
        <f t="shared" si="6"/>
        <v>0</v>
      </c>
      <c r="Q412" s="1169">
        <f t="shared" si="6"/>
        <v>0</v>
      </c>
      <c r="R412" s="1169">
        <f t="shared" si="6"/>
        <v>0</v>
      </c>
      <c r="S412" s="1169">
        <f t="shared" si="6"/>
        <v>0</v>
      </c>
      <c r="T412" s="1169">
        <f t="shared" si="6"/>
        <v>0</v>
      </c>
      <c r="U412" s="1169">
        <f t="shared" si="6"/>
        <v>0</v>
      </c>
      <c r="V412" s="1169">
        <f t="shared" si="6"/>
        <v>0</v>
      </c>
      <c r="W412" s="1169">
        <f t="shared" si="6"/>
        <v>0</v>
      </c>
      <c r="X412" s="1169">
        <f t="shared" si="6"/>
        <v>0</v>
      </c>
      <c r="Y412" s="1169">
        <f t="shared" si="6"/>
        <v>0</v>
      </c>
      <c r="Z412" s="1169">
        <f t="shared" si="6"/>
        <v>0</v>
      </c>
      <c r="AA412" s="1169">
        <f t="shared" si="6"/>
        <v>0</v>
      </c>
      <c r="AB412" s="1169">
        <f t="shared" si="6"/>
        <v>0</v>
      </c>
      <c r="AC412" s="1169">
        <f t="shared" si="6"/>
        <v>0</v>
      </c>
      <c r="AD412" s="1169">
        <f t="shared" si="6"/>
        <v>0</v>
      </c>
      <c r="AE412" s="1169">
        <f t="shared" si="6"/>
        <v>0</v>
      </c>
      <c r="AF412" s="1169">
        <f t="shared" si="6"/>
        <v>0</v>
      </c>
      <c r="AG412" s="1169">
        <f t="shared" si="6"/>
        <v>0</v>
      </c>
      <c r="AH412" s="1169">
        <f t="shared" si="6"/>
        <v>0</v>
      </c>
      <c r="AI412" s="1169">
        <f t="shared" si="6"/>
        <v>0</v>
      </c>
      <c r="AJ412" s="1169">
        <f t="shared" si="6"/>
        <v>0</v>
      </c>
      <c r="AK412" s="1169">
        <f t="shared" si="6"/>
        <v>0</v>
      </c>
      <c r="AL412" s="1169">
        <f t="shared" si="6"/>
        <v>0</v>
      </c>
      <c r="AM412" s="1169">
        <f t="shared" si="6"/>
        <v>0</v>
      </c>
      <c r="AN412" s="1169">
        <f t="shared" si="6"/>
        <v>0</v>
      </c>
      <c r="AO412" s="1169">
        <f t="shared" si="6"/>
        <v>0</v>
      </c>
      <c r="AP412" s="1169">
        <f t="shared" si="6"/>
        <v>0</v>
      </c>
      <c r="AQ412" s="1169">
        <f t="shared" si="6"/>
        <v>0</v>
      </c>
      <c r="AR412" s="1169">
        <f t="shared" si="6"/>
        <v>0</v>
      </c>
      <c r="AS412" s="1169">
        <f t="shared" si="6"/>
        <v>0</v>
      </c>
      <c r="AT412" s="1169">
        <f t="shared" si="6"/>
        <v>0</v>
      </c>
      <c r="AU412" s="1169">
        <f t="shared" si="6"/>
        <v>0</v>
      </c>
      <c r="AV412" s="1169">
        <f t="shared" si="6"/>
        <v>0</v>
      </c>
      <c r="AW412" s="1169">
        <f t="shared" si="6"/>
        <v>0</v>
      </c>
      <c r="AX412" s="1169">
        <f t="shared" si="6"/>
        <v>0</v>
      </c>
      <c r="AY412" s="1169">
        <f t="shared" si="6"/>
        <v>0</v>
      </c>
      <c r="AZ412" s="1169">
        <f t="shared" si="6"/>
        <v>0</v>
      </c>
      <c r="BA412" s="1169">
        <f t="shared" si="6"/>
        <v>0</v>
      </c>
      <c r="BB412" s="1169">
        <f t="shared" si="6"/>
        <v>0</v>
      </c>
      <c r="BC412" s="1169">
        <f t="shared" si="6"/>
        <v>0</v>
      </c>
      <c r="BD412" s="1169">
        <f t="shared" si="6"/>
        <v>0</v>
      </c>
      <c r="BE412" s="1169">
        <f t="shared" si="6"/>
        <v>0</v>
      </c>
      <c r="BF412" s="1169">
        <f t="shared" si="6"/>
        <v>0</v>
      </c>
      <c r="BG412" s="1169">
        <f t="shared" si="6"/>
        <v>60542</v>
      </c>
      <c r="BH412" s="1169">
        <f t="shared" si="6"/>
        <v>0</v>
      </c>
      <c r="BI412" s="1169">
        <f t="shared" si="6"/>
        <v>0</v>
      </c>
      <c r="BJ412" s="1169">
        <f t="shared" si="6"/>
        <v>0</v>
      </c>
      <c r="BK412" s="1169">
        <f t="shared" si="6"/>
        <v>0</v>
      </c>
      <c r="BL412" s="1169">
        <f t="shared" si="6"/>
        <v>0</v>
      </c>
      <c r="BM412" s="1169">
        <f t="shared" si="6"/>
        <v>0</v>
      </c>
      <c r="BN412" s="1169">
        <f t="shared" si="6"/>
        <v>0</v>
      </c>
      <c r="BO412" s="1169">
        <f t="shared" si="6"/>
        <v>0</v>
      </c>
      <c r="BP412" s="1169">
        <f t="shared" si="6"/>
        <v>0</v>
      </c>
      <c r="BQ412" s="1169">
        <f t="shared" si="6"/>
        <v>0</v>
      </c>
      <c r="BR412" s="1169">
        <f t="shared" si="6"/>
        <v>0</v>
      </c>
      <c r="BS412" s="1169">
        <f t="shared" ref="BS412:BT412" si="7">BS226</f>
        <v>0</v>
      </c>
      <c r="BT412" s="1169">
        <f t="shared" si="7"/>
        <v>0</v>
      </c>
    </row>
    <row r="413" spans="1:72" x14ac:dyDescent="0.3">
      <c r="E413" s="99">
        <v>576</v>
      </c>
      <c r="F413" s="1169">
        <f>F226</f>
        <v>0</v>
      </c>
      <c r="G413" s="1169">
        <f t="shared" ref="G413:BR413" si="8">G226</f>
        <v>0</v>
      </c>
      <c r="H413" s="1169">
        <f t="shared" si="8"/>
        <v>0</v>
      </c>
      <c r="I413" s="1169">
        <f t="shared" si="8"/>
        <v>760973</v>
      </c>
      <c r="J413" s="1169">
        <f t="shared" si="8"/>
        <v>0</v>
      </c>
      <c r="K413" s="1169">
        <f t="shared" si="8"/>
        <v>0</v>
      </c>
      <c r="L413" s="1169">
        <f t="shared" si="8"/>
        <v>0</v>
      </c>
      <c r="M413" s="1169">
        <f t="shared" si="8"/>
        <v>0</v>
      </c>
      <c r="N413" s="1169">
        <f t="shared" si="8"/>
        <v>0</v>
      </c>
      <c r="O413" s="1169">
        <f t="shared" si="8"/>
        <v>0</v>
      </c>
      <c r="P413" s="1169">
        <f t="shared" si="8"/>
        <v>0</v>
      </c>
      <c r="Q413" s="1169">
        <f t="shared" si="8"/>
        <v>0</v>
      </c>
      <c r="R413" s="1169">
        <f t="shared" si="8"/>
        <v>0</v>
      </c>
      <c r="S413" s="1169">
        <f t="shared" si="8"/>
        <v>0</v>
      </c>
      <c r="T413" s="1169">
        <f t="shared" si="8"/>
        <v>0</v>
      </c>
      <c r="U413" s="1169">
        <f t="shared" si="8"/>
        <v>0</v>
      </c>
      <c r="V413" s="1169">
        <f t="shared" si="8"/>
        <v>0</v>
      </c>
      <c r="W413" s="1169">
        <f t="shared" si="8"/>
        <v>0</v>
      </c>
      <c r="X413" s="1169">
        <f t="shared" si="8"/>
        <v>0</v>
      </c>
      <c r="Y413" s="1169">
        <f t="shared" si="8"/>
        <v>0</v>
      </c>
      <c r="Z413" s="1169">
        <f t="shared" si="8"/>
        <v>0</v>
      </c>
      <c r="AA413" s="1169">
        <f t="shared" si="8"/>
        <v>0</v>
      </c>
      <c r="AB413" s="1169">
        <f t="shared" si="8"/>
        <v>0</v>
      </c>
      <c r="AC413" s="1169">
        <f t="shared" si="8"/>
        <v>0</v>
      </c>
      <c r="AD413" s="1169">
        <f t="shared" si="8"/>
        <v>0</v>
      </c>
      <c r="AE413" s="1169">
        <f t="shared" si="8"/>
        <v>0</v>
      </c>
      <c r="AF413" s="1169">
        <f t="shared" si="8"/>
        <v>0</v>
      </c>
      <c r="AG413" s="1169">
        <f t="shared" si="8"/>
        <v>0</v>
      </c>
      <c r="AH413" s="1169">
        <f t="shared" si="8"/>
        <v>0</v>
      </c>
      <c r="AI413" s="1169">
        <f t="shared" si="8"/>
        <v>0</v>
      </c>
      <c r="AJ413" s="1169">
        <f t="shared" si="8"/>
        <v>0</v>
      </c>
      <c r="AK413" s="1169">
        <f t="shared" si="8"/>
        <v>0</v>
      </c>
      <c r="AL413" s="1169">
        <f t="shared" si="8"/>
        <v>0</v>
      </c>
      <c r="AM413" s="1169">
        <f t="shared" si="8"/>
        <v>0</v>
      </c>
      <c r="AN413" s="1169">
        <f t="shared" si="8"/>
        <v>0</v>
      </c>
      <c r="AO413" s="1169">
        <f t="shared" si="8"/>
        <v>0</v>
      </c>
      <c r="AP413" s="1169">
        <f t="shared" si="8"/>
        <v>0</v>
      </c>
      <c r="AQ413" s="1169">
        <f t="shared" si="8"/>
        <v>0</v>
      </c>
      <c r="AR413" s="1169">
        <f t="shared" si="8"/>
        <v>0</v>
      </c>
      <c r="AS413" s="1169">
        <f t="shared" si="8"/>
        <v>0</v>
      </c>
      <c r="AT413" s="1169">
        <f t="shared" si="8"/>
        <v>0</v>
      </c>
      <c r="AU413" s="1169">
        <f t="shared" si="8"/>
        <v>0</v>
      </c>
      <c r="AV413" s="1169">
        <f t="shared" si="8"/>
        <v>0</v>
      </c>
      <c r="AW413" s="1169">
        <f t="shared" si="8"/>
        <v>0</v>
      </c>
      <c r="AX413" s="1169">
        <f t="shared" si="8"/>
        <v>0</v>
      </c>
      <c r="AY413" s="1169">
        <f t="shared" si="8"/>
        <v>0</v>
      </c>
      <c r="AZ413" s="1169">
        <f t="shared" si="8"/>
        <v>0</v>
      </c>
      <c r="BA413" s="1169">
        <f t="shared" si="8"/>
        <v>0</v>
      </c>
      <c r="BB413" s="1169">
        <f t="shared" si="8"/>
        <v>0</v>
      </c>
      <c r="BC413" s="1169">
        <f t="shared" si="8"/>
        <v>0</v>
      </c>
      <c r="BD413" s="1169">
        <f t="shared" si="8"/>
        <v>0</v>
      </c>
      <c r="BE413" s="1169">
        <f t="shared" si="8"/>
        <v>0</v>
      </c>
      <c r="BF413" s="1169">
        <f t="shared" si="8"/>
        <v>0</v>
      </c>
      <c r="BG413" s="1169">
        <f t="shared" si="8"/>
        <v>60542</v>
      </c>
      <c r="BH413" s="1169">
        <f t="shared" si="8"/>
        <v>0</v>
      </c>
      <c r="BI413" s="1169">
        <f t="shared" si="8"/>
        <v>0</v>
      </c>
      <c r="BJ413" s="1169">
        <f t="shared" si="8"/>
        <v>0</v>
      </c>
      <c r="BK413" s="1169">
        <f t="shared" si="8"/>
        <v>0</v>
      </c>
      <c r="BL413" s="1169">
        <f t="shared" si="8"/>
        <v>0</v>
      </c>
      <c r="BM413" s="1169">
        <f t="shared" si="8"/>
        <v>0</v>
      </c>
      <c r="BN413" s="1169">
        <f t="shared" si="8"/>
        <v>0</v>
      </c>
      <c r="BO413" s="1169">
        <f t="shared" si="8"/>
        <v>0</v>
      </c>
      <c r="BP413" s="1169">
        <f t="shared" si="8"/>
        <v>0</v>
      </c>
      <c r="BQ413" s="1169">
        <f t="shared" si="8"/>
        <v>0</v>
      </c>
      <c r="BR413" s="1169">
        <f t="shared" si="8"/>
        <v>0</v>
      </c>
      <c r="BS413" s="1169">
        <f t="shared" ref="BS413:BT413" si="9">BS226</f>
        <v>0</v>
      </c>
      <c r="BT413" s="1169">
        <f t="shared" si="9"/>
        <v>0</v>
      </c>
    </row>
    <row r="415" spans="1:72" x14ac:dyDescent="0.3">
      <c r="F415" s="1169">
        <f>F410-F412-F413</f>
        <v>234007368</v>
      </c>
      <c r="G415" s="1169">
        <f t="shared" ref="G415:BR415" si="10">G410-G412-G413</f>
        <v>246010748</v>
      </c>
      <c r="H415" s="1169">
        <f t="shared" si="10"/>
        <v>45087434</v>
      </c>
      <c r="I415" s="1172">
        <f t="shared" si="10"/>
        <v>1056260808</v>
      </c>
      <c r="J415" s="1169">
        <f t="shared" si="10"/>
        <v>4709065</v>
      </c>
      <c r="K415" s="1169">
        <f t="shared" si="10"/>
        <v>100100212</v>
      </c>
      <c r="L415" s="1169">
        <f t="shared" si="10"/>
        <v>180738597</v>
      </c>
      <c r="M415" s="1169">
        <f t="shared" si="10"/>
        <v>20828737</v>
      </c>
      <c r="N415" s="1169">
        <f t="shared" si="10"/>
        <v>5176325396</v>
      </c>
      <c r="O415" s="1169">
        <f t="shared" si="10"/>
        <v>764340</v>
      </c>
      <c r="P415" s="1169">
        <f t="shared" si="10"/>
        <v>379402080</v>
      </c>
      <c r="Q415" s="1169">
        <f t="shared" si="10"/>
        <v>24931892</v>
      </c>
      <c r="R415" s="1169">
        <f t="shared" si="10"/>
        <v>908645982</v>
      </c>
      <c r="S415" s="1169">
        <f t="shared" si="10"/>
        <v>4772793286</v>
      </c>
      <c r="T415" s="1169">
        <f t="shared" si="10"/>
        <v>0</v>
      </c>
      <c r="U415" s="1169">
        <f t="shared" si="10"/>
        <v>22739991</v>
      </c>
      <c r="V415" s="1169">
        <f t="shared" si="10"/>
        <v>162365072</v>
      </c>
      <c r="W415" s="1169">
        <f t="shared" si="10"/>
        <v>49384894</v>
      </c>
      <c r="X415" s="1169">
        <f t="shared" si="10"/>
        <v>16519407</v>
      </c>
      <c r="Y415" s="1169">
        <f t="shared" si="10"/>
        <v>7322121</v>
      </c>
      <c r="Z415" s="1169">
        <f t="shared" si="10"/>
        <v>286405035</v>
      </c>
      <c r="AA415" s="1169">
        <f t="shared" si="10"/>
        <v>0</v>
      </c>
      <c r="AB415" s="1169">
        <f t="shared" si="10"/>
        <v>0</v>
      </c>
      <c r="AC415" s="1169">
        <f t="shared" si="10"/>
        <v>45457802</v>
      </c>
      <c r="AD415" s="1169">
        <f t="shared" si="10"/>
        <v>319695102</v>
      </c>
      <c r="AE415" s="1169">
        <f t="shared" si="10"/>
        <v>86041815</v>
      </c>
      <c r="AF415" s="1169">
        <f t="shared" si="10"/>
        <v>22559337</v>
      </c>
      <c r="AG415" s="1169">
        <f t="shared" si="10"/>
        <v>6111973</v>
      </c>
      <c r="AH415" s="1169">
        <f t="shared" si="10"/>
        <v>1584557</v>
      </c>
      <c r="AI415" s="1169">
        <f t="shared" si="10"/>
        <v>331807379</v>
      </c>
      <c r="AJ415" s="1169">
        <f t="shared" si="10"/>
        <v>246150438</v>
      </c>
      <c r="AK415" s="1169">
        <f t="shared" si="10"/>
        <v>97422688</v>
      </c>
      <c r="AL415" s="1169">
        <f t="shared" si="10"/>
        <v>0</v>
      </c>
      <c r="AM415" s="1169">
        <f t="shared" si="10"/>
        <v>0</v>
      </c>
      <c r="AN415" s="1169">
        <f t="shared" si="10"/>
        <v>4029694</v>
      </c>
      <c r="AO415" s="1169">
        <f t="shared" si="10"/>
        <v>203320636</v>
      </c>
      <c r="AP415" s="1169">
        <f t="shared" si="10"/>
        <v>77594000</v>
      </c>
      <c r="AQ415" s="1169">
        <f t="shared" si="10"/>
        <v>217997629</v>
      </c>
      <c r="AR415" s="1169">
        <f t="shared" si="10"/>
        <v>6707985</v>
      </c>
      <c r="AS415" s="1169">
        <f t="shared" si="10"/>
        <v>99505708</v>
      </c>
      <c r="AT415" s="1169">
        <f t="shared" si="10"/>
        <v>70817580</v>
      </c>
      <c r="AU415" s="1169">
        <f t="shared" si="10"/>
        <v>88771347</v>
      </c>
      <c r="AV415" s="1169">
        <f t="shared" si="10"/>
        <v>80659762</v>
      </c>
      <c r="AW415" s="1169">
        <f t="shared" si="10"/>
        <v>0</v>
      </c>
      <c r="AX415" s="1169">
        <f t="shared" si="10"/>
        <v>210494013</v>
      </c>
      <c r="AY415" s="1169">
        <f t="shared" si="10"/>
        <v>71879898</v>
      </c>
      <c r="AZ415" s="1169">
        <f t="shared" si="10"/>
        <v>318634864</v>
      </c>
      <c r="BA415" s="1169">
        <f t="shared" si="10"/>
        <v>10947411</v>
      </c>
      <c r="BB415" s="1169">
        <f t="shared" si="10"/>
        <v>5266993</v>
      </c>
      <c r="BC415" s="1169">
        <f t="shared" si="10"/>
        <v>82008606</v>
      </c>
      <c r="BD415" s="1169">
        <f t="shared" si="10"/>
        <v>75196731</v>
      </c>
      <c r="BE415" s="1169">
        <f t="shared" si="10"/>
        <v>6231961</v>
      </c>
      <c r="BF415" s="1169">
        <f t="shared" si="10"/>
        <v>26946217</v>
      </c>
      <c r="BG415" s="1169">
        <f t="shared" si="10"/>
        <v>707923434</v>
      </c>
      <c r="BH415" s="1169">
        <f t="shared" si="10"/>
        <v>42603886</v>
      </c>
      <c r="BI415" s="1169">
        <f t="shared" si="10"/>
        <v>32901358</v>
      </c>
      <c r="BJ415" s="1169">
        <f t="shared" si="10"/>
        <v>337155750</v>
      </c>
      <c r="BK415" s="1169">
        <f t="shared" si="10"/>
        <v>16893333</v>
      </c>
      <c r="BL415" s="1169">
        <f t="shared" si="10"/>
        <v>36486527</v>
      </c>
      <c r="BM415" s="1169">
        <f t="shared" si="10"/>
        <v>8182618</v>
      </c>
      <c r="BN415" s="1169">
        <f t="shared" si="10"/>
        <v>30507676</v>
      </c>
      <c r="BO415" s="1169">
        <f t="shared" si="10"/>
        <v>105633237</v>
      </c>
      <c r="BP415" s="1169">
        <f t="shared" si="10"/>
        <v>40982803</v>
      </c>
      <c r="BQ415" s="1169">
        <f t="shared" si="10"/>
        <v>176630175</v>
      </c>
      <c r="BR415" s="1169">
        <f t="shared" si="10"/>
        <v>2423966938</v>
      </c>
      <c r="BS415" s="1169">
        <f t="shared" ref="BS415:BT415" si="11">BS410-BS412-BS413</f>
        <v>112932049</v>
      </c>
      <c r="BT415" s="1169">
        <f t="shared" si="11"/>
        <v>197209946</v>
      </c>
    </row>
  </sheetData>
  <sheetProtection algorithmName="SHA-512" hashValue="HK3cz6bIZIISdEvygZbw8rOs6+Cm7uYWDQzEI3hwM5KB3zCB4Z5SNEsPPUDisB5MKo5ai9asKhB18ZUXazqktA==" saltValue="XZSbsREfsoHvKSPnF/OGOQ==" spinCount="100000" sheet="1" objects="1" scenarios="1"/>
  <printOptions headings="1" gridLines="1"/>
  <pageMargins left="0.25" right="0.25"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sheetPr codeName="Sheet12"/>
  <dimension ref="A1:BS305"/>
  <sheetViews>
    <sheetView zoomScale="120" zoomScaleNormal="120" workbookViewId="0">
      <selection activeCell="BO33" sqref="BO33"/>
    </sheetView>
  </sheetViews>
  <sheetFormatPr defaultColWidth="9.109375" defaultRowHeight="14.4" x14ac:dyDescent="0.3"/>
  <cols>
    <col min="1" max="1" width="9.109375" style="303"/>
    <col min="2" max="2" width="11.6640625" style="303" customWidth="1"/>
    <col min="3" max="3" width="32.5546875" style="303" customWidth="1"/>
    <col min="4" max="4" width="24.6640625" style="303" customWidth="1"/>
    <col min="5" max="6" width="16.88671875" style="303" bestFit="1" customWidth="1"/>
    <col min="7" max="7" width="15.6640625" style="303" bestFit="1" customWidth="1"/>
    <col min="8" max="8" width="16.88671875" style="303" bestFit="1" customWidth="1"/>
    <col min="9" max="9" width="14.5546875" style="303" bestFit="1" customWidth="1"/>
    <col min="10" max="10" width="15.6640625" style="303" bestFit="1" customWidth="1"/>
    <col min="11" max="11" width="16.88671875" style="303" bestFit="1" customWidth="1"/>
    <col min="12" max="12" width="15.6640625" style="303" bestFit="1" customWidth="1"/>
    <col min="13" max="13" width="18.6640625" style="303" bestFit="1" customWidth="1"/>
    <col min="14" max="14" width="12.6640625" style="303" bestFit="1" customWidth="1"/>
    <col min="15" max="15" width="16.88671875" style="303" bestFit="1" customWidth="1"/>
    <col min="16" max="16" width="15.6640625" style="303" bestFit="1" customWidth="1"/>
    <col min="17" max="17" width="16.88671875" style="303" bestFit="1" customWidth="1"/>
    <col min="18" max="18" width="18.6640625" style="303" bestFit="1" customWidth="1"/>
    <col min="19" max="19" width="20.44140625" style="303" customWidth="1"/>
    <col min="20" max="20" width="15.6640625" style="303" bestFit="1" customWidth="1"/>
    <col min="21" max="21" width="16.88671875" style="303" bestFit="1" customWidth="1"/>
    <col min="22" max="22" width="15.5546875" style="303" customWidth="1"/>
    <col min="23" max="23" width="15.6640625" style="303" bestFit="1" customWidth="1"/>
    <col min="24" max="24" width="14.5546875" style="303" bestFit="1" customWidth="1"/>
    <col min="25" max="25" width="16.88671875" style="303" bestFit="1" customWidth="1"/>
    <col min="26" max="28" width="15.6640625" style="303" bestFit="1" customWidth="1"/>
    <col min="29" max="29" width="16.88671875" style="303" bestFit="1" customWidth="1"/>
    <col min="30" max="31" width="15.6640625" style="303" bestFit="1" customWidth="1"/>
    <col min="32" max="33" width="14.5546875" style="303" bestFit="1" customWidth="1"/>
    <col min="34" max="35" width="16.88671875" style="303" bestFit="1" customWidth="1"/>
    <col min="36" max="36" width="15.6640625" style="303" bestFit="1" customWidth="1"/>
    <col min="37" max="37" width="16.88671875" style="303" bestFit="1" customWidth="1"/>
    <col min="38" max="38" width="17.44140625" style="303" customWidth="1"/>
    <col min="39" max="39" width="14.5546875" style="303" bestFit="1" customWidth="1"/>
    <col min="40" max="40" width="16.88671875" style="303" bestFit="1" customWidth="1"/>
    <col min="41" max="41" width="15.6640625" style="303" bestFit="1" customWidth="1"/>
    <col min="42" max="42" width="16.88671875" style="303" bestFit="1" customWidth="1"/>
    <col min="43" max="43" width="14.5546875" style="303" bestFit="1" customWidth="1"/>
    <col min="44" max="44" width="17.6640625" style="303" customWidth="1"/>
    <col min="45" max="47" width="15.6640625" style="303" bestFit="1" customWidth="1"/>
    <col min="48" max="48" width="16.5546875" style="303" customWidth="1"/>
    <col min="49" max="49" width="16.88671875" style="303" bestFit="1" customWidth="1"/>
    <col min="50" max="50" width="15.6640625" style="303" bestFit="1" customWidth="1"/>
    <col min="51" max="51" width="16.88671875" style="303" bestFit="1" customWidth="1"/>
    <col min="52" max="53" width="14.5546875" style="303" bestFit="1" customWidth="1"/>
    <col min="54" max="55" width="15.6640625" style="303" bestFit="1" customWidth="1"/>
    <col min="56" max="56" width="14.5546875" style="303" bestFit="1" customWidth="1"/>
    <col min="57" max="57" width="15.6640625" style="303" bestFit="1" customWidth="1"/>
    <col min="58" max="58" width="16.88671875" style="303" bestFit="1" customWidth="1"/>
    <col min="59" max="60" width="15.6640625" style="303" bestFit="1" customWidth="1"/>
    <col min="61" max="61" width="16.88671875" style="303" bestFit="1" customWidth="1"/>
    <col min="62" max="63" width="15.6640625" style="303" bestFit="1" customWidth="1"/>
    <col min="64" max="64" width="14.5546875" style="303" bestFit="1" customWidth="1"/>
    <col min="65" max="67" width="15.6640625" style="303" bestFit="1" customWidth="1"/>
    <col min="68" max="68" width="16.88671875" style="303" bestFit="1" customWidth="1"/>
    <col min="69" max="69" width="18.6640625" style="303" bestFit="1" customWidth="1"/>
    <col min="70" max="71" width="16.88671875" style="303" bestFit="1" customWidth="1"/>
    <col min="72" max="16384" width="9.109375" style="303"/>
  </cols>
  <sheetData>
    <row r="1" spans="1:71" x14ac:dyDescent="0.3">
      <c r="A1" s="275" t="s">
        <v>704</v>
      </c>
      <c r="B1" s="275" t="s">
        <v>567</v>
      </c>
      <c r="C1" s="275"/>
      <c r="D1" s="275" t="s">
        <v>567</v>
      </c>
      <c r="E1" s="275" t="s">
        <v>930</v>
      </c>
      <c r="F1" s="275" t="s">
        <v>1699</v>
      </c>
      <c r="G1" s="275" t="s">
        <v>1700</v>
      </c>
      <c r="H1" s="275" t="s">
        <v>1701</v>
      </c>
      <c r="I1" s="275" t="s">
        <v>1702</v>
      </c>
      <c r="J1" s="275" t="s">
        <v>931</v>
      </c>
      <c r="K1" s="275" t="s">
        <v>1703</v>
      </c>
      <c r="L1" s="275" t="s">
        <v>1704</v>
      </c>
      <c r="M1" s="275" t="s">
        <v>1705</v>
      </c>
      <c r="N1" s="275" t="s">
        <v>1706</v>
      </c>
      <c r="O1" s="275" t="s">
        <v>1707</v>
      </c>
      <c r="P1" s="275" t="s">
        <v>1708</v>
      </c>
      <c r="Q1" s="275" t="s">
        <v>1709</v>
      </c>
      <c r="R1" s="275" t="s">
        <v>1710</v>
      </c>
      <c r="S1" s="275" t="s">
        <v>933</v>
      </c>
      <c r="T1" s="275" t="s">
        <v>1711</v>
      </c>
      <c r="U1" s="275" t="s">
        <v>1712</v>
      </c>
      <c r="V1" s="275" t="s">
        <v>1598</v>
      </c>
      <c r="W1" s="275" t="s">
        <v>1713</v>
      </c>
      <c r="X1" s="275" t="s">
        <v>1714</v>
      </c>
      <c r="Y1" s="275" t="s">
        <v>1599</v>
      </c>
      <c r="Z1" s="275" t="s">
        <v>934</v>
      </c>
      <c r="AA1" s="275" t="s">
        <v>1600</v>
      </c>
      <c r="AB1" s="275" t="s">
        <v>1715</v>
      </c>
      <c r="AC1" s="275" t="s">
        <v>1716</v>
      </c>
      <c r="AD1" s="275" t="s">
        <v>1717</v>
      </c>
      <c r="AE1" s="275" t="s">
        <v>935</v>
      </c>
      <c r="AF1" s="275" t="s">
        <v>1718</v>
      </c>
      <c r="AG1" s="275" t="s">
        <v>1719</v>
      </c>
      <c r="AH1" s="275" t="s">
        <v>1720</v>
      </c>
      <c r="AI1" s="275" t="s">
        <v>1721</v>
      </c>
      <c r="AJ1" s="275" t="s">
        <v>936</v>
      </c>
      <c r="AK1" s="275" t="s">
        <v>1601</v>
      </c>
      <c r="AL1" s="275" t="s">
        <v>937</v>
      </c>
      <c r="AM1" s="275" t="s">
        <v>1722</v>
      </c>
      <c r="AN1" s="275" t="s">
        <v>1723</v>
      </c>
      <c r="AO1" s="275" t="s">
        <v>1724</v>
      </c>
      <c r="AP1" s="275" t="s">
        <v>1725</v>
      </c>
      <c r="AQ1" s="275" t="s">
        <v>1726</v>
      </c>
      <c r="AR1" s="275" t="s">
        <v>939</v>
      </c>
      <c r="AS1" s="275" t="s">
        <v>1727</v>
      </c>
      <c r="AT1" s="275" t="s">
        <v>1728</v>
      </c>
      <c r="AU1" s="275" t="s">
        <v>1729</v>
      </c>
      <c r="AV1" s="275" t="s">
        <v>940</v>
      </c>
      <c r="AW1" s="275" t="s">
        <v>1730</v>
      </c>
      <c r="AX1" s="275" t="s">
        <v>1731</v>
      </c>
      <c r="AY1" s="275" t="s">
        <v>1732</v>
      </c>
      <c r="AZ1" s="275" t="s">
        <v>941</v>
      </c>
      <c r="BA1" s="275" t="s">
        <v>1733</v>
      </c>
      <c r="BB1" s="275" t="s">
        <v>1734</v>
      </c>
      <c r="BC1" s="275" t="s">
        <v>1735</v>
      </c>
      <c r="BD1" s="275" t="s">
        <v>1736</v>
      </c>
      <c r="BE1" s="275" t="s">
        <v>942</v>
      </c>
      <c r="BF1" s="275" t="s">
        <v>1737</v>
      </c>
      <c r="BG1" s="275" t="s">
        <v>1738</v>
      </c>
      <c r="BH1" s="275" t="s">
        <v>1739</v>
      </c>
      <c r="BI1" s="275" t="s">
        <v>943</v>
      </c>
      <c r="BJ1" s="275" t="s">
        <v>1740</v>
      </c>
      <c r="BK1" s="275" t="s">
        <v>1741</v>
      </c>
      <c r="BL1" s="275" t="s">
        <v>1742</v>
      </c>
      <c r="BM1" s="275" t="s">
        <v>1743</v>
      </c>
      <c r="BN1" s="275" t="s">
        <v>1744</v>
      </c>
      <c r="BO1" s="275" t="s">
        <v>1602</v>
      </c>
      <c r="BP1" s="275" t="s">
        <v>1745</v>
      </c>
      <c r="BQ1" s="275" t="s">
        <v>1746</v>
      </c>
      <c r="BR1" s="275" t="s">
        <v>1747</v>
      </c>
      <c r="BS1" s="275" t="s">
        <v>1748</v>
      </c>
    </row>
    <row r="2" spans="1:71" x14ac:dyDescent="0.3">
      <c r="A2" s="275" t="s">
        <v>1749</v>
      </c>
      <c r="B2" s="275"/>
      <c r="C2" s="275"/>
      <c r="D2" s="275" t="s">
        <v>297</v>
      </c>
      <c r="E2" s="275">
        <v>50001</v>
      </c>
      <c r="F2" s="275">
        <v>50002</v>
      </c>
      <c r="G2" s="275">
        <v>50471</v>
      </c>
      <c r="H2" s="275">
        <v>50003</v>
      </c>
      <c r="I2" s="275">
        <v>50005</v>
      </c>
      <c r="J2" s="275">
        <v>50006</v>
      </c>
      <c r="K2" s="275">
        <v>50007</v>
      </c>
      <c r="L2" s="275">
        <v>50008</v>
      </c>
      <c r="M2" s="275">
        <v>50009</v>
      </c>
      <c r="N2" s="275">
        <v>50464</v>
      </c>
      <c r="O2" s="275">
        <v>50442</v>
      </c>
      <c r="P2" s="275">
        <v>50569</v>
      </c>
      <c r="Q2" s="275">
        <v>50011</v>
      </c>
      <c r="R2" s="275">
        <v>50012</v>
      </c>
      <c r="S2" s="275">
        <v>50013</v>
      </c>
      <c r="T2" s="275">
        <v>50014</v>
      </c>
      <c r="U2" s="275">
        <v>50015</v>
      </c>
      <c r="V2" s="275">
        <v>50016</v>
      </c>
      <c r="W2" s="275">
        <v>50017</v>
      </c>
      <c r="X2" s="275">
        <v>50018</v>
      </c>
      <c r="Y2" s="275">
        <v>50019</v>
      </c>
      <c r="Z2" s="275">
        <v>50504</v>
      </c>
      <c r="AA2" s="275">
        <v>50021</v>
      </c>
      <c r="AB2" s="275">
        <v>50022</v>
      </c>
      <c r="AC2" s="275">
        <v>50505</v>
      </c>
      <c r="AD2" s="275">
        <v>50023</v>
      </c>
      <c r="AE2" s="275">
        <v>50024</v>
      </c>
      <c r="AF2" s="275">
        <v>50026</v>
      </c>
      <c r="AG2" s="275">
        <v>50027</v>
      </c>
      <c r="AH2" s="275">
        <v>50028</v>
      </c>
      <c r="AI2" s="275">
        <v>50491</v>
      </c>
      <c r="AJ2" s="275">
        <v>50029</v>
      </c>
      <c r="AK2" s="275">
        <v>50031</v>
      </c>
      <c r="AL2" s="275">
        <v>50469</v>
      </c>
      <c r="AM2" s="275">
        <v>50459</v>
      </c>
      <c r="AN2" s="275">
        <v>50032</v>
      </c>
      <c r="AO2" s="275">
        <v>50556</v>
      </c>
      <c r="AP2" s="275">
        <v>50033</v>
      </c>
      <c r="AQ2" s="275">
        <v>50030</v>
      </c>
      <c r="AR2" s="275">
        <v>50034</v>
      </c>
      <c r="AS2" s="275">
        <v>50035</v>
      </c>
      <c r="AT2" s="275">
        <v>50036</v>
      </c>
      <c r="AU2" s="275">
        <v>50037</v>
      </c>
      <c r="AV2" s="275">
        <v>50038</v>
      </c>
      <c r="AW2" s="275">
        <v>50039</v>
      </c>
      <c r="AX2" s="275">
        <v>50040</v>
      </c>
      <c r="AY2" s="275">
        <v>50041</v>
      </c>
      <c r="AZ2" s="275">
        <v>50506</v>
      </c>
      <c r="BA2" s="275">
        <v>50507</v>
      </c>
      <c r="BB2" s="275">
        <v>50043</v>
      </c>
      <c r="BC2" s="275">
        <v>50042</v>
      </c>
      <c r="BD2" s="275">
        <v>50044</v>
      </c>
      <c r="BE2" s="275">
        <v>50045</v>
      </c>
      <c r="BF2" s="275">
        <v>50046</v>
      </c>
      <c r="BG2" s="275">
        <v>50047</v>
      </c>
      <c r="BH2" s="275">
        <v>50048</v>
      </c>
      <c r="BI2" s="275">
        <v>50049</v>
      </c>
      <c r="BJ2" s="275">
        <v>50050</v>
      </c>
      <c r="BK2" s="275">
        <v>50051</v>
      </c>
      <c r="BL2" s="275">
        <v>50052</v>
      </c>
      <c r="BM2" s="275">
        <v>50053</v>
      </c>
      <c r="BN2" s="275">
        <v>50054</v>
      </c>
      <c r="BO2" s="275">
        <v>50055</v>
      </c>
      <c r="BP2" s="275">
        <v>50057</v>
      </c>
      <c r="BQ2" s="275">
        <v>50058</v>
      </c>
      <c r="BR2" s="275">
        <v>50059</v>
      </c>
      <c r="BS2" s="275">
        <v>50567</v>
      </c>
    </row>
    <row r="3" spans="1:71" x14ac:dyDescent="0.3">
      <c r="A3" s="275">
        <v>4</v>
      </c>
      <c r="B3" s="275">
        <v>4</v>
      </c>
      <c r="C3" s="275" t="s">
        <v>618</v>
      </c>
      <c r="D3" s="275" t="s">
        <v>298</v>
      </c>
      <c r="E3" s="1112">
        <v>678658</v>
      </c>
      <c r="F3" s="1112">
        <v>239440</v>
      </c>
      <c r="G3" s="1112">
        <v>12774</v>
      </c>
      <c r="H3" s="1112">
        <v>1002128</v>
      </c>
      <c r="I3" s="1112">
        <v>6400</v>
      </c>
      <c r="J3" s="1112">
        <v>38473</v>
      </c>
      <c r="K3" s="1112">
        <v>205888</v>
      </c>
      <c r="L3" s="1112">
        <v>9098</v>
      </c>
      <c r="M3" s="1112">
        <v>5610622</v>
      </c>
      <c r="N3" s="275">
        <v>252</v>
      </c>
      <c r="O3" s="1112">
        <v>389607</v>
      </c>
      <c r="P3" s="1112">
        <v>25251</v>
      </c>
      <c r="Q3" s="1112">
        <v>1847552</v>
      </c>
      <c r="R3" s="1112">
        <v>7722687</v>
      </c>
      <c r="S3" s="275">
        <v>0</v>
      </c>
      <c r="T3" s="1112">
        <v>4536</v>
      </c>
      <c r="U3" s="1112">
        <v>428952</v>
      </c>
      <c r="V3" s="1112">
        <v>38060</v>
      </c>
      <c r="W3" s="1112">
        <v>4558</v>
      </c>
      <c r="X3" s="1112">
        <v>3890</v>
      </c>
      <c r="Y3" s="1112">
        <v>352915</v>
      </c>
      <c r="Z3" s="1112">
        <v>97363</v>
      </c>
      <c r="AA3" s="1112">
        <v>11861</v>
      </c>
      <c r="AB3" s="1112">
        <v>4711</v>
      </c>
      <c r="AC3" s="1112">
        <v>413637</v>
      </c>
      <c r="AD3" s="1112">
        <v>124583</v>
      </c>
      <c r="AE3" s="1112">
        <v>8348</v>
      </c>
      <c r="AF3" s="1112">
        <v>21080</v>
      </c>
      <c r="AG3" s="275">
        <v>0</v>
      </c>
      <c r="AH3" s="1112">
        <v>295310</v>
      </c>
      <c r="AI3" s="1112">
        <v>338419</v>
      </c>
      <c r="AJ3" s="1112">
        <v>103406</v>
      </c>
      <c r="AK3" s="1112">
        <v>1569776</v>
      </c>
      <c r="AL3" s="275">
        <v>0</v>
      </c>
      <c r="AM3" s="275">
        <v>523</v>
      </c>
      <c r="AN3" s="1112">
        <v>73790</v>
      </c>
      <c r="AO3" s="1112">
        <v>64695</v>
      </c>
      <c r="AP3" s="1112">
        <v>172118</v>
      </c>
      <c r="AQ3" s="1112">
        <v>1428</v>
      </c>
      <c r="AR3" s="1112">
        <v>39482</v>
      </c>
      <c r="AS3" s="1112">
        <v>285163</v>
      </c>
      <c r="AT3" s="1112">
        <v>93095</v>
      </c>
      <c r="AU3" s="1112">
        <v>39277</v>
      </c>
      <c r="AV3" s="275">
        <v>0</v>
      </c>
      <c r="AW3" s="1112">
        <v>341965</v>
      </c>
      <c r="AX3" s="1112">
        <v>97480</v>
      </c>
      <c r="AY3" s="1112">
        <v>664739</v>
      </c>
      <c r="AZ3" s="275">
        <v>648</v>
      </c>
      <c r="BA3" s="1112">
        <v>8296</v>
      </c>
      <c r="BB3" s="1112">
        <v>124249</v>
      </c>
      <c r="BC3" s="1112">
        <v>62695</v>
      </c>
      <c r="BD3" s="1112">
        <v>2507</v>
      </c>
      <c r="BE3" s="1112">
        <v>16227</v>
      </c>
      <c r="BF3" s="1112">
        <v>966644</v>
      </c>
      <c r="BG3" s="1112">
        <v>11177</v>
      </c>
      <c r="BH3" s="1112">
        <v>3858</v>
      </c>
      <c r="BI3" s="1112">
        <v>418388</v>
      </c>
      <c r="BJ3" s="1112">
        <v>25206</v>
      </c>
      <c r="BK3" s="1112">
        <v>17039</v>
      </c>
      <c r="BL3" s="1112">
        <v>3592</v>
      </c>
      <c r="BM3" s="1112">
        <v>5070</v>
      </c>
      <c r="BN3" s="1112">
        <v>111117</v>
      </c>
      <c r="BO3" s="1112">
        <v>2992</v>
      </c>
      <c r="BP3" s="1112">
        <v>212808</v>
      </c>
      <c r="BQ3" s="1112">
        <v>3517189</v>
      </c>
      <c r="BR3" s="1112">
        <v>44182</v>
      </c>
      <c r="BS3" s="1112">
        <v>103675</v>
      </c>
    </row>
    <row r="4" spans="1:71" x14ac:dyDescent="0.3">
      <c r="A4" s="275">
        <v>5</v>
      </c>
      <c r="B4" s="275">
        <v>5</v>
      </c>
      <c r="C4" s="275" t="s">
        <v>120</v>
      </c>
      <c r="D4" s="275" t="s">
        <v>299</v>
      </c>
      <c r="E4" s="275">
        <v>0</v>
      </c>
      <c r="F4" s="275">
        <v>0</v>
      </c>
      <c r="G4" s="275">
        <v>0</v>
      </c>
      <c r="H4" s="1112">
        <v>2901</v>
      </c>
      <c r="I4" s="275">
        <v>0</v>
      </c>
      <c r="J4" s="1112">
        <v>13692</v>
      </c>
      <c r="K4" s="275">
        <v>0</v>
      </c>
      <c r="L4" s="275">
        <v>0</v>
      </c>
      <c r="M4" s="1112">
        <v>13305</v>
      </c>
      <c r="N4" s="275">
        <v>0</v>
      </c>
      <c r="O4" s="1112">
        <v>32843</v>
      </c>
      <c r="P4" s="275">
        <v>842</v>
      </c>
      <c r="Q4" s="1112">
        <v>1006</v>
      </c>
      <c r="R4" s="1112">
        <v>202354</v>
      </c>
      <c r="S4" s="275">
        <v>0</v>
      </c>
      <c r="T4" s="275">
        <v>0</v>
      </c>
      <c r="U4" s="275">
        <v>0</v>
      </c>
      <c r="V4" s="275">
        <v>0</v>
      </c>
      <c r="W4" s="275">
        <v>0</v>
      </c>
      <c r="X4" s="275">
        <v>0</v>
      </c>
      <c r="Y4" s="275">
        <v>0</v>
      </c>
      <c r="Z4" s="275">
        <v>0</v>
      </c>
      <c r="AA4" s="275">
        <v>0</v>
      </c>
      <c r="AB4" s="275">
        <v>603</v>
      </c>
      <c r="AC4" s="275">
        <v>0</v>
      </c>
      <c r="AD4" s="275">
        <v>0</v>
      </c>
      <c r="AE4" s="275">
        <v>0</v>
      </c>
      <c r="AF4" s="275">
        <v>0</v>
      </c>
      <c r="AG4" s="275">
        <v>0</v>
      </c>
      <c r="AH4" s="1112">
        <v>7415</v>
      </c>
      <c r="AI4" s="1112">
        <v>40318</v>
      </c>
      <c r="AJ4" s="275">
        <v>0</v>
      </c>
      <c r="AK4" s="275">
        <v>0</v>
      </c>
      <c r="AL4" s="275">
        <v>0</v>
      </c>
      <c r="AM4" s="275">
        <v>0</v>
      </c>
      <c r="AN4" s="275">
        <v>61</v>
      </c>
      <c r="AO4" s="275">
        <v>0</v>
      </c>
      <c r="AP4" s="275">
        <v>0</v>
      </c>
      <c r="AQ4" s="275">
        <v>0</v>
      </c>
      <c r="AR4" s="275">
        <v>0</v>
      </c>
      <c r="AS4" s="1112">
        <v>1582</v>
      </c>
      <c r="AT4" s="275">
        <v>0</v>
      </c>
      <c r="AU4" s="275">
        <v>0</v>
      </c>
      <c r="AV4" s="275">
        <v>0</v>
      </c>
      <c r="AW4" s="275">
        <v>0</v>
      </c>
      <c r="AX4" s="275">
        <v>964</v>
      </c>
      <c r="AY4" s="1112">
        <v>2850</v>
      </c>
      <c r="AZ4" s="275">
        <v>0</v>
      </c>
      <c r="BA4" s="275">
        <v>0</v>
      </c>
      <c r="BB4" s="275">
        <v>0</v>
      </c>
      <c r="BC4" s="275">
        <v>0</v>
      </c>
      <c r="BD4" s="275">
        <v>0</v>
      </c>
      <c r="BE4" s="275">
        <v>0</v>
      </c>
      <c r="BF4" s="275">
        <v>0</v>
      </c>
      <c r="BG4" s="275">
        <v>0</v>
      </c>
      <c r="BH4" s="275">
        <v>1</v>
      </c>
      <c r="BI4" s="275">
        <v>0</v>
      </c>
      <c r="BJ4" s="275">
        <v>0</v>
      </c>
      <c r="BK4" s="1112">
        <v>1177</v>
      </c>
      <c r="BL4" s="275">
        <v>25</v>
      </c>
      <c r="BM4" s="275">
        <v>0</v>
      </c>
      <c r="BN4" s="275">
        <v>0</v>
      </c>
      <c r="BO4" s="1112">
        <v>10500</v>
      </c>
      <c r="BP4" s="275">
        <v>0</v>
      </c>
      <c r="BQ4" s="275">
        <v>0</v>
      </c>
      <c r="BR4" s="275">
        <v>0</v>
      </c>
      <c r="BS4" s="275">
        <v>0</v>
      </c>
    </row>
    <row r="5" spans="1:71" x14ac:dyDescent="0.3">
      <c r="A5" s="275">
        <v>6</v>
      </c>
      <c r="B5" s="275">
        <v>6</v>
      </c>
      <c r="C5" s="275" t="s">
        <v>265</v>
      </c>
      <c r="D5" s="275" t="s">
        <v>300</v>
      </c>
      <c r="E5" s="275">
        <v>0</v>
      </c>
      <c r="F5" s="275">
        <v>0</v>
      </c>
      <c r="G5" s="275">
        <v>0</v>
      </c>
      <c r="H5" s="275">
        <v>0</v>
      </c>
      <c r="I5" s="275">
        <v>0</v>
      </c>
      <c r="J5" s="275">
        <v>0</v>
      </c>
      <c r="K5" s="275">
        <v>0</v>
      </c>
      <c r="L5" s="275">
        <v>0</v>
      </c>
      <c r="M5" s="1112">
        <v>3608386</v>
      </c>
      <c r="N5" s="275">
        <v>0</v>
      </c>
      <c r="O5" s="1112">
        <v>119469</v>
      </c>
      <c r="P5" s="275">
        <v>0</v>
      </c>
      <c r="Q5" s="275">
        <v>0</v>
      </c>
      <c r="R5" s="1112">
        <v>2314326</v>
      </c>
      <c r="S5" s="275">
        <v>0</v>
      </c>
      <c r="T5" s="275">
        <v>0</v>
      </c>
      <c r="U5" s="275">
        <v>0</v>
      </c>
      <c r="V5" s="275">
        <v>0</v>
      </c>
      <c r="W5" s="275">
        <v>0</v>
      </c>
      <c r="X5" s="275">
        <v>0</v>
      </c>
      <c r="Y5" s="1112">
        <v>56226</v>
      </c>
      <c r="Z5" s="275">
        <v>0</v>
      </c>
      <c r="AA5" s="275">
        <v>0</v>
      </c>
      <c r="AB5" s="275">
        <v>0</v>
      </c>
      <c r="AC5" s="1112">
        <v>10668</v>
      </c>
      <c r="AD5" s="275">
        <v>0</v>
      </c>
      <c r="AE5" s="275">
        <v>0</v>
      </c>
      <c r="AF5" s="275">
        <v>0</v>
      </c>
      <c r="AG5" s="275">
        <v>0</v>
      </c>
      <c r="AH5" s="275">
        <v>0</v>
      </c>
      <c r="AI5" s="275">
        <v>0</v>
      </c>
      <c r="AJ5" s="275">
        <v>0</v>
      </c>
      <c r="AK5" s="275">
        <v>0</v>
      </c>
      <c r="AL5" s="275">
        <v>0</v>
      </c>
      <c r="AM5" s="275">
        <v>0</v>
      </c>
      <c r="AN5" s="275">
        <v>0</v>
      </c>
      <c r="AO5" s="275">
        <v>0</v>
      </c>
      <c r="AP5" s="275">
        <v>0</v>
      </c>
      <c r="AQ5" s="275">
        <v>0</v>
      </c>
      <c r="AR5" s="275">
        <v>0</v>
      </c>
      <c r="AS5" s="275">
        <v>0</v>
      </c>
      <c r="AT5" s="1112">
        <v>4286</v>
      </c>
      <c r="AU5" s="275">
        <v>0</v>
      </c>
      <c r="AV5" s="275">
        <v>0</v>
      </c>
      <c r="AW5" s="275">
        <v>0</v>
      </c>
      <c r="AX5" s="275">
        <v>0</v>
      </c>
      <c r="AY5" s="275">
        <v>0</v>
      </c>
      <c r="AZ5" s="275">
        <v>0</v>
      </c>
      <c r="BA5" s="275">
        <v>0</v>
      </c>
      <c r="BB5" s="275">
        <v>0</v>
      </c>
      <c r="BC5" s="275">
        <v>0</v>
      </c>
      <c r="BD5" s="275">
        <v>0</v>
      </c>
      <c r="BE5" s="275">
        <v>0</v>
      </c>
      <c r="BF5" s="275">
        <v>0</v>
      </c>
      <c r="BG5" s="275">
        <v>0</v>
      </c>
      <c r="BH5" s="275">
        <v>0</v>
      </c>
      <c r="BI5" s="275">
        <v>0</v>
      </c>
      <c r="BJ5" s="275">
        <v>0</v>
      </c>
      <c r="BK5" s="275">
        <v>0</v>
      </c>
      <c r="BL5" s="275">
        <v>0</v>
      </c>
      <c r="BM5" s="275">
        <v>0</v>
      </c>
      <c r="BN5" s="275">
        <v>0</v>
      </c>
      <c r="BO5" s="275">
        <v>0</v>
      </c>
      <c r="BP5" s="275">
        <v>0</v>
      </c>
      <c r="BQ5" s="275">
        <v>0</v>
      </c>
      <c r="BR5" s="275">
        <v>0</v>
      </c>
      <c r="BS5" s="275">
        <v>0</v>
      </c>
    </row>
    <row r="6" spans="1:71" x14ac:dyDescent="0.3">
      <c r="A6" s="275">
        <v>7</v>
      </c>
      <c r="B6" s="275">
        <v>7</v>
      </c>
      <c r="C6" s="275" t="s">
        <v>202</v>
      </c>
      <c r="D6" s="275" t="s">
        <v>301</v>
      </c>
      <c r="E6" s="1112">
        <v>1629</v>
      </c>
      <c r="F6" s="275">
        <v>0</v>
      </c>
      <c r="G6" s="275">
        <v>0</v>
      </c>
      <c r="H6" s="1112">
        <v>82451</v>
      </c>
      <c r="I6" s="275">
        <v>0</v>
      </c>
      <c r="J6" s="275">
        <v>0</v>
      </c>
      <c r="K6" s="275">
        <v>0</v>
      </c>
      <c r="L6" s="275">
        <v>0</v>
      </c>
      <c r="M6" s="1112">
        <v>162915</v>
      </c>
      <c r="N6" s="275">
        <v>0</v>
      </c>
      <c r="O6" s="1112">
        <v>15824</v>
      </c>
      <c r="P6" s="275">
        <v>0</v>
      </c>
      <c r="Q6" s="1112">
        <v>845284</v>
      </c>
      <c r="R6" s="1112">
        <v>7045789</v>
      </c>
      <c r="S6" s="275">
        <v>0</v>
      </c>
      <c r="T6" s="275">
        <v>0</v>
      </c>
      <c r="U6" s="275">
        <v>0</v>
      </c>
      <c r="V6" s="275">
        <v>0</v>
      </c>
      <c r="W6" s="275">
        <v>0</v>
      </c>
      <c r="X6" s="275">
        <v>0</v>
      </c>
      <c r="Y6" s="1112">
        <v>138538</v>
      </c>
      <c r="Z6" s="275">
        <v>0</v>
      </c>
      <c r="AA6" s="275">
        <v>0</v>
      </c>
      <c r="AB6" s="275">
        <v>0</v>
      </c>
      <c r="AC6" s="1112">
        <v>26912</v>
      </c>
      <c r="AD6" s="275">
        <v>0</v>
      </c>
      <c r="AE6" s="275">
        <v>0</v>
      </c>
      <c r="AF6" s="275">
        <v>0</v>
      </c>
      <c r="AG6" s="275">
        <v>0</v>
      </c>
      <c r="AH6" s="1112">
        <v>7350</v>
      </c>
      <c r="AI6" s="1112">
        <v>36273</v>
      </c>
      <c r="AJ6" s="275">
        <v>0</v>
      </c>
      <c r="AK6" s="1112">
        <v>60795</v>
      </c>
      <c r="AL6" s="275">
        <v>0</v>
      </c>
      <c r="AM6" s="275">
        <v>0</v>
      </c>
      <c r="AN6" s="275">
        <v>0</v>
      </c>
      <c r="AO6" s="275">
        <v>0</v>
      </c>
      <c r="AP6" s="275">
        <v>0</v>
      </c>
      <c r="AQ6" s="275">
        <v>0</v>
      </c>
      <c r="AR6" s="275">
        <v>0</v>
      </c>
      <c r="AS6" s="275">
        <v>0</v>
      </c>
      <c r="AT6" s="1112">
        <v>2229</v>
      </c>
      <c r="AU6" s="275">
        <v>0</v>
      </c>
      <c r="AV6" s="275">
        <v>0</v>
      </c>
      <c r="AW6" s="1112">
        <v>66315</v>
      </c>
      <c r="AX6" s="275">
        <v>0</v>
      </c>
      <c r="AY6" s="1112">
        <v>6683</v>
      </c>
      <c r="AZ6" s="275">
        <v>0</v>
      </c>
      <c r="BA6" s="275">
        <v>0</v>
      </c>
      <c r="BB6" s="275">
        <v>0</v>
      </c>
      <c r="BC6" s="1112">
        <v>3913</v>
      </c>
      <c r="BD6" s="275">
        <v>0</v>
      </c>
      <c r="BE6" s="275">
        <v>0</v>
      </c>
      <c r="BF6" s="275">
        <v>0</v>
      </c>
      <c r="BG6" s="275">
        <v>0</v>
      </c>
      <c r="BH6" s="275">
        <v>982</v>
      </c>
      <c r="BI6" s="1112">
        <v>49557</v>
      </c>
      <c r="BJ6" s="275">
        <v>0</v>
      </c>
      <c r="BK6" s="1112">
        <v>7499</v>
      </c>
      <c r="BL6" s="1112">
        <v>3226</v>
      </c>
      <c r="BM6" s="275">
        <v>0</v>
      </c>
      <c r="BN6" s="275">
        <v>0</v>
      </c>
      <c r="BO6" s="275">
        <v>0</v>
      </c>
      <c r="BP6" s="275">
        <v>0</v>
      </c>
      <c r="BQ6" s="275">
        <v>0</v>
      </c>
      <c r="BR6" s="275">
        <v>0</v>
      </c>
      <c r="BS6" s="275">
        <v>0</v>
      </c>
    </row>
    <row r="7" spans="1:71" x14ac:dyDescent="0.3">
      <c r="A7" s="275">
        <v>9</v>
      </c>
      <c r="B7" s="275">
        <v>9</v>
      </c>
      <c r="C7" s="275" t="s">
        <v>204</v>
      </c>
      <c r="D7" s="275" t="s">
        <v>302</v>
      </c>
      <c r="E7" s="1112">
        <v>3865552</v>
      </c>
      <c r="F7" s="1112">
        <v>1583444</v>
      </c>
      <c r="G7" s="1112">
        <v>2400761</v>
      </c>
      <c r="H7" s="1112">
        <v>7244667</v>
      </c>
      <c r="I7" s="1112">
        <v>476817</v>
      </c>
      <c r="J7" s="1112">
        <v>1272446</v>
      </c>
      <c r="K7" s="1112">
        <v>4601353</v>
      </c>
      <c r="L7" s="1112">
        <v>367463</v>
      </c>
      <c r="M7" s="1112">
        <v>39833152</v>
      </c>
      <c r="N7" s="1112">
        <v>84775</v>
      </c>
      <c r="O7" s="1112">
        <v>10042029</v>
      </c>
      <c r="P7" s="1112">
        <v>1067708</v>
      </c>
      <c r="Q7" s="1112">
        <v>23073262</v>
      </c>
      <c r="R7" s="1112">
        <v>83006811</v>
      </c>
      <c r="S7" s="275" t="s">
        <v>1750</v>
      </c>
      <c r="T7" s="1112">
        <v>711247</v>
      </c>
      <c r="U7" s="1112">
        <v>4243451</v>
      </c>
      <c r="V7" s="1112">
        <v>1183964</v>
      </c>
      <c r="W7" s="1112">
        <v>396610</v>
      </c>
      <c r="X7" s="1112">
        <v>322502</v>
      </c>
      <c r="Y7" s="1112">
        <v>2382632</v>
      </c>
      <c r="Z7" s="1112">
        <v>484902</v>
      </c>
      <c r="AA7" s="1112">
        <v>927242</v>
      </c>
      <c r="AB7" s="1112">
        <v>727077</v>
      </c>
      <c r="AC7" s="1112">
        <v>7036115</v>
      </c>
      <c r="AD7" s="1112">
        <v>2240394</v>
      </c>
      <c r="AE7" s="1112">
        <v>319457</v>
      </c>
      <c r="AF7" s="1112">
        <v>214709</v>
      </c>
      <c r="AG7" s="1112">
        <v>172195</v>
      </c>
      <c r="AH7" s="1112">
        <v>4810111</v>
      </c>
      <c r="AI7" s="1112">
        <v>8221878</v>
      </c>
      <c r="AJ7" s="1112">
        <v>1318909</v>
      </c>
      <c r="AK7" s="1112">
        <v>5053720</v>
      </c>
      <c r="AL7" s="275" t="s">
        <v>1750</v>
      </c>
      <c r="AM7" s="1112">
        <v>84527</v>
      </c>
      <c r="AN7" s="1112">
        <v>2252195</v>
      </c>
      <c r="AO7" s="1112">
        <v>2706263</v>
      </c>
      <c r="AP7" s="1112">
        <v>2190416</v>
      </c>
      <c r="AQ7" s="1112">
        <v>425757</v>
      </c>
      <c r="AR7" s="1112">
        <v>1575786</v>
      </c>
      <c r="AS7" s="1112">
        <v>829040</v>
      </c>
      <c r="AT7" s="1112">
        <v>3655930</v>
      </c>
      <c r="AU7" s="1112">
        <v>2499431</v>
      </c>
      <c r="AV7" s="275" t="s">
        <v>1750</v>
      </c>
      <c r="AW7" s="1112">
        <v>4610789</v>
      </c>
      <c r="AX7" s="1112">
        <v>805232</v>
      </c>
      <c r="AY7" s="1112">
        <v>5942793</v>
      </c>
      <c r="AZ7" s="1112">
        <v>51076</v>
      </c>
      <c r="BA7" s="1112">
        <v>489463</v>
      </c>
      <c r="BB7" s="1112">
        <v>4265788</v>
      </c>
      <c r="BC7" s="1112">
        <v>1664322</v>
      </c>
      <c r="BD7" s="1112">
        <v>844205</v>
      </c>
      <c r="BE7" s="1112">
        <v>322998</v>
      </c>
      <c r="BF7" s="1112">
        <v>13033585</v>
      </c>
      <c r="BG7" s="1112">
        <v>703901</v>
      </c>
      <c r="BH7" s="1112">
        <v>303485</v>
      </c>
      <c r="BI7" s="1112">
        <v>5166410</v>
      </c>
      <c r="BJ7" s="1112">
        <v>599422</v>
      </c>
      <c r="BK7" s="1112">
        <v>1149493</v>
      </c>
      <c r="BL7" s="1112">
        <v>648793</v>
      </c>
      <c r="BM7" s="1112">
        <v>1159006</v>
      </c>
      <c r="BN7" s="1112">
        <v>2497882</v>
      </c>
      <c r="BO7" s="1112">
        <v>817004</v>
      </c>
      <c r="BP7" s="1112">
        <v>3792327</v>
      </c>
      <c r="BQ7" s="1112">
        <v>36662548</v>
      </c>
      <c r="BR7" s="1112">
        <v>1489167</v>
      </c>
      <c r="BS7" s="1112">
        <v>7989128</v>
      </c>
    </row>
    <row r="8" spans="1:71" x14ac:dyDescent="0.3">
      <c r="A8" s="275">
        <v>11</v>
      </c>
      <c r="B8" s="275">
        <v>11</v>
      </c>
      <c r="C8" s="275" t="s">
        <v>203</v>
      </c>
      <c r="D8" s="275" t="s">
        <v>303</v>
      </c>
      <c r="E8" s="1112">
        <v>541830</v>
      </c>
      <c r="F8" s="275">
        <v>0</v>
      </c>
      <c r="G8" s="1112">
        <v>19291</v>
      </c>
      <c r="H8" s="1112">
        <v>153396</v>
      </c>
      <c r="I8" s="1112">
        <v>8503</v>
      </c>
      <c r="J8" s="1112">
        <v>117420</v>
      </c>
      <c r="K8" s="1112">
        <v>226752</v>
      </c>
      <c r="L8" s="1112">
        <v>79621</v>
      </c>
      <c r="M8" s="275">
        <v>0</v>
      </c>
      <c r="N8" s="275">
        <v>0</v>
      </c>
      <c r="O8" s="1112">
        <v>626977</v>
      </c>
      <c r="P8" s="275">
        <v>0</v>
      </c>
      <c r="Q8" s="1112">
        <v>637081</v>
      </c>
      <c r="R8" s="275">
        <v>0</v>
      </c>
      <c r="S8" s="275">
        <v>0</v>
      </c>
      <c r="T8" s="1112">
        <v>8829</v>
      </c>
      <c r="U8" s="1112">
        <v>330550</v>
      </c>
      <c r="V8" s="1112">
        <v>54114</v>
      </c>
      <c r="W8" s="1112">
        <v>17913</v>
      </c>
      <c r="X8" s="275">
        <v>0</v>
      </c>
      <c r="Y8" s="1112">
        <v>327865</v>
      </c>
      <c r="Z8" s="1112">
        <v>103888</v>
      </c>
      <c r="AA8" s="1112">
        <v>2435</v>
      </c>
      <c r="AB8" s="1112">
        <v>6610</v>
      </c>
      <c r="AC8" s="275">
        <v>0</v>
      </c>
      <c r="AD8" s="275">
        <v>0</v>
      </c>
      <c r="AE8" s="275">
        <v>0</v>
      </c>
      <c r="AF8" s="1112">
        <v>22308</v>
      </c>
      <c r="AG8" s="1112">
        <v>17424</v>
      </c>
      <c r="AH8" s="1112">
        <v>36836</v>
      </c>
      <c r="AI8" s="275">
        <v>0</v>
      </c>
      <c r="AJ8" s="1112">
        <v>192173</v>
      </c>
      <c r="AK8" s="1112">
        <v>200107</v>
      </c>
      <c r="AL8" s="275">
        <v>0</v>
      </c>
      <c r="AM8" s="275">
        <v>0</v>
      </c>
      <c r="AN8" s="275">
        <v>0</v>
      </c>
      <c r="AO8" s="1112">
        <v>256281</v>
      </c>
      <c r="AP8" s="1112">
        <v>267100</v>
      </c>
      <c r="AQ8" s="1112">
        <v>71337</v>
      </c>
      <c r="AR8" s="1112">
        <v>22384</v>
      </c>
      <c r="AS8" s="275">
        <v>174</v>
      </c>
      <c r="AT8" s="275">
        <v>0</v>
      </c>
      <c r="AU8" s="1112">
        <v>89645</v>
      </c>
      <c r="AV8" s="275">
        <v>0</v>
      </c>
      <c r="AW8" s="1112">
        <v>259554</v>
      </c>
      <c r="AX8" s="1112">
        <v>2934</v>
      </c>
      <c r="AY8" s="275">
        <v>0</v>
      </c>
      <c r="AZ8" s="1112">
        <v>19473</v>
      </c>
      <c r="BA8" s="1112">
        <v>44776</v>
      </c>
      <c r="BB8" s="1112">
        <v>223198</v>
      </c>
      <c r="BC8" s="1112">
        <v>487995</v>
      </c>
      <c r="BD8" s="1112">
        <v>17332</v>
      </c>
      <c r="BE8" s="1112">
        <v>8341</v>
      </c>
      <c r="BF8" s="1112">
        <v>514786</v>
      </c>
      <c r="BG8" s="1112">
        <v>22367</v>
      </c>
      <c r="BH8" s="1112">
        <v>55228</v>
      </c>
      <c r="BI8" s="1112">
        <v>34709</v>
      </c>
      <c r="BJ8" s="1112">
        <v>36877</v>
      </c>
      <c r="BK8" s="1112">
        <v>214561</v>
      </c>
      <c r="BL8" s="1112">
        <v>5712</v>
      </c>
      <c r="BM8" s="275">
        <v>0</v>
      </c>
      <c r="BN8" s="275">
        <v>0</v>
      </c>
      <c r="BO8" s="1112">
        <v>34727</v>
      </c>
      <c r="BP8" s="1112">
        <v>58982</v>
      </c>
      <c r="BQ8" s="275">
        <v>0</v>
      </c>
      <c r="BR8" s="1112">
        <v>88572</v>
      </c>
      <c r="BS8" s="1112">
        <v>501026</v>
      </c>
    </row>
    <row r="9" spans="1:71" x14ac:dyDescent="0.3">
      <c r="A9" s="275"/>
      <c r="B9" s="275">
        <v>12</v>
      </c>
      <c r="C9" s="275" t="s">
        <v>619</v>
      </c>
      <c r="D9" s="275" t="s">
        <v>304</v>
      </c>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75"/>
      <c r="BD9" s="275"/>
      <c r="BE9" s="275"/>
      <c r="BF9" s="275"/>
      <c r="BG9" s="275"/>
      <c r="BH9" s="275"/>
      <c r="BI9" s="275"/>
      <c r="BJ9" s="275"/>
      <c r="BK9" s="275"/>
      <c r="BL9" s="275"/>
      <c r="BM9" s="275"/>
      <c r="BN9" s="275"/>
      <c r="BO9" s="275"/>
      <c r="BP9" s="275"/>
      <c r="BQ9" s="275"/>
      <c r="BR9" s="275"/>
      <c r="BS9" s="275"/>
    </row>
    <row r="10" spans="1:71" x14ac:dyDescent="0.3">
      <c r="A10" s="275"/>
      <c r="B10" s="275">
        <v>13</v>
      </c>
      <c r="C10" s="275" t="s">
        <v>620</v>
      </c>
      <c r="D10" s="275" t="s">
        <v>305</v>
      </c>
      <c r="E10" s="275"/>
      <c r="F10" s="275"/>
      <c r="G10" s="275"/>
      <c r="H10" s="275"/>
      <c r="I10" s="275"/>
      <c r="J10" s="275"/>
      <c r="K10" s="275"/>
      <c r="L10" s="275"/>
      <c r="M10" s="275"/>
      <c r="N10" s="275"/>
      <c r="O10" s="275"/>
      <c r="P10" s="275"/>
      <c r="Q10" s="275"/>
      <c r="R10" s="275"/>
      <c r="S10" s="275"/>
      <c r="T10" s="275"/>
      <c r="U10" s="275"/>
      <c r="V10" s="275"/>
      <c r="W10" s="275"/>
      <c r="X10" s="275"/>
      <c r="Y10" s="275"/>
      <c r="Z10" s="275"/>
      <c r="AA10" s="275"/>
      <c r="AB10" s="275"/>
      <c r="AC10" s="275"/>
      <c r="AD10" s="275"/>
      <c r="AE10" s="275"/>
      <c r="AF10" s="275"/>
      <c r="AG10" s="275"/>
      <c r="AH10" s="275"/>
      <c r="AI10" s="275"/>
      <c r="AJ10" s="275"/>
      <c r="AK10" s="275"/>
      <c r="AL10" s="275"/>
      <c r="AM10" s="275"/>
      <c r="AN10" s="275"/>
      <c r="AO10" s="275"/>
      <c r="AP10" s="275"/>
      <c r="AQ10" s="275"/>
      <c r="AR10" s="275"/>
      <c r="AS10" s="275"/>
      <c r="AT10" s="275"/>
      <c r="AU10" s="275"/>
      <c r="AV10" s="275"/>
      <c r="AW10" s="275"/>
      <c r="AX10" s="275"/>
      <c r="AY10" s="275"/>
      <c r="AZ10" s="275"/>
      <c r="BA10" s="275"/>
      <c r="BB10" s="275"/>
      <c r="BC10" s="275"/>
      <c r="BD10" s="275"/>
      <c r="BE10" s="275"/>
      <c r="BF10" s="275"/>
      <c r="BG10" s="275"/>
      <c r="BH10" s="275"/>
      <c r="BI10" s="275"/>
      <c r="BJ10" s="275"/>
      <c r="BK10" s="275"/>
      <c r="BL10" s="275"/>
      <c r="BM10" s="275"/>
      <c r="BN10" s="275"/>
      <c r="BO10" s="275"/>
      <c r="BP10" s="275"/>
      <c r="BQ10" s="275"/>
      <c r="BR10" s="275"/>
      <c r="BS10" s="275"/>
    </row>
    <row r="11" spans="1:71" x14ac:dyDescent="0.3">
      <c r="A11" s="275"/>
      <c r="B11" s="275">
        <v>14</v>
      </c>
      <c r="C11" s="275" t="s">
        <v>306</v>
      </c>
      <c r="D11" s="275" t="s">
        <v>307</v>
      </c>
      <c r="E11" s="275"/>
      <c r="F11" s="275"/>
      <c r="G11" s="275"/>
      <c r="H11" s="275"/>
      <c r="I11" s="275"/>
      <c r="J11" s="275"/>
      <c r="K11" s="275"/>
      <c r="L11" s="275"/>
      <c r="M11" s="275"/>
      <c r="N11" s="275"/>
      <c r="O11" s="275"/>
      <c r="P11" s="275"/>
      <c r="Q11" s="275"/>
      <c r="R11" s="275"/>
      <c r="S11" s="275"/>
      <c r="T11" s="275"/>
      <c r="U11" s="275"/>
      <c r="V11" s="275"/>
      <c r="W11" s="275"/>
      <c r="X11" s="275"/>
      <c r="Y11" s="275"/>
      <c r="Z11" s="275"/>
      <c r="AA11" s="275"/>
      <c r="AB11" s="275"/>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5"/>
      <c r="BG11" s="275"/>
      <c r="BH11" s="275"/>
      <c r="BI11" s="275"/>
      <c r="BJ11" s="275"/>
      <c r="BK11" s="275"/>
      <c r="BL11" s="275"/>
      <c r="BM11" s="275"/>
      <c r="BN11" s="275"/>
      <c r="BO11" s="275"/>
      <c r="BP11" s="275"/>
      <c r="BQ11" s="275"/>
      <c r="BR11" s="275"/>
      <c r="BS11" s="275"/>
    </row>
    <row r="12" spans="1:71" x14ac:dyDescent="0.3">
      <c r="A12" s="275">
        <v>16</v>
      </c>
      <c r="B12" s="275">
        <v>16</v>
      </c>
      <c r="C12" s="275" t="s">
        <v>206</v>
      </c>
      <c r="D12" s="275" t="s">
        <v>308</v>
      </c>
      <c r="E12" s="1112">
        <v>9315672</v>
      </c>
      <c r="F12" s="1112">
        <v>5630354</v>
      </c>
      <c r="G12" s="1112">
        <v>623845</v>
      </c>
      <c r="H12" s="1112">
        <v>15994329</v>
      </c>
      <c r="I12" s="1112">
        <v>134696</v>
      </c>
      <c r="J12" s="1112">
        <v>1701385</v>
      </c>
      <c r="K12" s="1112">
        <v>4053035</v>
      </c>
      <c r="L12" s="1112">
        <v>346427</v>
      </c>
      <c r="M12" s="1112">
        <v>58543509</v>
      </c>
      <c r="N12" s="1112">
        <v>22145</v>
      </c>
      <c r="O12" s="1112">
        <v>8437706</v>
      </c>
      <c r="P12" s="1112">
        <v>1273069</v>
      </c>
      <c r="Q12" s="1112">
        <v>30030771</v>
      </c>
      <c r="R12" s="1112">
        <v>128144807</v>
      </c>
      <c r="S12" s="275">
        <v>0</v>
      </c>
      <c r="T12" s="1112">
        <v>532129</v>
      </c>
      <c r="U12" s="1112">
        <v>7237485</v>
      </c>
      <c r="V12" s="1112">
        <v>715479</v>
      </c>
      <c r="W12" s="1112">
        <v>503004</v>
      </c>
      <c r="X12" s="1112">
        <v>152473</v>
      </c>
      <c r="Y12" s="1112">
        <v>4143664</v>
      </c>
      <c r="Z12" s="1112">
        <v>873078</v>
      </c>
      <c r="AA12" s="1112">
        <v>680754</v>
      </c>
      <c r="AB12" s="1112">
        <v>728913</v>
      </c>
      <c r="AC12" s="1112">
        <v>13653682</v>
      </c>
      <c r="AD12" s="1112">
        <v>2169372</v>
      </c>
      <c r="AE12" s="1112">
        <v>234380</v>
      </c>
      <c r="AF12" s="1112">
        <v>297880</v>
      </c>
      <c r="AG12" s="1112">
        <v>51116</v>
      </c>
      <c r="AH12" s="1112">
        <v>8369676</v>
      </c>
      <c r="AI12" s="1112">
        <v>6719502</v>
      </c>
      <c r="AJ12" s="1112">
        <v>1573356</v>
      </c>
      <c r="AK12" s="1112">
        <v>13027841</v>
      </c>
      <c r="AL12" s="275">
        <v>0</v>
      </c>
      <c r="AM12" s="1112">
        <v>102902</v>
      </c>
      <c r="AN12" s="1112">
        <v>4364809</v>
      </c>
      <c r="AO12" s="1112">
        <v>1977770</v>
      </c>
      <c r="AP12" s="1112">
        <v>4142409</v>
      </c>
      <c r="AQ12" s="1112">
        <v>230328</v>
      </c>
      <c r="AR12" s="1112">
        <v>1144886</v>
      </c>
      <c r="AS12" s="1112">
        <v>1185184</v>
      </c>
      <c r="AT12" s="1112">
        <v>4097960</v>
      </c>
      <c r="AU12" s="1112">
        <v>1743079</v>
      </c>
      <c r="AV12" s="275">
        <v>0</v>
      </c>
      <c r="AW12" s="1112">
        <v>8828604</v>
      </c>
      <c r="AX12" s="1112">
        <v>1580313</v>
      </c>
      <c r="AY12" s="1112">
        <v>9382294</v>
      </c>
      <c r="AZ12" s="1112">
        <v>52634</v>
      </c>
      <c r="BA12" s="1112">
        <v>245559</v>
      </c>
      <c r="BB12" s="1112">
        <v>6150333</v>
      </c>
      <c r="BC12" s="1112">
        <v>2314861</v>
      </c>
      <c r="BD12" s="1112">
        <v>91575</v>
      </c>
      <c r="BE12" s="1112">
        <v>460299</v>
      </c>
      <c r="BF12" s="1112">
        <v>14400667</v>
      </c>
      <c r="BG12" s="1112">
        <v>868468</v>
      </c>
      <c r="BH12" s="1112">
        <v>159095</v>
      </c>
      <c r="BI12" s="1112">
        <v>9289043</v>
      </c>
      <c r="BJ12" s="1112">
        <v>793017</v>
      </c>
      <c r="BK12" s="1112">
        <v>940677</v>
      </c>
      <c r="BL12" s="1112">
        <v>291669</v>
      </c>
      <c r="BM12" s="1112">
        <v>520448</v>
      </c>
      <c r="BN12" s="1112">
        <v>1919067</v>
      </c>
      <c r="BO12" s="1112">
        <v>499115</v>
      </c>
      <c r="BP12" s="1112">
        <v>3904817</v>
      </c>
      <c r="BQ12" s="1112">
        <v>58812201</v>
      </c>
      <c r="BR12" s="1112">
        <v>2006092</v>
      </c>
      <c r="BS12" s="1112">
        <v>6756118</v>
      </c>
    </row>
    <row r="13" spans="1:71" x14ac:dyDescent="0.3">
      <c r="A13" s="275">
        <v>17</v>
      </c>
      <c r="B13" s="275">
        <v>17</v>
      </c>
      <c r="C13" s="275" t="s">
        <v>209</v>
      </c>
      <c r="D13" s="275" t="s">
        <v>309</v>
      </c>
      <c r="E13" s="275">
        <v>0</v>
      </c>
      <c r="F13" s="1112">
        <v>282733</v>
      </c>
      <c r="G13" s="1112">
        <v>6883</v>
      </c>
      <c r="H13" s="1112">
        <v>1274727</v>
      </c>
      <c r="I13" s="275">
        <v>0</v>
      </c>
      <c r="J13" s="275">
        <v>0</v>
      </c>
      <c r="K13" s="275">
        <v>0</v>
      </c>
      <c r="L13" s="1112">
        <v>42064</v>
      </c>
      <c r="M13" s="1112">
        <v>2465982</v>
      </c>
      <c r="N13" s="275">
        <v>0</v>
      </c>
      <c r="O13" s="275">
        <v>0</v>
      </c>
      <c r="P13" s="1112">
        <v>202049</v>
      </c>
      <c r="Q13" s="275">
        <v>0</v>
      </c>
      <c r="R13" s="1112">
        <v>92604</v>
      </c>
      <c r="S13" s="275">
        <v>0</v>
      </c>
      <c r="T13" s="275">
        <v>0</v>
      </c>
      <c r="U13" s="1112">
        <v>240673</v>
      </c>
      <c r="V13" s="275">
        <v>0</v>
      </c>
      <c r="W13" s="275">
        <v>0</v>
      </c>
      <c r="X13" s="275">
        <v>0</v>
      </c>
      <c r="Y13" s="1112">
        <v>596154</v>
      </c>
      <c r="Z13" s="275">
        <v>0</v>
      </c>
      <c r="AA13" s="275">
        <v>0</v>
      </c>
      <c r="AB13" s="275">
        <v>0</v>
      </c>
      <c r="AC13" s="1112">
        <v>204580</v>
      </c>
      <c r="AD13" s="275">
        <v>0</v>
      </c>
      <c r="AE13" s="275">
        <v>0</v>
      </c>
      <c r="AF13" s="275">
        <v>0</v>
      </c>
      <c r="AG13" s="275">
        <v>0</v>
      </c>
      <c r="AH13" s="1112">
        <v>100326</v>
      </c>
      <c r="AI13" s="275">
        <v>0</v>
      </c>
      <c r="AJ13" s="275">
        <v>0</v>
      </c>
      <c r="AK13" s="275">
        <v>0</v>
      </c>
      <c r="AL13" s="275">
        <v>0</v>
      </c>
      <c r="AM13" s="275">
        <v>0</v>
      </c>
      <c r="AN13" s="275">
        <v>0</v>
      </c>
      <c r="AO13" s="275">
        <v>0</v>
      </c>
      <c r="AP13" s="1112">
        <v>402122</v>
      </c>
      <c r="AQ13" s="275">
        <v>0</v>
      </c>
      <c r="AR13" s="275">
        <v>0</v>
      </c>
      <c r="AS13" s="275">
        <v>0</v>
      </c>
      <c r="AT13" s="275">
        <v>0</v>
      </c>
      <c r="AU13" s="1112">
        <v>118089</v>
      </c>
      <c r="AV13" s="275">
        <v>0</v>
      </c>
      <c r="AW13" s="275">
        <v>0</v>
      </c>
      <c r="AX13" s="275">
        <v>0</v>
      </c>
      <c r="AY13" s="1112">
        <v>139120</v>
      </c>
      <c r="AZ13" s="275">
        <v>0</v>
      </c>
      <c r="BA13" s="275">
        <v>0</v>
      </c>
      <c r="BB13" s="275">
        <v>0</v>
      </c>
      <c r="BC13" s="275">
        <v>0</v>
      </c>
      <c r="BD13" s="275">
        <v>0</v>
      </c>
      <c r="BE13" s="275">
        <v>0</v>
      </c>
      <c r="BF13" s="1112">
        <v>893913</v>
      </c>
      <c r="BG13" s="275">
        <v>0</v>
      </c>
      <c r="BH13" s="1112">
        <v>13000</v>
      </c>
      <c r="BI13" s="275">
        <v>0</v>
      </c>
      <c r="BJ13" s="1112">
        <v>79443</v>
      </c>
      <c r="BK13" s="275">
        <v>0</v>
      </c>
      <c r="BL13" s="275">
        <v>0</v>
      </c>
      <c r="BM13" s="275">
        <v>0</v>
      </c>
      <c r="BN13" s="275">
        <v>0</v>
      </c>
      <c r="BO13" s="275">
        <v>0</v>
      </c>
      <c r="BP13" s="275">
        <v>0</v>
      </c>
      <c r="BQ13" s="1112">
        <v>70014</v>
      </c>
      <c r="BR13" s="275">
        <v>0</v>
      </c>
      <c r="BS13" s="1112">
        <v>55977</v>
      </c>
    </row>
    <row r="14" spans="1:71" x14ac:dyDescent="0.3">
      <c r="A14" s="275"/>
      <c r="B14" s="275">
        <v>19</v>
      </c>
      <c r="C14" s="275" t="s">
        <v>621</v>
      </c>
      <c r="D14" s="275" t="s">
        <v>310</v>
      </c>
      <c r="E14" s="275"/>
      <c r="F14" s="275"/>
      <c r="G14" s="275"/>
      <c r="H14" s="275"/>
      <c r="I14" s="275"/>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c r="AH14" s="275"/>
      <c r="AI14" s="275"/>
      <c r="AJ14" s="275"/>
      <c r="AK14" s="275"/>
      <c r="AL14" s="275"/>
      <c r="AM14" s="275"/>
      <c r="AN14" s="275"/>
      <c r="AO14" s="275"/>
      <c r="AP14" s="275"/>
      <c r="AQ14" s="275"/>
      <c r="AR14" s="275"/>
      <c r="AS14" s="275"/>
      <c r="AT14" s="275"/>
      <c r="AU14" s="275"/>
      <c r="AV14" s="275"/>
      <c r="AW14" s="275"/>
      <c r="AX14" s="275"/>
      <c r="AY14" s="275"/>
      <c r="AZ14" s="275"/>
      <c r="BA14" s="275"/>
      <c r="BB14" s="275"/>
      <c r="BC14" s="275"/>
      <c r="BD14" s="275"/>
      <c r="BE14" s="275"/>
      <c r="BF14" s="275"/>
      <c r="BG14" s="275"/>
      <c r="BH14" s="275"/>
      <c r="BI14" s="275"/>
      <c r="BJ14" s="275"/>
      <c r="BK14" s="275"/>
      <c r="BL14" s="275"/>
      <c r="BM14" s="275"/>
      <c r="BN14" s="275"/>
      <c r="BO14" s="275"/>
      <c r="BP14" s="275"/>
      <c r="BQ14" s="275"/>
      <c r="BR14" s="275"/>
      <c r="BS14" s="275"/>
    </row>
    <row r="15" spans="1:71" x14ac:dyDescent="0.3">
      <c r="A15" s="275">
        <v>20</v>
      </c>
      <c r="B15" s="275">
        <v>20</v>
      </c>
      <c r="C15" s="275" t="s">
        <v>210</v>
      </c>
      <c r="D15" s="275" t="s">
        <v>311</v>
      </c>
      <c r="E15" s="275">
        <v>0</v>
      </c>
      <c r="F15" s="275">
        <v>0</v>
      </c>
      <c r="G15" s="275">
        <v>0</v>
      </c>
      <c r="H15" s="1112">
        <v>1314632</v>
      </c>
      <c r="I15" s="275">
        <v>0</v>
      </c>
      <c r="J15" s="275">
        <v>0</v>
      </c>
      <c r="K15" s="275">
        <v>0</v>
      </c>
      <c r="L15" s="275">
        <v>0</v>
      </c>
      <c r="M15" s="1112">
        <v>2143900</v>
      </c>
      <c r="N15" s="275">
        <v>0</v>
      </c>
      <c r="O15" s="275">
        <v>0</v>
      </c>
      <c r="P15" s="1112">
        <v>527375</v>
      </c>
      <c r="Q15" s="1112">
        <v>16700</v>
      </c>
      <c r="R15" s="1112">
        <v>13072285</v>
      </c>
      <c r="S15" s="275">
        <v>0</v>
      </c>
      <c r="T15" s="275">
        <v>0</v>
      </c>
      <c r="U15" s="275">
        <v>0</v>
      </c>
      <c r="V15" s="275">
        <v>0</v>
      </c>
      <c r="W15" s="275">
        <v>0</v>
      </c>
      <c r="X15" s="275">
        <v>0</v>
      </c>
      <c r="Y15" s="1112">
        <v>96175</v>
      </c>
      <c r="Z15" s="275">
        <v>0</v>
      </c>
      <c r="AA15" s="275">
        <v>0</v>
      </c>
      <c r="AB15" s="275">
        <v>0</v>
      </c>
      <c r="AC15" s="1112">
        <v>506413</v>
      </c>
      <c r="AD15" s="1112">
        <v>200000</v>
      </c>
      <c r="AE15" s="275">
        <v>0</v>
      </c>
      <c r="AF15" s="275">
        <v>0</v>
      </c>
      <c r="AG15" s="275">
        <v>0</v>
      </c>
      <c r="AH15" s="1112">
        <v>764102</v>
      </c>
      <c r="AI15" s="1112">
        <v>150000</v>
      </c>
      <c r="AJ15" s="275">
        <v>0</v>
      </c>
      <c r="AK15" s="1112">
        <v>59500</v>
      </c>
      <c r="AL15" s="275">
        <v>0</v>
      </c>
      <c r="AM15" s="275">
        <v>0</v>
      </c>
      <c r="AN15" s="1112">
        <v>607938</v>
      </c>
      <c r="AO15" s="275">
        <v>0</v>
      </c>
      <c r="AP15" s="275">
        <v>0</v>
      </c>
      <c r="AQ15" s="275">
        <v>0</v>
      </c>
      <c r="AR15" s="275">
        <v>0</v>
      </c>
      <c r="AS15" s="275">
        <v>0</v>
      </c>
      <c r="AT15" s="1112">
        <v>799250</v>
      </c>
      <c r="AU15" s="1112">
        <v>121786</v>
      </c>
      <c r="AV15" s="275">
        <v>0</v>
      </c>
      <c r="AW15" s="1112">
        <v>205000</v>
      </c>
      <c r="AX15" s="275">
        <v>0</v>
      </c>
      <c r="AY15" s="1112">
        <v>227857</v>
      </c>
      <c r="AZ15" s="275">
        <v>0</v>
      </c>
      <c r="BA15" s="275">
        <v>0</v>
      </c>
      <c r="BB15" s="275">
        <v>0</v>
      </c>
      <c r="BC15" s="1112">
        <v>199353</v>
      </c>
      <c r="BD15" s="275">
        <v>0</v>
      </c>
      <c r="BE15" s="275">
        <v>0</v>
      </c>
      <c r="BF15" s="275">
        <v>0</v>
      </c>
      <c r="BG15" s="275">
        <v>0</v>
      </c>
      <c r="BH15" s="275">
        <v>0</v>
      </c>
      <c r="BI15" s="1112">
        <v>1394319</v>
      </c>
      <c r="BJ15" s="275">
        <v>0</v>
      </c>
      <c r="BK15" s="275">
        <v>527</v>
      </c>
      <c r="BL15" s="275">
        <v>0</v>
      </c>
      <c r="BM15" s="1112">
        <v>7036</v>
      </c>
      <c r="BN15" s="1112">
        <v>181243</v>
      </c>
      <c r="BO15" s="275">
        <v>0</v>
      </c>
      <c r="BP15" s="275">
        <v>0</v>
      </c>
      <c r="BQ15" s="1112">
        <v>6448950</v>
      </c>
      <c r="BR15" s="275">
        <v>0</v>
      </c>
      <c r="BS15" s="1112">
        <v>1206691</v>
      </c>
    </row>
    <row r="16" spans="1:71" x14ac:dyDescent="0.3">
      <c r="A16" s="275"/>
      <c r="B16" s="275">
        <v>21</v>
      </c>
      <c r="C16" s="275" t="s">
        <v>622</v>
      </c>
      <c r="D16" s="275" t="s">
        <v>312</v>
      </c>
      <c r="E16" s="275"/>
      <c r="F16" s="275"/>
      <c r="G16" s="275"/>
      <c r="H16" s="275"/>
      <c r="I16" s="275"/>
      <c r="J16" s="275"/>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5"/>
      <c r="BG16" s="275"/>
      <c r="BH16" s="275"/>
      <c r="BI16" s="275"/>
      <c r="BJ16" s="275"/>
      <c r="BK16" s="275"/>
      <c r="BL16" s="275"/>
      <c r="BM16" s="275"/>
      <c r="BN16" s="275"/>
      <c r="BO16" s="275"/>
      <c r="BP16" s="275"/>
      <c r="BQ16" s="275"/>
      <c r="BR16" s="275"/>
      <c r="BS16" s="275"/>
    </row>
    <row r="17" spans="1:71" x14ac:dyDescent="0.3">
      <c r="A17" s="275">
        <v>22</v>
      </c>
      <c r="B17" s="275">
        <v>22</v>
      </c>
      <c r="C17" s="275" t="s">
        <v>212</v>
      </c>
      <c r="D17" s="275" t="s">
        <v>313</v>
      </c>
      <c r="E17" s="1112">
        <v>9050</v>
      </c>
      <c r="F17" s="275">
        <v>0</v>
      </c>
      <c r="G17" s="275">
        <v>0</v>
      </c>
      <c r="H17" s="275">
        <v>0</v>
      </c>
      <c r="I17" s="275">
        <v>0</v>
      </c>
      <c r="J17" s="275">
        <v>0</v>
      </c>
      <c r="K17" s="1112">
        <v>138456</v>
      </c>
      <c r="L17" s="275">
        <v>0</v>
      </c>
      <c r="M17" s="1112">
        <v>-698574</v>
      </c>
      <c r="N17" s="1112">
        <v>4213</v>
      </c>
      <c r="O17" s="1112">
        <v>4240</v>
      </c>
      <c r="P17" s="275">
        <v>0</v>
      </c>
      <c r="Q17" s="1112">
        <v>53846</v>
      </c>
      <c r="R17" s="1112">
        <v>231502</v>
      </c>
      <c r="S17" s="275">
        <v>0</v>
      </c>
      <c r="T17" s="275">
        <v>0</v>
      </c>
      <c r="U17" s="1112">
        <v>182109</v>
      </c>
      <c r="V17" s="275">
        <v>0</v>
      </c>
      <c r="W17" s="275">
        <v>0</v>
      </c>
      <c r="X17" s="275">
        <v>0</v>
      </c>
      <c r="Y17" s="275">
        <v>291</v>
      </c>
      <c r="Z17" s="275">
        <v>0</v>
      </c>
      <c r="AA17" s="275">
        <v>0</v>
      </c>
      <c r="AB17" s="275">
        <v>0</v>
      </c>
      <c r="AC17" s="275">
        <v>0</v>
      </c>
      <c r="AD17" s="1112">
        <v>4143</v>
      </c>
      <c r="AE17" s="275">
        <v>0</v>
      </c>
      <c r="AF17" s="275">
        <v>0</v>
      </c>
      <c r="AG17" s="275">
        <v>0</v>
      </c>
      <c r="AH17" s="275">
        <v>0</v>
      </c>
      <c r="AI17" s="1112">
        <v>7092</v>
      </c>
      <c r="AJ17" s="1112">
        <v>240373</v>
      </c>
      <c r="AK17" s="275">
        <v>0</v>
      </c>
      <c r="AL17" s="275">
        <v>0</v>
      </c>
      <c r="AM17" s="275">
        <v>0</v>
      </c>
      <c r="AN17" s="1112">
        <v>448530</v>
      </c>
      <c r="AO17" s="275">
        <v>0</v>
      </c>
      <c r="AP17" s="275">
        <v>0</v>
      </c>
      <c r="AQ17" s="275">
        <v>0</v>
      </c>
      <c r="AR17" s="1112">
        <v>6106</v>
      </c>
      <c r="AS17" s="1112">
        <v>104826</v>
      </c>
      <c r="AT17" s="1112">
        <v>4548</v>
      </c>
      <c r="AU17" s="275">
        <v>0</v>
      </c>
      <c r="AV17" s="275">
        <v>0</v>
      </c>
      <c r="AW17" s="1112">
        <v>3463</v>
      </c>
      <c r="AX17" s="275">
        <v>0</v>
      </c>
      <c r="AY17" s="1112">
        <v>13170</v>
      </c>
      <c r="AZ17" s="275">
        <v>0</v>
      </c>
      <c r="BA17" s="275">
        <v>0</v>
      </c>
      <c r="BB17" s="275">
        <v>0</v>
      </c>
      <c r="BC17" s="275">
        <v>0</v>
      </c>
      <c r="BD17" s="275">
        <v>0</v>
      </c>
      <c r="BE17" s="275">
        <v>0</v>
      </c>
      <c r="BF17" s="275">
        <v>0</v>
      </c>
      <c r="BG17" s="275">
        <v>0</v>
      </c>
      <c r="BH17" s="275">
        <v>0</v>
      </c>
      <c r="BI17" s="275">
        <v>488</v>
      </c>
      <c r="BJ17" s="275">
        <v>0</v>
      </c>
      <c r="BK17" s="1112">
        <v>18460</v>
      </c>
      <c r="BL17" s="275">
        <v>500</v>
      </c>
      <c r="BM17" s="275">
        <v>0</v>
      </c>
      <c r="BN17" s="275">
        <v>0</v>
      </c>
      <c r="BO17" s="1112">
        <v>6935</v>
      </c>
      <c r="BP17" s="1112">
        <v>291931</v>
      </c>
      <c r="BQ17" s="275">
        <v>0</v>
      </c>
      <c r="BR17" s="275">
        <v>0</v>
      </c>
      <c r="BS17" s="1112">
        <v>55442</v>
      </c>
    </row>
    <row r="18" spans="1:71" x14ac:dyDescent="0.3">
      <c r="A18" s="275">
        <v>23</v>
      </c>
      <c r="B18" s="275">
        <v>23</v>
      </c>
      <c r="C18" s="275" t="s">
        <v>215</v>
      </c>
      <c r="D18" s="275" t="s">
        <v>314</v>
      </c>
      <c r="E18" s="1112">
        <v>770992</v>
      </c>
      <c r="F18" s="1112">
        <v>291253</v>
      </c>
      <c r="G18" s="1112">
        <v>298973</v>
      </c>
      <c r="H18" s="1112">
        <v>671871</v>
      </c>
      <c r="I18" s="1112">
        <v>1386</v>
      </c>
      <c r="J18" s="1112">
        <v>515205</v>
      </c>
      <c r="K18" s="1112">
        <v>471066</v>
      </c>
      <c r="L18" s="1112">
        <v>-55654</v>
      </c>
      <c r="M18" s="1112">
        <v>4996441</v>
      </c>
      <c r="N18" s="1112">
        <v>2354</v>
      </c>
      <c r="O18" s="1112">
        <v>-1037685</v>
      </c>
      <c r="P18" s="1112">
        <v>-161536</v>
      </c>
      <c r="Q18" s="1112">
        <v>2550857</v>
      </c>
      <c r="R18" s="1112">
        <v>5283458</v>
      </c>
      <c r="S18" s="275" t="s">
        <v>1750</v>
      </c>
      <c r="T18" s="1112">
        <v>47234</v>
      </c>
      <c r="U18" s="1112">
        <v>609902</v>
      </c>
      <c r="V18" s="1112">
        <v>84305</v>
      </c>
      <c r="W18" s="1112">
        <v>93603</v>
      </c>
      <c r="X18" s="1112">
        <v>-24401</v>
      </c>
      <c r="Y18" s="1112">
        <v>-246167</v>
      </c>
      <c r="Z18" s="1112">
        <v>-374269</v>
      </c>
      <c r="AA18" s="1112">
        <v>197203</v>
      </c>
      <c r="AB18" s="1112">
        <v>41846</v>
      </c>
      <c r="AC18" s="1112">
        <v>121981</v>
      </c>
      <c r="AD18" s="1112">
        <v>31791</v>
      </c>
      <c r="AE18" s="1112">
        <v>4643</v>
      </c>
      <c r="AF18" s="1112">
        <v>-14046</v>
      </c>
      <c r="AG18" s="1112">
        <v>10225</v>
      </c>
      <c r="AH18" s="1112">
        <v>579211</v>
      </c>
      <c r="AI18" s="1112">
        <v>270997</v>
      </c>
      <c r="AJ18" s="1112">
        <v>132364</v>
      </c>
      <c r="AK18" s="1112">
        <v>56810</v>
      </c>
      <c r="AL18" s="275" t="s">
        <v>1750</v>
      </c>
      <c r="AM18" s="1112">
        <v>21164</v>
      </c>
      <c r="AN18" s="1112">
        <v>47253</v>
      </c>
      <c r="AO18" s="1112">
        <v>180330</v>
      </c>
      <c r="AP18" s="1112">
        <v>347625</v>
      </c>
      <c r="AQ18" s="1112">
        <v>50585</v>
      </c>
      <c r="AR18" s="1112">
        <v>295463</v>
      </c>
      <c r="AS18" s="1112">
        <v>212292</v>
      </c>
      <c r="AT18" s="1112">
        <v>-419585</v>
      </c>
      <c r="AU18" s="1112">
        <v>64275</v>
      </c>
      <c r="AV18" s="275" t="s">
        <v>1750</v>
      </c>
      <c r="AW18" s="1112">
        <v>408439</v>
      </c>
      <c r="AX18" s="1112">
        <v>245208</v>
      </c>
      <c r="AY18" s="1112">
        <v>723759</v>
      </c>
      <c r="AZ18" s="1112">
        <v>1393</v>
      </c>
      <c r="BA18" s="1112">
        <v>41345</v>
      </c>
      <c r="BB18" s="1112">
        <v>1858293</v>
      </c>
      <c r="BC18" s="1112">
        <v>-313276</v>
      </c>
      <c r="BD18" s="1112">
        <v>60998</v>
      </c>
      <c r="BE18" s="275">
        <v>-925</v>
      </c>
      <c r="BF18" s="1112">
        <v>-264446</v>
      </c>
      <c r="BG18" s="1112">
        <v>124358</v>
      </c>
      <c r="BH18" s="275">
        <v>-981</v>
      </c>
      <c r="BI18" s="1112">
        <v>-290203</v>
      </c>
      <c r="BJ18" s="1112">
        <v>85472</v>
      </c>
      <c r="BK18" s="1112">
        <v>51164</v>
      </c>
      <c r="BL18" s="1112">
        <v>4521</v>
      </c>
      <c r="BM18" s="1112">
        <v>141735</v>
      </c>
      <c r="BN18" s="1112">
        <v>250666</v>
      </c>
      <c r="BO18" s="1112">
        <v>70129</v>
      </c>
      <c r="BP18" s="1112">
        <v>-91096</v>
      </c>
      <c r="BQ18" s="1112">
        <v>-6074799</v>
      </c>
      <c r="BR18" s="1112">
        <v>24243</v>
      </c>
      <c r="BS18" s="1112">
        <v>-475931</v>
      </c>
    </row>
    <row r="19" spans="1:71" x14ac:dyDescent="0.3">
      <c r="A19" s="275"/>
      <c r="B19" s="275">
        <v>31</v>
      </c>
      <c r="C19" s="275" t="s">
        <v>623</v>
      </c>
      <c r="D19" s="275" t="s">
        <v>315</v>
      </c>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275"/>
      <c r="BL19" s="275"/>
      <c r="BM19" s="275"/>
      <c r="BN19" s="275"/>
      <c r="BO19" s="275"/>
      <c r="BP19" s="275"/>
      <c r="BQ19" s="275"/>
      <c r="BR19" s="275"/>
      <c r="BS19" s="275"/>
    </row>
    <row r="20" spans="1:71" x14ac:dyDescent="0.3">
      <c r="A20" s="275"/>
      <c r="B20" s="275">
        <v>32</v>
      </c>
      <c r="C20" s="275" t="s">
        <v>316</v>
      </c>
      <c r="D20" s="275" t="s">
        <v>317</v>
      </c>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s="275"/>
      <c r="AG20" s="275"/>
      <c r="AH20" s="275"/>
      <c r="AI20" s="275"/>
      <c r="AJ20" s="275"/>
      <c r="AK20" s="275"/>
      <c r="AL20" s="275"/>
      <c r="AM20" s="275"/>
      <c r="AN20" s="275"/>
      <c r="AO20" s="275"/>
      <c r="AP20" s="275"/>
      <c r="AQ20" s="275"/>
      <c r="AR20" s="275"/>
      <c r="AS20" s="275"/>
      <c r="AT20" s="275"/>
      <c r="AU20" s="275"/>
      <c r="AV20" s="275"/>
      <c r="AW20" s="275"/>
      <c r="AX20" s="275"/>
      <c r="AY20" s="275"/>
      <c r="AZ20" s="275"/>
      <c r="BA20" s="275"/>
      <c r="BB20" s="275"/>
      <c r="BC20" s="275"/>
      <c r="BD20" s="275"/>
      <c r="BE20" s="275"/>
      <c r="BF20" s="275"/>
      <c r="BG20" s="275"/>
      <c r="BH20" s="275"/>
      <c r="BI20" s="275"/>
      <c r="BJ20" s="275"/>
      <c r="BK20" s="275"/>
      <c r="BL20" s="275"/>
      <c r="BM20" s="275"/>
      <c r="BN20" s="275"/>
      <c r="BO20" s="275"/>
      <c r="BP20" s="275"/>
      <c r="BQ20" s="275"/>
      <c r="BR20" s="275"/>
      <c r="BS20" s="275"/>
    </row>
    <row r="21" spans="1:71" x14ac:dyDescent="0.3">
      <c r="A21" s="275"/>
      <c r="B21" s="275">
        <v>33</v>
      </c>
      <c r="C21" s="275" t="s">
        <v>318</v>
      </c>
      <c r="D21" s="275" t="s">
        <v>319</v>
      </c>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s="275"/>
      <c r="AG21" s="275"/>
      <c r="AH21" s="275"/>
      <c r="AI21" s="275"/>
      <c r="AJ21" s="275"/>
      <c r="AK21" s="275"/>
      <c r="AL21" s="275"/>
      <c r="AM21" s="275"/>
      <c r="AN21" s="275"/>
      <c r="AO21" s="275"/>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c r="BM21" s="275"/>
      <c r="BN21" s="275"/>
      <c r="BO21" s="275"/>
      <c r="BP21" s="275"/>
      <c r="BQ21" s="275"/>
      <c r="BR21" s="275"/>
      <c r="BS21" s="275"/>
    </row>
    <row r="22" spans="1:71" x14ac:dyDescent="0.3">
      <c r="A22" s="275"/>
      <c r="B22" s="275">
        <v>34</v>
      </c>
      <c r="C22" s="275" t="s">
        <v>320</v>
      </c>
      <c r="D22" s="275" t="s">
        <v>321</v>
      </c>
      <c r="E22" s="275"/>
      <c r="F22" s="275"/>
      <c r="G22" s="275"/>
      <c r="H22" s="275"/>
      <c r="I22" s="275"/>
      <c r="J22" s="275"/>
      <c r="K22" s="275"/>
      <c r="L22" s="275"/>
      <c r="M22" s="275"/>
      <c r="N22" s="275"/>
      <c r="O22" s="275"/>
      <c r="P22" s="275"/>
      <c r="Q22" s="275"/>
      <c r="R22" s="275"/>
      <c r="S22" s="275"/>
      <c r="T22" s="275"/>
      <c r="U22" s="275"/>
      <c r="V22" s="275"/>
      <c r="W22" s="275"/>
      <c r="X22" s="275"/>
      <c r="Y22" s="275"/>
      <c r="Z22" s="275"/>
      <c r="AA22" s="275"/>
      <c r="AB22" s="275"/>
      <c r="AC22" s="275"/>
      <c r="AD22" s="275"/>
      <c r="AE22" s="275"/>
      <c r="AF22" s="275"/>
      <c r="AG22" s="275"/>
      <c r="AH22" s="275"/>
      <c r="AI22" s="275"/>
      <c r="AJ22" s="275"/>
      <c r="AK22" s="275"/>
      <c r="AL22" s="275"/>
      <c r="AM22" s="275"/>
      <c r="AN22" s="275"/>
      <c r="AO22" s="275"/>
      <c r="AP22" s="275"/>
      <c r="AQ22" s="275"/>
      <c r="AR22" s="275"/>
      <c r="AS22" s="275"/>
      <c r="AT22" s="275"/>
      <c r="AU22" s="275"/>
      <c r="AV22" s="275"/>
      <c r="AW22" s="275"/>
      <c r="AX22" s="275"/>
      <c r="AY22" s="275"/>
      <c r="AZ22" s="275"/>
      <c r="BA22" s="275"/>
      <c r="BB22" s="275"/>
      <c r="BC22" s="275"/>
      <c r="BD22" s="275"/>
      <c r="BE22" s="275"/>
      <c r="BF22" s="275"/>
      <c r="BG22" s="275"/>
      <c r="BH22" s="275"/>
      <c r="BI22" s="275"/>
      <c r="BJ22" s="275"/>
      <c r="BK22" s="275"/>
      <c r="BL22" s="275"/>
      <c r="BM22" s="275"/>
      <c r="BN22" s="275"/>
      <c r="BO22" s="275"/>
      <c r="BP22" s="275"/>
      <c r="BQ22" s="275"/>
      <c r="BR22" s="275"/>
      <c r="BS22" s="275"/>
    </row>
    <row r="23" spans="1:71" x14ac:dyDescent="0.3">
      <c r="A23" s="275"/>
      <c r="B23" s="275">
        <v>35</v>
      </c>
      <c r="C23" s="275" t="s">
        <v>624</v>
      </c>
      <c r="D23" s="275" t="s">
        <v>322</v>
      </c>
      <c r="E23" s="275"/>
      <c r="F23" s="275"/>
      <c r="G23" s="275"/>
      <c r="H23" s="275"/>
      <c r="I23" s="275"/>
      <c r="J23" s="275"/>
      <c r="K23" s="275"/>
      <c r="L23" s="275"/>
      <c r="M23" s="275"/>
      <c r="N23" s="275"/>
      <c r="O23" s="275"/>
      <c r="P23" s="275"/>
      <c r="Q23" s="275"/>
      <c r="R23" s="275"/>
      <c r="S23" s="275"/>
      <c r="T23" s="275"/>
      <c r="U23" s="275"/>
      <c r="V23" s="275"/>
      <c r="W23" s="275"/>
      <c r="X23" s="275"/>
      <c r="Y23" s="275"/>
      <c r="Z23" s="275"/>
      <c r="AA23" s="275"/>
      <c r="AB23" s="275"/>
      <c r="AC23" s="275"/>
      <c r="AD23" s="275"/>
      <c r="AE23" s="275"/>
      <c r="AF23" s="275"/>
      <c r="AG23" s="275"/>
      <c r="AH23" s="275"/>
      <c r="AI23" s="275"/>
      <c r="AJ23" s="275"/>
      <c r="AK23" s="275"/>
      <c r="AL23" s="275"/>
      <c r="AM23" s="275"/>
      <c r="AN23" s="275"/>
      <c r="AO23" s="275"/>
      <c r="AP23" s="275"/>
      <c r="AQ23" s="275"/>
      <c r="AR23" s="275"/>
      <c r="AS23" s="275"/>
      <c r="AT23" s="275"/>
      <c r="AU23" s="275"/>
      <c r="AV23" s="275"/>
      <c r="AW23" s="275"/>
      <c r="AX23" s="275"/>
      <c r="AY23" s="275"/>
      <c r="AZ23" s="275"/>
      <c r="BA23" s="275"/>
      <c r="BB23" s="275"/>
      <c r="BC23" s="275"/>
      <c r="BD23" s="275"/>
      <c r="BE23" s="275"/>
      <c r="BF23" s="275"/>
      <c r="BG23" s="275"/>
      <c r="BH23" s="275"/>
      <c r="BI23" s="275"/>
      <c r="BJ23" s="275"/>
      <c r="BK23" s="275"/>
      <c r="BL23" s="275"/>
      <c r="BM23" s="275"/>
      <c r="BN23" s="275"/>
      <c r="BO23" s="275"/>
      <c r="BP23" s="275"/>
      <c r="BQ23" s="275"/>
      <c r="BR23" s="275"/>
      <c r="BS23" s="275"/>
    </row>
    <row r="24" spans="1:71" x14ac:dyDescent="0.3">
      <c r="A24" s="275"/>
      <c r="B24" s="275">
        <v>36</v>
      </c>
      <c r="C24" s="275" t="s">
        <v>625</v>
      </c>
      <c r="D24" s="275" t="s">
        <v>323</v>
      </c>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275"/>
      <c r="AE24" s="275"/>
      <c r="AF24" s="275"/>
      <c r="AG24" s="275"/>
      <c r="AH24" s="275"/>
      <c r="AI24" s="275"/>
      <c r="AJ24" s="275"/>
      <c r="AK24" s="275"/>
      <c r="AL24" s="275"/>
      <c r="AM24" s="275"/>
      <c r="AN24" s="275"/>
      <c r="AO24" s="275"/>
      <c r="AP24" s="275"/>
      <c r="AQ24" s="275"/>
      <c r="AR24" s="275"/>
      <c r="AS24" s="275"/>
      <c r="AT24" s="275"/>
      <c r="AU24" s="275"/>
      <c r="AV24" s="275"/>
      <c r="AW24" s="275"/>
      <c r="AX24" s="275"/>
      <c r="AY24" s="275"/>
      <c r="AZ24" s="275"/>
      <c r="BA24" s="275"/>
      <c r="BB24" s="275"/>
      <c r="BC24" s="275"/>
      <c r="BD24" s="275"/>
      <c r="BE24" s="275"/>
      <c r="BF24" s="275"/>
      <c r="BG24" s="275"/>
      <c r="BH24" s="275"/>
      <c r="BI24" s="275"/>
      <c r="BJ24" s="275"/>
      <c r="BK24" s="275"/>
      <c r="BL24" s="275"/>
      <c r="BM24" s="275"/>
      <c r="BN24" s="275"/>
      <c r="BO24" s="275"/>
      <c r="BP24" s="275"/>
      <c r="BQ24" s="275"/>
      <c r="BR24" s="275"/>
      <c r="BS24" s="275"/>
    </row>
    <row r="25" spans="1:71" x14ac:dyDescent="0.3">
      <c r="A25" s="275"/>
      <c r="B25" s="275">
        <v>37</v>
      </c>
      <c r="C25" s="275" t="s">
        <v>324</v>
      </c>
      <c r="D25" s="275" t="s">
        <v>325</v>
      </c>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s="275"/>
      <c r="AG25" s="275"/>
      <c r="AH25" s="275"/>
      <c r="AI25" s="275"/>
      <c r="AJ25" s="275"/>
      <c r="AK25" s="275"/>
      <c r="AL25" s="275"/>
      <c r="AM25" s="275"/>
      <c r="AN25" s="275"/>
      <c r="AO25" s="275"/>
      <c r="AP25" s="275"/>
      <c r="AQ25" s="275"/>
      <c r="AR25" s="275"/>
      <c r="AS25" s="275"/>
      <c r="AT25" s="275"/>
      <c r="AU25" s="275"/>
      <c r="AV25" s="275"/>
      <c r="AW25" s="275"/>
      <c r="AX25" s="275"/>
      <c r="AY25" s="275"/>
      <c r="AZ25" s="275"/>
      <c r="BA25" s="275"/>
      <c r="BB25" s="275"/>
      <c r="BC25" s="275"/>
      <c r="BD25" s="275"/>
      <c r="BE25" s="275"/>
      <c r="BF25" s="275"/>
      <c r="BG25" s="275"/>
      <c r="BH25" s="275"/>
      <c r="BI25" s="275"/>
      <c r="BJ25" s="275"/>
      <c r="BK25" s="275"/>
      <c r="BL25" s="275"/>
      <c r="BM25" s="275"/>
      <c r="BN25" s="275"/>
      <c r="BO25" s="275"/>
      <c r="BP25" s="275"/>
      <c r="BQ25" s="275"/>
      <c r="BR25" s="275"/>
      <c r="BS25" s="275"/>
    </row>
    <row r="26" spans="1:71" x14ac:dyDescent="0.3">
      <c r="A26" s="275"/>
      <c r="B26" s="275">
        <v>38</v>
      </c>
      <c r="C26" s="275" t="s">
        <v>626</v>
      </c>
      <c r="D26" s="275" t="s">
        <v>326</v>
      </c>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75"/>
      <c r="AE26" s="275"/>
      <c r="AF26" s="275"/>
      <c r="AG26" s="275"/>
      <c r="AH26" s="275"/>
      <c r="AI26" s="275"/>
      <c r="AJ26" s="275"/>
      <c r="AK26" s="275"/>
      <c r="AL26" s="275"/>
      <c r="AM26" s="275"/>
      <c r="AN26" s="275"/>
      <c r="AO26" s="275"/>
      <c r="AP26" s="275"/>
      <c r="AQ26" s="275"/>
      <c r="AR26" s="275"/>
      <c r="AS26" s="275"/>
      <c r="AT26" s="275"/>
      <c r="AU26" s="275"/>
      <c r="AV26" s="275"/>
      <c r="AW26" s="275"/>
      <c r="AX26" s="275"/>
      <c r="AY26" s="275"/>
      <c r="AZ26" s="275"/>
      <c r="BA26" s="275"/>
      <c r="BB26" s="275"/>
      <c r="BC26" s="275"/>
      <c r="BD26" s="275"/>
      <c r="BE26" s="275"/>
      <c r="BF26" s="275"/>
      <c r="BG26" s="275"/>
      <c r="BH26" s="275"/>
      <c r="BI26" s="275"/>
      <c r="BJ26" s="275"/>
      <c r="BK26" s="275"/>
      <c r="BL26" s="275"/>
      <c r="BM26" s="275"/>
      <c r="BN26" s="275"/>
      <c r="BO26" s="275"/>
      <c r="BP26" s="275"/>
      <c r="BQ26" s="275"/>
      <c r="BR26" s="275"/>
      <c r="BS26" s="275"/>
    </row>
    <row r="27" spans="1:71" x14ac:dyDescent="0.3">
      <c r="A27" s="275"/>
      <c r="B27" s="275">
        <v>39</v>
      </c>
      <c r="C27" s="275" t="s">
        <v>327</v>
      </c>
      <c r="D27" s="275" t="s">
        <v>328</v>
      </c>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c r="BM27" s="275"/>
      <c r="BN27" s="275"/>
      <c r="BO27" s="275"/>
      <c r="BP27" s="275"/>
      <c r="BQ27" s="275"/>
      <c r="BR27" s="275"/>
      <c r="BS27" s="275"/>
    </row>
    <row r="28" spans="1:71" x14ac:dyDescent="0.3">
      <c r="A28" s="275"/>
      <c r="B28" s="275">
        <v>40</v>
      </c>
      <c r="C28" s="275" t="s">
        <v>329</v>
      </c>
      <c r="D28" s="275" t="s">
        <v>330</v>
      </c>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75"/>
      <c r="AW28" s="275"/>
      <c r="AX28" s="275"/>
      <c r="AY28" s="275"/>
      <c r="AZ28" s="275"/>
      <c r="BA28" s="275"/>
      <c r="BB28" s="275"/>
      <c r="BC28" s="275"/>
      <c r="BD28" s="275"/>
      <c r="BE28" s="275"/>
      <c r="BF28" s="275"/>
      <c r="BG28" s="275"/>
      <c r="BH28" s="275"/>
      <c r="BI28" s="275"/>
      <c r="BJ28" s="275"/>
      <c r="BK28" s="275"/>
      <c r="BL28" s="275"/>
      <c r="BM28" s="275"/>
      <c r="BN28" s="275"/>
      <c r="BO28" s="275"/>
      <c r="BP28" s="275"/>
      <c r="BQ28" s="275"/>
      <c r="BR28" s="275"/>
      <c r="BS28" s="275"/>
    </row>
    <row r="29" spans="1:71" x14ac:dyDescent="0.3">
      <c r="A29" s="275"/>
      <c r="B29" s="275">
        <v>41</v>
      </c>
      <c r="C29" s="275" t="s">
        <v>331</v>
      </c>
      <c r="D29" s="275" t="s">
        <v>332</v>
      </c>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5"/>
      <c r="BG29" s="275"/>
      <c r="BH29" s="275"/>
      <c r="BI29" s="275"/>
      <c r="BJ29" s="275"/>
      <c r="BK29" s="275"/>
      <c r="BL29" s="275"/>
      <c r="BM29" s="275"/>
      <c r="BN29" s="275"/>
      <c r="BO29" s="275"/>
      <c r="BP29" s="275"/>
      <c r="BQ29" s="275"/>
      <c r="BR29" s="275"/>
      <c r="BS29" s="275"/>
    </row>
    <row r="30" spans="1:71" x14ac:dyDescent="0.3">
      <c r="A30" s="275"/>
      <c r="B30" s="275">
        <v>43</v>
      </c>
      <c r="C30" s="275" t="s">
        <v>333</v>
      </c>
      <c r="D30" s="275" t="s">
        <v>334</v>
      </c>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5"/>
      <c r="BG30" s="275"/>
      <c r="BH30" s="275"/>
      <c r="BI30" s="275"/>
      <c r="BJ30" s="275"/>
      <c r="BK30" s="275"/>
      <c r="BL30" s="275"/>
      <c r="BM30" s="275"/>
      <c r="BN30" s="275"/>
      <c r="BO30" s="275"/>
      <c r="BP30" s="275"/>
      <c r="BQ30" s="275"/>
      <c r="BR30" s="275"/>
      <c r="BS30" s="275"/>
    </row>
    <row r="31" spans="1:71" x14ac:dyDescent="0.3">
      <c r="A31" s="275">
        <v>44</v>
      </c>
      <c r="B31" s="275">
        <v>44</v>
      </c>
      <c r="C31" s="275" t="s">
        <v>627</v>
      </c>
      <c r="D31" s="275" t="s">
        <v>335</v>
      </c>
      <c r="E31" s="1112">
        <v>2934437</v>
      </c>
      <c r="F31" s="1112">
        <v>560413</v>
      </c>
      <c r="G31" s="1112">
        <v>358144</v>
      </c>
      <c r="H31" s="1112">
        <v>5511775</v>
      </c>
      <c r="I31" s="275">
        <v>0</v>
      </c>
      <c r="J31" s="1112">
        <v>418711</v>
      </c>
      <c r="K31" s="1112">
        <v>3850823</v>
      </c>
      <c r="L31" s="1112">
        <v>170232</v>
      </c>
      <c r="M31" s="1112">
        <v>69798101</v>
      </c>
      <c r="N31" s="275">
        <v>0</v>
      </c>
      <c r="O31" s="1112">
        <v>7675768</v>
      </c>
      <c r="P31" s="275">
        <v>0</v>
      </c>
      <c r="Q31" s="1112">
        <v>15652448</v>
      </c>
      <c r="R31" s="1112">
        <v>76169502</v>
      </c>
      <c r="S31" s="275">
        <v>0</v>
      </c>
      <c r="T31" s="1112">
        <v>149600</v>
      </c>
      <c r="U31" s="1112">
        <v>1554838</v>
      </c>
      <c r="V31" s="1112">
        <v>826915</v>
      </c>
      <c r="W31" s="1112">
        <v>123617</v>
      </c>
      <c r="X31" s="1112">
        <v>46366</v>
      </c>
      <c r="Y31" s="1112">
        <v>1678859</v>
      </c>
      <c r="Z31" s="275">
        <v>0</v>
      </c>
      <c r="AA31" s="1112">
        <v>376730</v>
      </c>
      <c r="AB31" s="1112">
        <v>102354</v>
      </c>
      <c r="AC31" s="1112">
        <v>2251108</v>
      </c>
      <c r="AD31" s="1112">
        <v>1422894</v>
      </c>
      <c r="AE31" s="1112">
        <v>160630</v>
      </c>
      <c r="AF31" s="275">
        <v>0</v>
      </c>
      <c r="AG31" s="275">
        <v>0</v>
      </c>
      <c r="AH31" s="1112">
        <v>2039193</v>
      </c>
      <c r="AI31" s="1112">
        <v>1667522</v>
      </c>
      <c r="AJ31" s="1112">
        <v>176828</v>
      </c>
      <c r="AK31" s="1112">
        <v>12779487</v>
      </c>
      <c r="AL31" s="275">
        <v>0</v>
      </c>
      <c r="AM31" s="275">
        <v>0</v>
      </c>
      <c r="AN31" s="1112">
        <v>1111117</v>
      </c>
      <c r="AO31" s="1112">
        <v>1635615</v>
      </c>
      <c r="AP31" s="1112">
        <v>1559741</v>
      </c>
      <c r="AQ31" s="275">
        <v>0</v>
      </c>
      <c r="AR31" s="1112">
        <v>342034</v>
      </c>
      <c r="AS31" s="1112">
        <v>853323</v>
      </c>
      <c r="AT31" s="1112">
        <v>306543</v>
      </c>
      <c r="AU31" s="1112">
        <v>1680203</v>
      </c>
      <c r="AV31" s="275">
        <v>0</v>
      </c>
      <c r="AW31" s="1112">
        <v>1609026</v>
      </c>
      <c r="AX31" s="1112">
        <v>390743</v>
      </c>
      <c r="AY31" s="1112">
        <v>3034967</v>
      </c>
      <c r="AZ31" s="1112">
        <v>98371</v>
      </c>
      <c r="BA31" s="275">
        <v>0</v>
      </c>
      <c r="BB31" s="1112">
        <v>264764</v>
      </c>
      <c r="BC31" s="1112">
        <v>694018</v>
      </c>
      <c r="BD31" s="275">
        <v>0</v>
      </c>
      <c r="BE31" s="1112">
        <v>9127</v>
      </c>
      <c r="BF31" s="1112">
        <v>20825837</v>
      </c>
      <c r="BG31" s="1112">
        <v>739839</v>
      </c>
      <c r="BH31" s="1112">
        <v>693507</v>
      </c>
      <c r="BI31" s="1112">
        <v>1269307</v>
      </c>
      <c r="BJ31" s="1112">
        <v>155408</v>
      </c>
      <c r="BK31" s="1112">
        <v>691463</v>
      </c>
      <c r="BL31" s="275">
        <v>0</v>
      </c>
      <c r="BM31" s="1112">
        <v>170329</v>
      </c>
      <c r="BN31" s="1112">
        <v>659199</v>
      </c>
      <c r="BO31" s="1112">
        <v>1069949</v>
      </c>
      <c r="BP31" s="1112">
        <v>2733311</v>
      </c>
      <c r="BQ31" s="1112">
        <v>81329093</v>
      </c>
      <c r="BR31" s="1112">
        <v>1704885</v>
      </c>
      <c r="BS31" s="275">
        <v>0</v>
      </c>
    </row>
    <row r="32" spans="1:71" x14ac:dyDescent="0.3">
      <c r="A32" s="275">
        <v>45</v>
      </c>
      <c r="B32" s="275">
        <v>45</v>
      </c>
      <c r="C32" s="275" t="s">
        <v>628</v>
      </c>
      <c r="D32" s="275" t="s">
        <v>336</v>
      </c>
      <c r="E32" s="1112">
        <v>664488</v>
      </c>
      <c r="F32" s="1112">
        <v>417065</v>
      </c>
      <c r="G32" s="1112">
        <v>37514</v>
      </c>
      <c r="H32" s="1112">
        <v>2029812</v>
      </c>
      <c r="I32" s="275">
        <v>0</v>
      </c>
      <c r="J32" s="1112">
        <v>121470</v>
      </c>
      <c r="K32" s="1112">
        <v>503803</v>
      </c>
      <c r="L32" s="1112">
        <v>49537</v>
      </c>
      <c r="M32" s="1112">
        <v>20538902</v>
      </c>
      <c r="N32" s="275">
        <v>0</v>
      </c>
      <c r="O32" s="1112">
        <v>1079091</v>
      </c>
      <c r="P32" s="275">
        <v>0</v>
      </c>
      <c r="Q32" s="1112">
        <v>1912217</v>
      </c>
      <c r="R32" s="1112">
        <v>13910964</v>
      </c>
      <c r="S32" s="275">
        <v>0</v>
      </c>
      <c r="T32" s="1112">
        <v>14000</v>
      </c>
      <c r="U32" s="1112">
        <v>121238</v>
      </c>
      <c r="V32" s="1112">
        <v>432504</v>
      </c>
      <c r="W32" s="1112">
        <v>5745</v>
      </c>
      <c r="X32" s="1112">
        <v>13884</v>
      </c>
      <c r="Y32" s="1112">
        <v>1324511</v>
      </c>
      <c r="Z32" s="275">
        <v>0</v>
      </c>
      <c r="AA32" s="1112">
        <v>38476</v>
      </c>
      <c r="AB32" s="1112">
        <v>18278</v>
      </c>
      <c r="AC32" s="1112">
        <v>881579</v>
      </c>
      <c r="AD32" s="1112">
        <v>121872</v>
      </c>
      <c r="AE32" s="1112">
        <v>374238</v>
      </c>
      <c r="AF32" s="275">
        <v>0</v>
      </c>
      <c r="AG32" s="275">
        <v>0</v>
      </c>
      <c r="AH32" s="1112">
        <v>1345946</v>
      </c>
      <c r="AI32" s="1112">
        <v>615294</v>
      </c>
      <c r="AJ32" s="1112">
        <v>384583</v>
      </c>
      <c r="AK32" s="1112">
        <v>6267023</v>
      </c>
      <c r="AL32" s="275">
        <v>0</v>
      </c>
      <c r="AM32" s="275">
        <v>0</v>
      </c>
      <c r="AN32" s="1112">
        <v>450543</v>
      </c>
      <c r="AO32" s="275">
        <v>83</v>
      </c>
      <c r="AP32" s="1112">
        <v>921149</v>
      </c>
      <c r="AQ32" s="275">
        <v>0</v>
      </c>
      <c r="AR32" s="1112">
        <v>591951</v>
      </c>
      <c r="AS32" s="1112">
        <v>81690</v>
      </c>
      <c r="AT32" s="1112">
        <v>1424</v>
      </c>
      <c r="AU32" s="1112">
        <v>185515</v>
      </c>
      <c r="AV32" s="275">
        <v>0</v>
      </c>
      <c r="AW32" s="1112">
        <v>257682</v>
      </c>
      <c r="AX32" s="1112">
        <v>39890</v>
      </c>
      <c r="AY32" s="1112">
        <v>520920</v>
      </c>
      <c r="AZ32" s="275">
        <v>0</v>
      </c>
      <c r="BA32" s="275">
        <v>0</v>
      </c>
      <c r="BB32" s="275">
        <v>0</v>
      </c>
      <c r="BC32" s="1112">
        <v>216182</v>
      </c>
      <c r="BD32" s="275">
        <v>0</v>
      </c>
      <c r="BE32" s="1112">
        <v>11951</v>
      </c>
      <c r="BF32" s="1112">
        <v>902161</v>
      </c>
      <c r="BG32" s="1112">
        <v>123056</v>
      </c>
      <c r="BH32" s="1112">
        <v>33870</v>
      </c>
      <c r="BI32" s="1112">
        <v>1477038</v>
      </c>
      <c r="BJ32" s="1112">
        <v>76021</v>
      </c>
      <c r="BK32" s="1112">
        <v>173363</v>
      </c>
      <c r="BL32" s="275">
        <v>0</v>
      </c>
      <c r="BM32" s="275">
        <v>3</v>
      </c>
      <c r="BN32" s="1112">
        <v>199669</v>
      </c>
      <c r="BO32" s="1112">
        <v>116277</v>
      </c>
      <c r="BP32" s="1112">
        <v>169351</v>
      </c>
      <c r="BQ32" s="1112">
        <v>3584977</v>
      </c>
      <c r="BR32" s="1112">
        <v>150793</v>
      </c>
      <c r="BS32" s="275">
        <v>0</v>
      </c>
    </row>
    <row r="33" spans="1:71" x14ac:dyDescent="0.3">
      <c r="A33" s="275"/>
      <c r="B33" s="275">
        <v>46</v>
      </c>
      <c r="C33" s="275" t="s">
        <v>629</v>
      </c>
      <c r="D33" s="275" t="s">
        <v>337</v>
      </c>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5"/>
      <c r="BG33" s="275"/>
      <c r="BH33" s="275"/>
      <c r="BI33" s="275"/>
      <c r="BJ33" s="275"/>
      <c r="BK33" s="275"/>
      <c r="BL33" s="275"/>
      <c r="BM33" s="275"/>
      <c r="BN33" s="275"/>
      <c r="BO33" s="275"/>
      <c r="BP33" s="275"/>
      <c r="BQ33" s="275"/>
      <c r="BR33" s="275"/>
      <c r="BS33" s="275"/>
    </row>
    <row r="34" spans="1:71" x14ac:dyDescent="0.3">
      <c r="A34" s="275">
        <v>47</v>
      </c>
      <c r="B34" s="275">
        <v>47</v>
      </c>
      <c r="C34" s="275" t="s">
        <v>630</v>
      </c>
      <c r="D34" s="275" t="s">
        <v>338</v>
      </c>
      <c r="E34" s="275">
        <v>0</v>
      </c>
      <c r="F34" s="275">
        <v>0</v>
      </c>
      <c r="G34" s="275">
        <v>0</v>
      </c>
      <c r="H34" s="1112">
        <v>10609465</v>
      </c>
      <c r="I34" s="275">
        <v>0</v>
      </c>
      <c r="J34" s="275">
        <v>0</v>
      </c>
      <c r="K34" s="275">
        <v>0</v>
      </c>
      <c r="L34" s="275">
        <v>0</v>
      </c>
      <c r="M34" s="1112">
        <v>18293574</v>
      </c>
      <c r="N34" s="275">
        <v>0</v>
      </c>
      <c r="O34" s="275">
        <v>0</v>
      </c>
      <c r="P34" s="275">
        <v>0</v>
      </c>
      <c r="Q34" s="275">
        <v>0</v>
      </c>
      <c r="R34" s="275">
        <v>0</v>
      </c>
      <c r="S34" s="275">
        <v>0</v>
      </c>
      <c r="T34" s="275">
        <v>0</v>
      </c>
      <c r="U34" s="275">
        <v>0</v>
      </c>
      <c r="V34" s="275">
        <v>0</v>
      </c>
      <c r="W34" s="275">
        <v>0</v>
      </c>
      <c r="X34" s="275">
        <v>0</v>
      </c>
      <c r="Y34" s="1112">
        <v>7875535</v>
      </c>
      <c r="Z34" s="275">
        <v>0</v>
      </c>
      <c r="AA34" s="275">
        <v>0</v>
      </c>
      <c r="AB34" s="275">
        <v>0</v>
      </c>
      <c r="AC34" s="275">
        <v>0</v>
      </c>
      <c r="AD34" s="275">
        <v>0</v>
      </c>
      <c r="AE34" s="275">
        <v>0</v>
      </c>
      <c r="AF34" s="275">
        <v>0</v>
      </c>
      <c r="AG34" s="275">
        <v>0</v>
      </c>
      <c r="AH34" s="275">
        <v>0</v>
      </c>
      <c r="AI34" s="275">
        <v>0</v>
      </c>
      <c r="AJ34" s="1112">
        <v>825280</v>
      </c>
      <c r="AK34" s="275">
        <v>0</v>
      </c>
      <c r="AL34" s="275">
        <v>0</v>
      </c>
      <c r="AM34" s="275">
        <v>0</v>
      </c>
      <c r="AN34" s="1112">
        <v>1242388</v>
      </c>
      <c r="AO34" s="275">
        <v>0</v>
      </c>
      <c r="AP34" s="275">
        <v>0</v>
      </c>
      <c r="AQ34" s="275">
        <v>0</v>
      </c>
      <c r="AR34" s="275">
        <v>0</v>
      </c>
      <c r="AS34" s="275">
        <v>0</v>
      </c>
      <c r="AT34" s="275">
        <v>0</v>
      </c>
      <c r="AU34" s="275">
        <v>0</v>
      </c>
      <c r="AV34" s="275">
        <v>0</v>
      </c>
      <c r="AW34" s="275">
        <v>0</v>
      </c>
      <c r="AX34" s="275">
        <v>0</v>
      </c>
      <c r="AY34" s="275">
        <v>0</v>
      </c>
      <c r="AZ34" s="275">
        <v>0</v>
      </c>
      <c r="BA34" s="275">
        <v>0</v>
      </c>
      <c r="BB34" s="275">
        <v>0</v>
      </c>
      <c r="BC34" s="275">
        <v>0</v>
      </c>
      <c r="BD34" s="275">
        <v>0</v>
      </c>
      <c r="BE34" s="275">
        <v>0</v>
      </c>
      <c r="BF34" s="275">
        <v>0</v>
      </c>
      <c r="BG34" s="275">
        <v>0</v>
      </c>
      <c r="BH34" s="1112">
        <v>1370703</v>
      </c>
      <c r="BI34" s="275">
        <v>0</v>
      </c>
      <c r="BJ34" s="275">
        <v>0</v>
      </c>
      <c r="BK34" s="275">
        <v>0</v>
      </c>
      <c r="BL34" s="275">
        <v>0</v>
      </c>
      <c r="BM34" s="275">
        <v>0</v>
      </c>
      <c r="BN34" s="275">
        <v>0</v>
      </c>
      <c r="BO34" s="275">
        <v>0</v>
      </c>
      <c r="BP34" s="275">
        <v>0</v>
      </c>
      <c r="BQ34" s="275">
        <v>0</v>
      </c>
      <c r="BR34" s="275">
        <v>0</v>
      </c>
      <c r="BS34" s="275">
        <v>0</v>
      </c>
    </row>
    <row r="35" spans="1:71" x14ac:dyDescent="0.3">
      <c r="A35" s="275">
        <v>48</v>
      </c>
      <c r="B35" s="275">
        <v>48</v>
      </c>
      <c r="C35" s="275" t="s">
        <v>123</v>
      </c>
      <c r="D35" s="275" t="s">
        <v>339</v>
      </c>
      <c r="E35" s="275">
        <v>0</v>
      </c>
      <c r="F35" s="275">
        <v>0</v>
      </c>
      <c r="G35" s="275">
        <v>0</v>
      </c>
      <c r="H35" s="1112">
        <v>2913642</v>
      </c>
      <c r="I35" s="275">
        <v>0</v>
      </c>
      <c r="J35" s="275">
        <v>0</v>
      </c>
      <c r="K35" s="275">
        <v>0</v>
      </c>
      <c r="L35" s="275">
        <v>0</v>
      </c>
      <c r="M35" s="1112">
        <v>4734801</v>
      </c>
      <c r="N35" s="275">
        <v>0</v>
      </c>
      <c r="O35" s="275">
        <v>0</v>
      </c>
      <c r="P35" s="275">
        <v>0</v>
      </c>
      <c r="Q35" s="275">
        <v>0</v>
      </c>
      <c r="R35" s="275">
        <v>0</v>
      </c>
      <c r="S35" s="275">
        <v>0</v>
      </c>
      <c r="T35" s="275">
        <v>0</v>
      </c>
      <c r="U35" s="275">
        <v>0</v>
      </c>
      <c r="V35" s="275">
        <v>0</v>
      </c>
      <c r="W35" s="275">
        <v>0</v>
      </c>
      <c r="X35" s="275">
        <v>0</v>
      </c>
      <c r="Y35" s="1112">
        <v>1465246</v>
      </c>
      <c r="Z35" s="275">
        <v>0</v>
      </c>
      <c r="AA35" s="275">
        <v>0</v>
      </c>
      <c r="AB35" s="275">
        <v>0</v>
      </c>
      <c r="AC35" s="275">
        <v>0</v>
      </c>
      <c r="AD35" s="275">
        <v>0</v>
      </c>
      <c r="AE35" s="275">
        <v>0</v>
      </c>
      <c r="AF35" s="275">
        <v>0</v>
      </c>
      <c r="AG35" s="275">
        <v>0</v>
      </c>
      <c r="AH35" s="275">
        <v>0</v>
      </c>
      <c r="AI35" s="275">
        <v>0</v>
      </c>
      <c r="AJ35" s="1112">
        <v>15508</v>
      </c>
      <c r="AK35" s="275">
        <v>0</v>
      </c>
      <c r="AL35" s="275">
        <v>0</v>
      </c>
      <c r="AM35" s="275">
        <v>0</v>
      </c>
      <c r="AN35" s="1112">
        <v>359416</v>
      </c>
      <c r="AO35" s="275">
        <v>0</v>
      </c>
      <c r="AP35" s="275">
        <v>0</v>
      </c>
      <c r="AQ35" s="275">
        <v>0</v>
      </c>
      <c r="AR35" s="275">
        <v>0</v>
      </c>
      <c r="AS35" s="275">
        <v>0</v>
      </c>
      <c r="AT35" s="275">
        <v>0</v>
      </c>
      <c r="AU35" s="275">
        <v>0</v>
      </c>
      <c r="AV35" s="275">
        <v>0</v>
      </c>
      <c r="AW35" s="275">
        <v>0</v>
      </c>
      <c r="AX35" s="275">
        <v>0</v>
      </c>
      <c r="AY35" s="275">
        <v>0</v>
      </c>
      <c r="AZ35" s="275">
        <v>0</v>
      </c>
      <c r="BA35" s="275">
        <v>0</v>
      </c>
      <c r="BB35" s="275">
        <v>0</v>
      </c>
      <c r="BC35" s="275">
        <v>0</v>
      </c>
      <c r="BD35" s="275">
        <v>0</v>
      </c>
      <c r="BE35" s="275">
        <v>0</v>
      </c>
      <c r="BF35" s="275">
        <v>0</v>
      </c>
      <c r="BG35" s="275">
        <v>0</v>
      </c>
      <c r="BH35" s="1112">
        <v>24609</v>
      </c>
      <c r="BI35" s="275">
        <v>0</v>
      </c>
      <c r="BJ35" s="275">
        <v>0</v>
      </c>
      <c r="BK35" s="275">
        <v>0</v>
      </c>
      <c r="BL35" s="275">
        <v>0</v>
      </c>
      <c r="BM35" s="275">
        <v>0</v>
      </c>
      <c r="BN35" s="275">
        <v>0</v>
      </c>
      <c r="BO35" s="275">
        <v>0</v>
      </c>
      <c r="BP35" s="275">
        <v>0</v>
      </c>
      <c r="BQ35" s="275">
        <v>0</v>
      </c>
      <c r="BR35" s="275">
        <v>0</v>
      </c>
      <c r="BS35" s="275">
        <v>0</v>
      </c>
    </row>
    <row r="36" spans="1:71" x14ac:dyDescent="0.3">
      <c r="A36" s="275">
        <v>49</v>
      </c>
      <c r="B36" s="275">
        <v>49</v>
      </c>
      <c r="C36" s="275" t="s">
        <v>228</v>
      </c>
      <c r="D36" s="275" t="s">
        <v>340</v>
      </c>
      <c r="E36" s="1112">
        <v>511551</v>
      </c>
      <c r="F36" s="1112">
        <v>857007</v>
      </c>
      <c r="G36" s="1112">
        <v>145970</v>
      </c>
      <c r="H36" s="1112">
        <v>2774341</v>
      </c>
      <c r="I36" s="275">
        <v>0</v>
      </c>
      <c r="J36" s="1112">
        <v>393606</v>
      </c>
      <c r="K36" s="1112">
        <v>457952</v>
      </c>
      <c r="L36" s="1112">
        <v>74838</v>
      </c>
      <c r="M36" s="1112">
        <v>10648851</v>
      </c>
      <c r="N36" s="275">
        <v>0</v>
      </c>
      <c r="O36" s="1112">
        <v>1075772</v>
      </c>
      <c r="P36" s="275">
        <v>0</v>
      </c>
      <c r="Q36" s="1112">
        <v>2198648</v>
      </c>
      <c r="R36" s="1112">
        <v>6674819</v>
      </c>
      <c r="S36" s="275">
        <v>0</v>
      </c>
      <c r="T36" s="1112">
        <v>55237</v>
      </c>
      <c r="U36" s="1112">
        <v>189818</v>
      </c>
      <c r="V36" s="1112">
        <v>199760</v>
      </c>
      <c r="W36" s="1112">
        <v>20287</v>
      </c>
      <c r="X36" s="1112">
        <v>13835</v>
      </c>
      <c r="Y36" s="1112">
        <v>433975</v>
      </c>
      <c r="Z36" s="275">
        <v>0</v>
      </c>
      <c r="AA36" s="1112">
        <v>99406</v>
      </c>
      <c r="AB36" s="1112">
        <v>93456</v>
      </c>
      <c r="AC36" s="1112">
        <v>328264</v>
      </c>
      <c r="AD36" s="1112">
        <v>205053</v>
      </c>
      <c r="AE36" s="1112">
        <v>49295</v>
      </c>
      <c r="AF36" s="275">
        <v>0</v>
      </c>
      <c r="AG36" s="275">
        <v>0</v>
      </c>
      <c r="AH36" s="1112">
        <v>972354</v>
      </c>
      <c r="AI36" s="1112">
        <v>474270</v>
      </c>
      <c r="AJ36" s="1112">
        <v>175238</v>
      </c>
      <c r="AK36" s="1112">
        <v>2236364</v>
      </c>
      <c r="AL36" s="275">
        <v>0</v>
      </c>
      <c r="AM36" s="275">
        <v>0</v>
      </c>
      <c r="AN36" s="1112">
        <v>385328</v>
      </c>
      <c r="AO36" s="1112">
        <v>96108</v>
      </c>
      <c r="AP36" s="1112">
        <v>608027</v>
      </c>
      <c r="AQ36" s="275">
        <v>0</v>
      </c>
      <c r="AR36" s="1112">
        <v>572525</v>
      </c>
      <c r="AS36" s="1112">
        <v>313192</v>
      </c>
      <c r="AT36" s="1112">
        <v>167112</v>
      </c>
      <c r="AU36" s="1112">
        <v>340325</v>
      </c>
      <c r="AV36" s="275">
        <v>0</v>
      </c>
      <c r="AW36" s="1112">
        <v>282666</v>
      </c>
      <c r="AX36" s="1112">
        <v>220738</v>
      </c>
      <c r="AY36" s="1112">
        <v>467090</v>
      </c>
      <c r="AZ36" s="1112">
        <v>71645</v>
      </c>
      <c r="BA36" s="275">
        <v>0</v>
      </c>
      <c r="BB36" s="275">
        <v>0</v>
      </c>
      <c r="BC36" s="1112">
        <v>265051</v>
      </c>
      <c r="BD36" s="275">
        <v>0</v>
      </c>
      <c r="BE36" s="1112">
        <v>133399</v>
      </c>
      <c r="BF36" s="1112">
        <v>971478</v>
      </c>
      <c r="BG36" s="1112">
        <v>101242</v>
      </c>
      <c r="BH36" s="1112">
        <v>33118</v>
      </c>
      <c r="BI36" s="1112">
        <v>1151930</v>
      </c>
      <c r="BJ36" s="1112">
        <v>57402</v>
      </c>
      <c r="BK36" s="1112">
        <v>108814</v>
      </c>
      <c r="BL36" s="275">
        <v>0</v>
      </c>
      <c r="BM36" s="1112">
        <v>56309</v>
      </c>
      <c r="BN36" s="1112">
        <v>454571</v>
      </c>
      <c r="BO36" s="1112">
        <v>152223</v>
      </c>
      <c r="BP36" s="1112">
        <v>623566</v>
      </c>
      <c r="BQ36" s="1112">
        <v>6394630</v>
      </c>
      <c r="BR36" s="1112">
        <v>348059</v>
      </c>
      <c r="BS36" s="275">
        <v>0</v>
      </c>
    </row>
    <row r="37" spans="1:71" x14ac:dyDescent="0.3">
      <c r="A37" s="275">
        <v>50</v>
      </c>
      <c r="B37" s="275">
        <v>50</v>
      </c>
      <c r="C37" s="275" t="s">
        <v>100</v>
      </c>
      <c r="D37" s="275" t="s">
        <v>341</v>
      </c>
      <c r="E37" s="1112">
        <v>-197564</v>
      </c>
      <c r="F37" s="1112">
        <v>-223267</v>
      </c>
      <c r="G37" s="1112">
        <v>-85158</v>
      </c>
      <c r="H37" s="1112">
        <v>-189062</v>
      </c>
      <c r="I37" s="275" t="s">
        <v>1750</v>
      </c>
      <c r="J37" s="1112">
        <v>312484</v>
      </c>
      <c r="K37" s="1112">
        <v>60336</v>
      </c>
      <c r="L37" s="1112">
        <v>-80553</v>
      </c>
      <c r="M37" s="1112">
        <v>-6159791</v>
      </c>
      <c r="N37" s="275" t="s">
        <v>1750</v>
      </c>
      <c r="O37" s="1112">
        <v>717148</v>
      </c>
      <c r="P37" s="275" t="s">
        <v>1750</v>
      </c>
      <c r="Q37" s="1112">
        <v>-731000</v>
      </c>
      <c r="R37" s="1112">
        <v>15203367</v>
      </c>
      <c r="S37" s="275" t="s">
        <v>1750</v>
      </c>
      <c r="T37" s="1112">
        <v>-32723</v>
      </c>
      <c r="U37" s="1112">
        <v>-38605</v>
      </c>
      <c r="V37" s="1112">
        <v>1017017</v>
      </c>
      <c r="W37" s="1112">
        <v>118017</v>
      </c>
      <c r="X37" s="1112">
        <v>-8338</v>
      </c>
      <c r="Y37" s="1112">
        <v>-30212</v>
      </c>
      <c r="Z37" s="275" t="s">
        <v>1750</v>
      </c>
      <c r="AA37" s="1112">
        <v>22978</v>
      </c>
      <c r="AB37" s="1112">
        <v>229455</v>
      </c>
      <c r="AC37" s="1112">
        <v>769610</v>
      </c>
      <c r="AD37" s="1112">
        <v>145940</v>
      </c>
      <c r="AE37" s="1112">
        <v>-67217</v>
      </c>
      <c r="AF37" s="275" t="s">
        <v>1750</v>
      </c>
      <c r="AG37" s="275" t="s">
        <v>1750</v>
      </c>
      <c r="AH37" s="1112">
        <v>-597470</v>
      </c>
      <c r="AI37" s="1112">
        <v>17314</v>
      </c>
      <c r="AJ37" s="1112">
        <v>2889</v>
      </c>
      <c r="AK37" s="1112">
        <v>3803610</v>
      </c>
      <c r="AL37" s="275" t="s">
        <v>1750</v>
      </c>
      <c r="AM37" s="275" t="s">
        <v>1750</v>
      </c>
      <c r="AN37" s="1112">
        <v>-131257</v>
      </c>
      <c r="AO37" s="1112">
        <v>259731</v>
      </c>
      <c r="AP37" s="1112">
        <v>314380</v>
      </c>
      <c r="AQ37" s="275" t="s">
        <v>1750</v>
      </c>
      <c r="AR37" s="1112">
        <v>-340267</v>
      </c>
      <c r="AS37" s="1112">
        <v>-174390</v>
      </c>
      <c r="AT37" s="1112">
        <v>15007</v>
      </c>
      <c r="AU37" s="1112">
        <v>271459</v>
      </c>
      <c r="AV37" s="275" t="s">
        <v>1750</v>
      </c>
      <c r="AW37" s="1112">
        <v>164560</v>
      </c>
      <c r="AX37" s="1112">
        <v>-198573</v>
      </c>
      <c r="AY37" s="1112">
        <v>-205868</v>
      </c>
      <c r="AZ37" s="1112">
        <v>-110732</v>
      </c>
      <c r="BA37" s="275" t="s">
        <v>1750</v>
      </c>
      <c r="BB37" s="275" t="s">
        <v>1750</v>
      </c>
      <c r="BC37" s="1112">
        <v>183825</v>
      </c>
      <c r="BD37" s="275" t="s">
        <v>1750</v>
      </c>
      <c r="BE37" s="1112">
        <v>-178622</v>
      </c>
      <c r="BF37" s="1112">
        <v>3143629</v>
      </c>
      <c r="BG37" s="1112">
        <v>-73174</v>
      </c>
      <c r="BH37" s="1112">
        <v>51054</v>
      </c>
      <c r="BI37" s="1112">
        <v>91966</v>
      </c>
      <c r="BJ37" s="1112">
        <v>-86684</v>
      </c>
      <c r="BK37" s="1112">
        <v>90834</v>
      </c>
      <c r="BL37" s="275" t="s">
        <v>1750</v>
      </c>
      <c r="BM37" s="1112">
        <v>133970</v>
      </c>
      <c r="BN37" s="1112">
        <v>386146</v>
      </c>
      <c r="BO37" s="1112">
        <v>-16274</v>
      </c>
      <c r="BP37" s="1112">
        <v>-31208</v>
      </c>
      <c r="BQ37" s="1112">
        <v>5119601</v>
      </c>
      <c r="BR37" s="1112">
        <v>784010</v>
      </c>
      <c r="BS37" s="275" t="s">
        <v>1750</v>
      </c>
    </row>
    <row r="38" spans="1:71" x14ac:dyDescent="0.3">
      <c r="A38" s="275">
        <v>51</v>
      </c>
      <c r="B38" s="275">
        <v>51</v>
      </c>
      <c r="C38" s="275" t="s">
        <v>246</v>
      </c>
      <c r="D38" s="275" t="s">
        <v>342</v>
      </c>
      <c r="E38" s="1112">
        <v>984468</v>
      </c>
      <c r="F38" s="1112">
        <v>1611927</v>
      </c>
      <c r="G38" s="1112">
        <v>43312</v>
      </c>
      <c r="H38" s="1112">
        <v>3395772</v>
      </c>
      <c r="I38" s="275" t="s">
        <v>1750</v>
      </c>
      <c r="J38" s="1112">
        <v>252963</v>
      </c>
      <c r="K38" s="1112">
        <v>759511</v>
      </c>
      <c r="L38" s="1112">
        <v>72641</v>
      </c>
      <c r="M38" s="1112">
        <v>3179937</v>
      </c>
      <c r="N38" s="275" t="s">
        <v>1750</v>
      </c>
      <c r="O38" s="1112">
        <v>1973074</v>
      </c>
      <c r="P38" s="275" t="s">
        <v>1750</v>
      </c>
      <c r="Q38" s="1112">
        <v>1209839</v>
      </c>
      <c r="R38" s="1112">
        <v>21047798</v>
      </c>
      <c r="S38" s="275" t="s">
        <v>1750</v>
      </c>
      <c r="T38" s="1112">
        <v>48842</v>
      </c>
      <c r="U38" s="1112">
        <v>426876</v>
      </c>
      <c r="V38" s="1112">
        <v>182653</v>
      </c>
      <c r="W38" s="1112">
        <v>22685</v>
      </c>
      <c r="X38" s="1112">
        <v>4046</v>
      </c>
      <c r="Y38" s="1112">
        <v>480351</v>
      </c>
      <c r="Z38" s="275" t="s">
        <v>1750</v>
      </c>
      <c r="AA38" s="1112">
        <v>90425</v>
      </c>
      <c r="AB38" s="1112">
        <v>49577</v>
      </c>
      <c r="AC38" s="1112">
        <v>603933</v>
      </c>
      <c r="AD38" s="1112">
        <v>342808</v>
      </c>
      <c r="AE38" s="1112">
        <v>71574</v>
      </c>
      <c r="AF38" s="275" t="s">
        <v>1750</v>
      </c>
      <c r="AG38" s="275" t="s">
        <v>1750</v>
      </c>
      <c r="AH38" s="1112">
        <v>1847826</v>
      </c>
      <c r="AI38" s="1112">
        <v>358128</v>
      </c>
      <c r="AJ38" s="1112">
        <v>404020</v>
      </c>
      <c r="AK38" s="1112">
        <v>1206768</v>
      </c>
      <c r="AL38" s="275" t="s">
        <v>1750</v>
      </c>
      <c r="AM38" s="275" t="s">
        <v>1750</v>
      </c>
      <c r="AN38" s="1112">
        <v>-93372</v>
      </c>
      <c r="AO38" s="1112">
        <v>342003</v>
      </c>
      <c r="AP38" s="1112">
        <v>1292766</v>
      </c>
      <c r="AQ38" s="275" t="s">
        <v>1750</v>
      </c>
      <c r="AR38" s="1112">
        <v>12196</v>
      </c>
      <c r="AS38" s="1112">
        <v>209692</v>
      </c>
      <c r="AT38" s="1112">
        <v>153829</v>
      </c>
      <c r="AU38" s="1112">
        <v>422051</v>
      </c>
      <c r="AV38" s="275" t="s">
        <v>1750</v>
      </c>
      <c r="AW38" s="1112">
        <v>423598</v>
      </c>
      <c r="AX38" s="1112">
        <v>25390</v>
      </c>
      <c r="AY38" s="1112">
        <v>401456</v>
      </c>
      <c r="AZ38" s="1112">
        <v>-39087</v>
      </c>
      <c r="BA38" s="275" t="s">
        <v>1750</v>
      </c>
      <c r="BB38" s="275" t="s">
        <v>1750</v>
      </c>
      <c r="BC38" s="1112">
        <v>443759</v>
      </c>
      <c r="BD38" s="275" t="s">
        <v>1750</v>
      </c>
      <c r="BE38" s="1112">
        <v>-38162</v>
      </c>
      <c r="BF38" s="1112">
        <v>-2433518</v>
      </c>
      <c r="BG38" s="1112">
        <v>59293</v>
      </c>
      <c r="BH38" s="1112">
        <v>84673</v>
      </c>
      <c r="BI38" s="1112">
        <v>1351374</v>
      </c>
      <c r="BJ38" s="1112">
        <v>48614</v>
      </c>
      <c r="BK38" s="1112">
        <v>111071</v>
      </c>
      <c r="BL38" s="275" t="s">
        <v>1750</v>
      </c>
      <c r="BM38" s="1112">
        <v>39217</v>
      </c>
      <c r="BN38" s="1112">
        <v>292879</v>
      </c>
      <c r="BO38" s="1112">
        <v>149382</v>
      </c>
      <c r="BP38" s="1112">
        <v>500534</v>
      </c>
      <c r="BQ38" s="1112">
        <v>11453291</v>
      </c>
      <c r="BR38" s="1112">
        <v>404355</v>
      </c>
      <c r="BS38" s="275" t="s">
        <v>1750</v>
      </c>
    </row>
    <row r="39" spans="1:71" x14ac:dyDescent="0.3">
      <c r="A39" s="275">
        <v>52</v>
      </c>
      <c r="B39" s="275">
        <v>52</v>
      </c>
      <c r="C39" s="275" t="s">
        <v>239</v>
      </c>
      <c r="D39" s="275" t="s">
        <v>343</v>
      </c>
      <c r="E39" s="275">
        <v>0</v>
      </c>
      <c r="F39" s="275">
        <v>0</v>
      </c>
      <c r="G39" s="275">
        <v>0</v>
      </c>
      <c r="H39" s="1112">
        <v>673669</v>
      </c>
      <c r="I39" s="275">
        <v>0</v>
      </c>
      <c r="J39" s="275">
        <v>0</v>
      </c>
      <c r="K39" s="275">
        <v>0</v>
      </c>
      <c r="L39" s="275">
        <v>0</v>
      </c>
      <c r="M39" s="1112">
        <v>2608624</v>
      </c>
      <c r="N39" s="275">
        <v>0</v>
      </c>
      <c r="O39" s="275">
        <v>0</v>
      </c>
      <c r="P39" s="275">
        <v>0</v>
      </c>
      <c r="Q39" s="275">
        <v>0</v>
      </c>
      <c r="R39" s="275">
        <v>0</v>
      </c>
      <c r="S39" s="275">
        <v>0</v>
      </c>
      <c r="T39" s="275">
        <v>0</v>
      </c>
      <c r="U39" s="275">
        <v>0</v>
      </c>
      <c r="V39" s="275">
        <v>0</v>
      </c>
      <c r="W39" s="275">
        <v>0</v>
      </c>
      <c r="X39" s="275">
        <v>0</v>
      </c>
      <c r="Y39" s="1112">
        <v>541348</v>
      </c>
      <c r="Z39" s="275">
        <v>0</v>
      </c>
      <c r="AA39" s="275">
        <v>0</v>
      </c>
      <c r="AB39" s="275">
        <v>0</v>
      </c>
      <c r="AC39" s="275">
        <v>0</v>
      </c>
      <c r="AD39" s="275">
        <v>0</v>
      </c>
      <c r="AE39" s="275">
        <v>0</v>
      </c>
      <c r="AF39" s="275">
        <v>0</v>
      </c>
      <c r="AG39" s="275">
        <v>0</v>
      </c>
      <c r="AH39" s="275">
        <v>0</v>
      </c>
      <c r="AI39" s="275">
        <v>0</v>
      </c>
      <c r="AJ39" s="1112">
        <v>9913</v>
      </c>
      <c r="AK39" s="275">
        <v>0</v>
      </c>
      <c r="AL39" s="275">
        <v>0</v>
      </c>
      <c r="AM39" s="275">
        <v>0</v>
      </c>
      <c r="AN39" s="1112">
        <v>50473</v>
      </c>
      <c r="AO39" s="275">
        <v>0</v>
      </c>
      <c r="AP39" s="275">
        <v>0</v>
      </c>
      <c r="AQ39" s="275">
        <v>0</v>
      </c>
      <c r="AR39" s="275">
        <v>0</v>
      </c>
      <c r="AS39" s="275">
        <v>0</v>
      </c>
      <c r="AT39" s="275">
        <v>0</v>
      </c>
      <c r="AU39" s="275">
        <v>0</v>
      </c>
      <c r="AV39" s="275">
        <v>0</v>
      </c>
      <c r="AW39" s="275">
        <v>0</v>
      </c>
      <c r="AX39" s="275">
        <v>0</v>
      </c>
      <c r="AY39" s="275">
        <v>0</v>
      </c>
      <c r="AZ39" s="275">
        <v>0</v>
      </c>
      <c r="BA39" s="275">
        <v>0</v>
      </c>
      <c r="BB39" s="275">
        <v>0</v>
      </c>
      <c r="BC39" s="275">
        <v>0</v>
      </c>
      <c r="BD39" s="275">
        <v>0</v>
      </c>
      <c r="BE39" s="275">
        <v>0</v>
      </c>
      <c r="BF39" s="275">
        <v>0</v>
      </c>
      <c r="BG39" s="275">
        <v>0</v>
      </c>
      <c r="BH39" s="1112">
        <v>19688</v>
      </c>
      <c r="BI39" s="275">
        <v>0</v>
      </c>
      <c r="BJ39" s="275">
        <v>0</v>
      </c>
      <c r="BK39" s="275">
        <v>0</v>
      </c>
      <c r="BL39" s="275">
        <v>0</v>
      </c>
      <c r="BM39" s="275">
        <v>0</v>
      </c>
      <c r="BN39" s="275">
        <v>0</v>
      </c>
      <c r="BO39" s="275">
        <v>0</v>
      </c>
      <c r="BP39" s="275">
        <v>0</v>
      </c>
      <c r="BQ39" s="275">
        <v>0</v>
      </c>
      <c r="BR39" s="275">
        <v>0</v>
      </c>
      <c r="BS39" s="275">
        <v>0</v>
      </c>
    </row>
    <row r="40" spans="1:71" x14ac:dyDescent="0.3">
      <c r="A40" s="275">
        <v>53</v>
      </c>
      <c r="B40" s="275">
        <v>53</v>
      </c>
      <c r="C40" s="275" t="s">
        <v>101</v>
      </c>
      <c r="D40" s="275" t="s">
        <v>344</v>
      </c>
      <c r="E40" s="275" t="s">
        <v>1750</v>
      </c>
      <c r="F40" s="275" t="s">
        <v>1750</v>
      </c>
      <c r="G40" s="275" t="s">
        <v>1750</v>
      </c>
      <c r="H40" s="1112">
        <v>3868381</v>
      </c>
      <c r="I40" s="275" t="s">
        <v>1750</v>
      </c>
      <c r="J40" s="275" t="s">
        <v>1750</v>
      </c>
      <c r="K40" s="275" t="s">
        <v>1750</v>
      </c>
      <c r="L40" s="275" t="s">
        <v>1750</v>
      </c>
      <c r="M40" s="1112">
        <v>3979828</v>
      </c>
      <c r="N40" s="275" t="s">
        <v>1750</v>
      </c>
      <c r="O40" s="275" t="s">
        <v>1750</v>
      </c>
      <c r="P40" s="275" t="s">
        <v>1750</v>
      </c>
      <c r="Q40" s="275" t="s">
        <v>1750</v>
      </c>
      <c r="R40" s="275" t="s">
        <v>1750</v>
      </c>
      <c r="S40" s="275" t="s">
        <v>1750</v>
      </c>
      <c r="T40" s="275" t="s">
        <v>1750</v>
      </c>
      <c r="U40" s="275" t="s">
        <v>1750</v>
      </c>
      <c r="V40" s="275" t="s">
        <v>1750</v>
      </c>
      <c r="W40" s="275" t="s">
        <v>1750</v>
      </c>
      <c r="X40" s="275" t="s">
        <v>1750</v>
      </c>
      <c r="Y40" s="1112">
        <v>360739</v>
      </c>
      <c r="Z40" s="275" t="s">
        <v>1750</v>
      </c>
      <c r="AA40" s="275" t="s">
        <v>1750</v>
      </c>
      <c r="AB40" s="275" t="s">
        <v>1750</v>
      </c>
      <c r="AC40" s="275" t="s">
        <v>1750</v>
      </c>
      <c r="AD40" s="275" t="s">
        <v>1750</v>
      </c>
      <c r="AE40" s="275" t="s">
        <v>1750</v>
      </c>
      <c r="AF40" s="275" t="s">
        <v>1750</v>
      </c>
      <c r="AG40" s="275" t="s">
        <v>1750</v>
      </c>
      <c r="AH40" s="275" t="s">
        <v>1750</v>
      </c>
      <c r="AI40" s="275" t="s">
        <v>1750</v>
      </c>
      <c r="AJ40" s="1112">
        <v>175101</v>
      </c>
      <c r="AK40" s="275" t="s">
        <v>1750</v>
      </c>
      <c r="AL40" s="275" t="s">
        <v>1750</v>
      </c>
      <c r="AM40" s="275" t="s">
        <v>1750</v>
      </c>
      <c r="AN40" s="1112">
        <v>67525</v>
      </c>
      <c r="AO40" s="275" t="s">
        <v>1750</v>
      </c>
      <c r="AP40" s="275" t="s">
        <v>1750</v>
      </c>
      <c r="AQ40" s="275" t="s">
        <v>1750</v>
      </c>
      <c r="AR40" s="275" t="s">
        <v>1750</v>
      </c>
      <c r="AS40" s="275" t="s">
        <v>1750</v>
      </c>
      <c r="AT40" s="275" t="s">
        <v>1750</v>
      </c>
      <c r="AU40" s="275" t="s">
        <v>1750</v>
      </c>
      <c r="AV40" s="275" t="s">
        <v>1750</v>
      </c>
      <c r="AW40" s="275" t="s">
        <v>1750</v>
      </c>
      <c r="AX40" s="275" t="s">
        <v>1750</v>
      </c>
      <c r="AY40" s="275" t="s">
        <v>1750</v>
      </c>
      <c r="AZ40" s="275" t="s">
        <v>1750</v>
      </c>
      <c r="BA40" s="275" t="s">
        <v>1750</v>
      </c>
      <c r="BB40" s="275" t="s">
        <v>1750</v>
      </c>
      <c r="BC40" s="275" t="s">
        <v>1750</v>
      </c>
      <c r="BD40" s="275" t="s">
        <v>1750</v>
      </c>
      <c r="BE40" s="275" t="s">
        <v>1750</v>
      </c>
      <c r="BF40" s="275" t="s">
        <v>1750</v>
      </c>
      <c r="BG40" s="275" t="s">
        <v>1750</v>
      </c>
      <c r="BH40" s="1112">
        <v>137721</v>
      </c>
      <c r="BI40" s="275" t="s">
        <v>1750</v>
      </c>
      <c r="BJ40" s="275" t="s">
        <v>1750</v>
      </c>
      <c r="BK40" s="275" t="s">
        <v>1750</v>
      </c>
      <c r="BL40" s="275" t="s">
        <v>1750</v>
      </c>
      <c r="BM40" s="275" t="s">
        <v>1750</v>
      </c>
      <c r="BN40" s="275" t="s">
        <v>1750</v>
      </c>
      <c r="BO40" s="275" t="s">
        <v>1750</v>
      </c>
      <c r="BP40" s="275" t="s">
        <v>1751</v>
      </c>
      <c r="BQ40" s="275" t="s">
        <v>1750</v>
      </c>
      <c r="BR40" s="275" t="s">
        <v>1750</v>
      </c>
      <c r="BS40" s="275" t="s">
        <v>1750</v>
      </c>
    </row>
    <row r="41" spans="1:71" x14ac:dyDescent="0.3">
      <c r="A41" s="275"/>
      <c r="B41" s="275">
        <v>54</v>
      </c>
      <c r="C41" s="275" t="s">
        <v>631</v>
      </c>
      <c r="D41" s="275" t="s">
        <v>345</v>
      </c>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c r="AS41" s="275"/>
      <c r="AT41" s="275"/>
      <c r="AU41" s="275"/>
      <c r="AV41" s="275"/>
      <c r="AW41" s="275"/>
      <c r="AX41" s="275"/>
      <c r="AY41" s="275"/>
      <c r="AZ41" s="275"/>
      <c r="BA41" s="275"/>
      <c r="BB41" s="275"/>
      <c r="BC41" s="275"/>
      <c r="BD41" s="275"/>
      <c r="BE41" s="275"/>
      <c r="BF41" s="275"/>
      <c r="BG41" s="275"/>
      <c r="BH41" s="275"/>
      <c r="BI41" s="275"/>
      <c r="BJ41" s="275"/>
      <c r="BK41" s="275"/>
      <c r="BL41" s="275"/>
      <c r="BM41" s="275"/>
      <c r="BN41" s="275"/>
      <c r="BO41" s="275"/>
      <c r="BP41" s="275"/>
      <c r="BQ41" s="275"/>
      <c r="BR41" s="275"/>
      <c r="BS41" s="275"/>
    </row>
    <row r="42" spans="1:71" x14ac:dyDescent="0.3">
      <c r="A42" s="275">
        <v>55</v>
      </c>
      <c r="B42" s="275">
        <v>55</v>
      </c>
      <c r="C42" s="275" t="s">
        <v>249</v>
      </c>
      <c r="D42" s="275" t="s">
        <v>346</v>
      </c>
      <c r="E42" s="275">
        <v>0</v>
      </c>
      <c r="F42" s="275">
        <v>0</v>
      </c>
      <c r="G42" s="275">
        <v>0</v>
      </c>
      <c r="H42" s="1112">
        <v>2142328</v>
      </c>
      <c r="I42" s="275">
        <v>0</v>
      </c>
      <c r="J42" s="275">
        <v>0</v>
      </c>
      <c r="K42" s="275">
        <v>0</v>
      </c>
      <c r="L42" s="275">
        <v>0</v>
      </c>
      <c r="M42" s="1112">
        <v>6342911</v>
      </c>
      <c r="N42" s="275">
        <v>0</v>
      </c>
      <c r="O42" s="275">
        <v>0</v>
      </c>
      <c r="P42" s="275">
        <v>0</v>
      </c>
      <c r="Q42" s="275">
        <v>0</v>
      </c>
      <c r="R42" s="275">
        <v>0</v>
      </c>
      <c r="S42" s="275">
        <v>0</v>
      </c>
      <c r="T42" s="275">
        <v>0</v>
      </c>
      <c r="U42" s="275">
        <v>0</v>
      </c>
      <c r="V42" s="275">
        <v>0</v>
      </c>
      <c r="W42" s="275">
        <v>0</v>
      </c>
      <c r="X42" s="275">
        <v>0</v>
      </c>
      <c r="Y42" s="1112">
        <v>1184403</v>
      </c>
      <c r="Z42" s="275">
        <v>0</v>
      </c>
      <c r="AA42" s="275">
        <v>0</v>
      </c>
      <c r="AB42" s="275">
        <v>0</v>
      </c>
      <c r="AC42" s="275">
        <v>0</v>
      </c>
      <c r="AD42" s="275">
        <v>0</v>
      </c>
      <c r="AE42" s="275">
        <v>0</v>
      </c>
      <c r="AF42" s="275">
        <v>0</v>
      </c>
      <c r="AG42" s="275">
        <v>0</v>
      </c>
      <c r="AH42" s="275">
        <v>0</v>
      </c>
      <c r="AI42" s="275">
        <v>0</v>
      </c>
      <c r="AJ42" s="1112">
        <v>-23328</v>
      </c>
      <c r="AK42" s="275">
        <v>0</v>
      </c>
      <c r="AL42" s="275">
        <v>0</v>
      </c>
      <c r="AM42" s="275">
        <v>0</v>
      </c>
      <c r="AN42" s="1112">
        <v>102541</v>
      </c>
      <c r="AO42" s="275">
        <v>0</v>
      </c>
      <c r="AP42" s="275">
        <v>0</v>
      </c>
      <c r="AQ42" s="275">
        <v>0</v>
      </c>
      <c r="AR42" s="275">
        <v>0</v>
      </c>
      <c r="AS42" s="275">
        <v>0</v>
      </c>
      <c r="AT42" s="275">
        <v>0</v>
      </c>
      <c r="AU42" s="275">
        <v>0</v>
      </c>
      <c r="AV42" s="275">
        <v>0</v>
      </c>
      <c r="AW42" s="275">
        <v>0</v>
      </c>
      <c r="AX42" s="275">
        <v>0</v>
      </c>
      <c r="AY42" s="275">
        <v>0</v>
      </c>
      <c r="AZ42" s="275">
        <v>0</v>
      </c>
      <c r="BA42" s="275">
        <v>0</v>
      </c>
      <c r="BB42" s="275">
        <v>0</v>
      </c>
      <c r="BC42" s="275">
        <v>0</v>
      </c>
      <c r="BD42" s="275">
        <v>0</v>
      </c>
      <c r="BE42" s="275">
        <v>0</v>
      </c>
      <c r="BF42" s="275">
        <v>0</v>
      </c>
      <c r="BG42" s="275">
        <v>0</v>
      </c>
      <c r="BH42" s="1112">
        <v>157034</v>
      </c>
      <c r="BI42" s="275">
        <v>0</v>
      </c>
      <c r="BJ42" s="275">
        <v>0</v>
      </c>
      <c r="BK42" s="275">
        <v>0</v>
      </c>
      <c r="BL42" s="275">
        <v>0</v>
      </c>
      <c r="BM42" s="275">
        <v>0</v>
      </c>
      <c r="BN42" s="275">
        <v>0</v>
      </c>
      <c r="BO42" s="275">
        <v>0</v>
      </c>
      <c r="BP42" s="275" t="s">
        <v>1751</v>
      </c>
      <c r="BQ42" s="275">
        <v>0</v>
      </c>
      <c r="BR42" s="275">
        <v>0</v>
      </c>
      <c r="BS42" s="275">
        <v>0</v>
      </c>
    </row>
    <row r="43" spans="1:71" x14ac:dyDescent="0.3">
      <c r="A43" s="275">
        <v>61</v>
      </c>
      <c r="B43" s="275">
        <v>61</v>
      </c>
      <c r="C43" s="275" t="s">
        <v>268</v>
      </c>
      <c r="D43" s="275" t="s">
        <v>347</v>
      </c>
      <c r="E43" s="275">
        <v>99.85</v>
      </c>
      <c r="F43" s="275">
        <v>96.66</v>
      </c>
      <c r="G43" s="275">
        <v>98.86</v>
      </c>
      <c r="H43" s="275">
        <v>97.39</v>
      </c>
      <c r="I43" s="275">
        <v>96.47</v>
      </c>
      <c r="J43" s="275">
        <v>94.26</v>
      </c>
      <c r="K43" s="275">
        <v>99.84</v>
      </c>
      <c r="L43" s="275">
        <v>83.04</v>
      </c>
      <c r="M43" s="275">
        <v>99.89</v>
      </c>
      <c r="N43" s="275" t="s">
        <v>1750</v>
      </c>
      <c r="O43" s="275">
        <v>99.4</v>
      </c>
      <c r="P43" s="275">
        <v>99.94</v>
      </c>
      <c r="Q43" s="275">
        <v>99.68</v>
      </c>
      <c r="R43" s="275">
        <v>99.95</v>
      </c>
      <c r="S43" s="275" t="s">
        <v>1750</v>
      </c>
      <c r="T43" s="275">
        <v>95.59</v>
      </c>
      <c r="U43" s="275">
        <v>99.91</v>
      </c>
      <c r="V43" s="275">
        <v>95.95</v>
      </c>
      <c r="W43" s="275">
        <v>95.5</v>
      </c>
      <c r="X43" s="275">
        <v>98.55</v>
      </c>
      <c r="Y43" s="275">
        <v>98.8</v>
      </c>
      <c r="Z43" s="275">
        <v>94.8</v>
      </c>
      <c r="AA43" s="275">
        <v>97.59</v>
      </c>
      <c r="AB43" s="275">
        <v>97.44</v>
      </c>
      <c r="AC43" s="275">
        <v>99.57</v>
      </c>
      <c r="AD43" s="275">
        <v>98.95</v>
      </c>
      <c r="AE43" s="275">
        <v>97.6</v>
      </c>
      <c r="AF43" s="275">
        <v>92.96</v>
      </c>
      <c r="AG43" s="275">
        <v>98.7</v>
      </c>
      <c r="AH43" s="275">
        <v>97.41</v>
      </c>
      <c r="AI43" s="275">
        <v>96.9</v>
      </c>
      <c r="AJ43" s="275">
        <v>96.14</v>
      </c>
      <c r="AK43" s="275">
        <v>99.65</v>
      </c>
      <c r="AL43" s="275" t="s">
        <v>1750</v>
      </c>
      <c r="AM43" s="275">
        <v>95.28</v>
      </c>
      <c r="AN43" s="275">
        <v>99.86</v>
      </c>
      <c r="AO43" s="275">
        <v>99.62</v>
      </c>
      <c r="AP43" s="275">
        <v>96.78</v>
      </c>
      <c r="AQ43" s="275">
        <v>99.55</v>
      </c>
      <c r="AR43" s="275">
        <v>97.28</v>
      </c>
      <c r="AS43" s="275">
        <v>97.06</v>
      </c>
      <c r="AT43" s="275">
        <v>99.95</v>
      </c>
      <c r="AU43" s="275">
        <v>97.45</v>
      </c>
      <c r="AV43" s="275" t="s">
        <v>1750</v>
      </c>
      <c r="AW43" s="275">
        <v>99.92</v>
      </c>
      <c r="AX43" s="275">
        <v>93.79</v>
      </c>
      <c r="AY43" s="275">
        <v>98.7</v>
      </c>
      <c r="AZ43" s="275">
        <v>93.09</v>
      </c>
      <c r="BA43" s="275">
        <v>96.41</v>
      </c>
      <c r="BB43" s="275">
        <v>98.01</v>
      </c>
      <c r="BC43" s="275">
        <v>99.15</v>
      </c>
      <c r="BD43" s="275">
        <v>91.53</v>
      </c>
      <c r="BE43" s="275">
        <v>88.89</v>
      </c>
      <c r="BF43" s="275">
        <v>99.51</v>
      </c>
      <c r="BG43" s="275">
        <v>98.67</v>
      </c>
      <c r="BH43" s="275">
        <v>96.47</v>
      </c>
      <c r="BI43" s="275">
        <v>99.93</v>
      </c>
      <c r="BJ43" s="275">
        <v>97.84</v>
      </c>
      <c r="BK43" s="275">
        <v>98.98</v>
      </c>
      <c r="BL43" s="275">
        <v>93.13</v>
      </c>
      <c r="BM43" s="275">
        <v>97.01</v>
      </c>
      <c r="BN43" s="275">
        <v>97.01</v>
      </c>
      <c r="BO43" s="275">
        <v>97.53</v>
      </c>
      <c r="BP43" s="275">
        <v>97.6</v>
      </c>
      <c r="BQ43" s="275">
        <v>98.66</v>
      </c>
      <c r="BR43" s="275">
        <v>97.81</v>
      </c>
      <c r="BS43" s="275">
        <v>99.03</v>
      </c>
    </row>
    <row r="44" spans="1:71" x14ac:dyDescent="0.3">
      <c r="A44" s="275">
        <v>80</v>
      </c>
      <c r="B44" s="275">
        <v>80</v>
      </c>
      <c r="C44" s="275" t="s">
        <v>218</v>
      </c>
      <c r="D44" s="275" t="s">
        <v>348</v>
      </c>
      <c r="E44" s="1112">
        <v>2497320</v>
      </c>
      <c r="F44" s="1112">
        <v>186544</v>
      </c>
      <c r="G44" s="1112">
        <v>303878</v>
      </c>
      <c r="H44" s="1112">
        <v>3995291</v>
      </c>
      <c r="I44" s="275">
        <v>0</v>
      </c>
      <c r="J44" s="1112">
        <v>256596</v>
      </c>
      <c r="K44" s="1112">
        <v>3547199</v>
      </c>
      <c r="L44" s="1112">
        <v>153338</v>
      </c>
      <c r="M44" s="1112">
        <v>66819523</v>
      </c>
      <c r="N44" s="275">
        <v>0</v>
      </c>
      <c r="O44" s="1112">
        <v>7042491</v>
      </c>
      <c r="P44" s="275">
        <v>0</v>
      </c>
      <c r="Q44" s="1112">
        <v>12077828</v>
      </c>
      <c r="R44" s="1112">
        <v>71431797</v>
      </c>
      <c r="S44" s="275">
        <v>0</v>
      </c>
      <c r="T44" s="1112">
        <v>143297</v>
      </c>
      <c r="U44" s="1112">
        <v>1307532</v>
      </c>
      <c r="V44" s="1112">
        <v>762703</v>
      </c>
      <c r="W44" s="1112">
        <v>85017</v>
      </c>
      <c r="X44" s="1112">
        <v>37175</v>
      </c>
      <c r="Y44" s="1112">
        <v>1094339</v>
      </c>
      <c r="Z44" s="275">
        <v>0</v>
      </c>
      <c r="AA44" s="1112">
        <v>345812</v>
      </c>
      <c r="AB44" s="1112">
        <v>65775</v>
      </c>
      <c r="AC44" s="1112">
        <v>1577628</v>
      </c>
      <c r="AD44" s="1112">
        <v>1269115</v>
      </c>
      <c r="AE44" s="1112">
        <v>139461</v>
      </c>
      <c r="AF44" s="275">
        <v>0</v>
      </c>
      <c r="AG44" s="275">
        <v>0</v>
      </c>
      <c r="AH44" s="1112">
        <v>1182149</v>
      </c>
      <c r="AI44" s="1112">
        <v>1205032</v>
      </c>
      <c r="AJ44" s="275">
        <v>75</v>
      </c>
      <c r="AK44" s="1112">
        <v>11367269</v>
      </c>
      <c r="AL44" s="275">
        <v>0</v>
      </c>
      <c r="AM44" s="275">
        <v>0</v>
      </c>
      <c r="AN44" s="1112">
        <v>466258</v>
      </c>
      <c r="AO44" s="1112">
        <v>1635615</v>
      </c>
      <c r="AP44" s="1112">
        <v>737525</v>
      </c>
      <c r="AQ44" s="275">
        <v>0</v>
      </c>
      <c r="AR44" s="275">
        <v>0</v>
      </c>
      <c r="AS44" s="1112">
        <v>720895</v>
      </c>
      <c r="AT44" s="1112">
        <v>181137</v>
      </c>
      <c r="AU44" s="1112">
        <v>1473878</v>
      </c>
      <c r="AV44" s="275">
        <v>0</v>
      </c>
      <c r="AW44" s="1112">
        <v>961104</v>
      </c>
      <c r="AX44" s="1112">
        <v>253721</v>
      </c>
      <c r="AY44" s="1112">
        <v>2577466</v>
      </c>
      <c r="AZ44" s="1112">
        <v>95027</v>
      </c>
      <c r="BA44" s="275">
        <v>0</v>
      </c>
      <c r="BB44" s="1112">
        <v>264764</v>
      </c>
      <c r="BC44" s="1112">
        <v>519438</v>
      </c>
      <c r="BD44" s="275">
        <v>0</v>
      </c>
      <c r="BE44" s="275">
        <v>0</v>
      </c>
      <c r="BF44" s="1112">
        <v>13505752</v>
      </c>
      <c r="BG44" s="1112">
        <v>691348</v>
      </c>
      <c r="BH44" s="1112">
        <v>663269</v>
      </c>
      <c r="BI44" s="1112">
        <v>642843</v>
      </c>
      <c r="BJ44" s="1112">
        <v>117082</v>
      </c>
      <c r="BK44" s="1112">
        <v>590213</v>
      </c>
      <c r="BL44" s="275">
        <v>0</v>
      </c>
      <c r="BM44" s="1112">
        <v>152418</v>
      </c>
      <c r="BN44" s="1112">
        <v>418692</v>
      </c>
      <c r="BO44" s="1112">
        <v>977084</v>
      </c>
      <c r="BP44" s="1112">
        <v>2415505</v>
      </c>
      <c r="BQ44" s="1112">
        <v>71697928</v>
      </c>
      <c r="BR44" s="1112">
        <v>752765</v>
      </c>
      <c r="BS44" s="275">
        <v>0</v>
      </c>
    </row>
    <row r="45" spans="1:71" x14ac:dyDescent="0.3">
      <c r="A45" s="275">
        <v>81</v>
      </c>
      <c r="B45" s="275">
        <v>81</v>
      </c>
      <c r="C45" s="275" t="s">
        <v>219</v>
      </c>
      <c r="D45" s="275" t="s">
        <v>349</v>
      </c>
      <c r="E45" s="1112">
        <v>433479</v>
      </c>
      <c r="F45" s="1112">
        <v>373869</v>
      </c>
      <c r="G45" s="1112">
        <v>47852</v>
      </c>
      <c r="H45" s="1112">
        <v>1149414</v>
      </c>
      <c r="I45" s="275">
        <v>0</v>
      </c>
      <c r="J45" s="1112">
        <v>151615</v>
      </c>
      <c r="K45" s="1112">
        <v>303624</v>
      </c>
      <c r="L45" s="1112">
        <v>16681</v>
      </c>
      <c r="M45" s="1112">
        <v>2711568</v>
      </c>
      <c r="N45" s="275">
        <v>0</v>
      </c>
      <c r="O45" s="1112">
        <v>568836</v>
      </c>
      <c r="P45" s="275">
        <v>0</v>
      </c>
      <c r="Q45" s="1112">
        <v>2181802</v>
      </c>
      <c r="R45" s="1112">
        <v>4707897</v>
      </c>
      <c r="S45" s="275">
        <v>0</v>
      </c>
      <c r="T45" s="1112">
        <v>6303</v>
      </c>
      <c r="U45" s="1112">
        <v>227328</v>
      </c>
      <c r="V45" s="1112">
        <v>64212</v>
      </c>
      <c r="W45" s="1112">
        <v>37269</v>
      </c>
      <c r="X45" s="1112">
        <v>9139</v>
      </c>
      <c r="Y45" s="1112">
        <v>518229</v>
      </c>
      <c r="Z45" s="275">
        <v>0</v>
      </c>
      <c r="AA45" s="1112">
        <v>30918</v>
      </c>
      <c r="AB45" s="1112">
        <v>36579</v>
      </c>
      <c r="AC45" s="1112">
        <v>204586</v>
      </c>
      <c r="AD45" s="1112">
        <v>88720</v>
      </c>
      <c r="AE45" s="1112">
        <v>21169</v>
      </c>
      <c r="AF45" s="275">
        <v>0</v>
      </c>
      <c r="AG45" s="275">
        <v>0</v>
      </c>
      <c r="AH45" s="1112">
        <v>857044</v>
      </c>
      <c r="AI45" s="1112">
        <v>228023</v>
      </c>
      <c r="AJ45" s="1112">
        <v>176753</v>
      </c>
      <c r="AK45" s="1112">
        <v>1246336</v>
      </c>
      <c r="AL45" s="275">
        <v>0</v>
      </c>
      <c r="AM45" s="275">
        <v>0</v>
      </c>
      <c r="AN45" s="1112">
        <v>376525</v>
      </c>
      <c r="AO45" s="275">
        <v>0</v>
      </c>
      <c r="AP45" s="1112">
        <v>767904</v>
      </c>
      <c r="AQ45" s="275">
        <v>0</v>
      </c>
      <c r="AR45" s="1112">
        <v>312077</v>
      </c>
      <c r="AS45" s="1112">
        <v>115182</v>
      </c>
      <c r="AT45" s="1112">
        <v>114306</v>
      </c>
      <c r="AU45" s="1112">
        <v>179918</v>
      </c>
      <c r="AV45" s="275">
        <v>0</v>
      </c>
      <c r="AW45" s="1112">
        <v>211113</v>
      </c>
      <c r="AX45" s="1112">
        <v>133022</v>
      </c>
      <c r="AY45" s="1112">
        <v>340785</v>
      </c>
      <c r="AZ45" s="1112">
        <v>3344</v>
      </c>
      <c r="BA45" s="275">
        <v>0</v>
      </c>
      <c r="BB45" s="275">
        <v>0</v>
      </c>
      <c r="BC45" s="1112">
        <v>169172</v>
      </c>
      <c r="BD45" s="275">
        <v>0</v>
      </c>
      <c r="BE45" s="1112">
        <v>9127</v>
      </c>
      <c r="BF45" s="1112">
        <v>6713557</v>
      </c>
      <c r="BG45" s="1112">
        <v>44713</v>
      </c>
      <c r="BH45" s="1112">
        <v>30238</v>
      </c>
      <c r="BI45" s="1112">
        <v>544153</v>
      </c>
      <c r="BJ45" s="1112">
        <v>19657</v>
      </c>
      <c r="BK45" s="1112">
        <v>32920</v>
      </c>
      <c r="BL45" s="275">
        <v>0</v>
      </c>
      <c r="BM45" s="1112">
        <v>17911</v>
      </c>
      <c r="BN45" s="1112">
        <v>185058</v>
      </c>
      <c r="BO45" s="1112">
        <v>92865</v>
      </c>
      <c r="BP45" s="1112">
        <v>317806</v>
      </c>
      <c r="BQ45" s="1112">
        <v>8203846</v>
      </c>
      <c r="BR45" s="1112">
        <v>405086</v>
      </c>
      <c r="BS45" s="275">
        <v>0</v>
      </c>
    </row>
    <row r="46" spans="1:71" x14ac:dyDescent="0.3">
      <c r="A46" s="275">
        <v>82</v>
      </c>
      <c r="B46" s="275">
        <v>82</v>
      </c>
      <c r="C46" s="275" t="s">
        <v>554</v>
      </c>
      <c r="D46" s="275" t="s">
        <v>350</v>
      </c>
      <c r="E46" s="275">
        <v>0</v>
      </c>
      <c r="F46" s="1112">
        <v>12458143</v>
      </c>
      <c r="G46" s="1112">
        <v>140784</v>
      </c>
      <c r="H46" s="1112">
        <v>23547742</v>
      </c>
      <c r="I46" s="275">
        <v>0</v>
      </c>
      <c r="J46" s="1112">
        <v>1476347</v>
      </c>
      <c r="K46" s="1112">
        <v>5004367</v>
      </c>
      <c r="L46" s="1112">
        <v>518000</v>
      </c>
      <c r="M46" s="1112">
        <v>51193854</v>
      </c>
      <c r="N46" s="275">
        <v>0</v>
      </c>
      <c r="O46" s="1112">
        <v>4757577</v>
      </c>
      <c r="P46" s="275">
        <v>0</v>
      </c>
      <c r="Q46" s="1112">
        <v>4482458</v>
      </c>
      <c r="R46" s="1112">
        <v>68041632</v>
      </c>
      <c r="S46" s="275">
        <v>0</v>
      </c>
      <c r="T46" s="1112">
        <v>672500</v>
      </c>
      <c r="U46" s="1112">
        <v>182907</v>
      </c>
      <c r="V46" s="1112">
        <v>380175</v>
      </c>
      <c r="W46" s="275">
        <v>0</v>
      </c>
      <c r="X46" s="275">
        <v>0</v>
      </c>
      <c r="Y46" s="1112">
        <v>6174413</v>
      </c>
      <c r="Z46" s="275">
        <v>0</v>
      </c>
      <c r="AA46" s="1112">
        <v>148686</v>
      </c>
      <c r="AB46" s="1112">
        <v>220500</v>
      </c>
      <c r="AC46" s="1112">
        <v>1444038</v>
      </c>
      <c r="AD46" s="1112">
        <v>148480</v>
      </c>
      <c r="AE46" s="1112">
        <v>808922</v>
      </c>
      <c r="AF46" s="275">
        <v>0</v>
      </c>
      <c r="AG46" s="275">
        <v>0</v>
      </c>
      <c r="AH46" s="1112">
        <v>11377293</v>
      </c>
      <c r="AI46" s="1112">
        <v>4862611</v>
      </c>
      <c r="AJ46" s="1112">
        <v>2628381</v>
      </c>
      <c r="AK46" s="1112">
        <v>9414566</v>
      </c>
      <c r="AL46" s="275">
        <v>0</v>
      </c>
      <c r="AM46" s="275">
        <v>0</v>
      </c>
      <c r="AN46" s="1112">
        <v>5398799</v>
      </c>
      <c r="AO46" s="275">
        <v>0</v>
      </c>
      <c r="AP46" s="1112">
        <v>1687114</v>
      </c>
      <c r="AQ46" s="275">
        <v>0</v>
      </c>
      <c r="AR46" s="1112">
        <v>4048086</v>
      </c>
      <c r="AS46" s="1112">
        <v>2942592</v>
      </c>
      <c r="AT46" s="275">
        <v>0</v>
      </c>
      <c r="AU46" s="1112">
        <v>1216376</v>
      </c>
      <c r="AV46" s="275">
        <v>0</v>
      </c>
      <c r="AW46" s="1112">
        <v>1956897</v>
      </c>
      <c r="AX46" s="275">
        <v>0</v>
      </c>
      <c r="AY46" s="1112">
        <v>2908461</v>
      </c>
      <c r="AZ46" s="275">
        <v>0</v>
      </c>
      <c r="BA46" s="275">
        <v>0</v>
      </c>
      <c r="BB46" s="275">
        <v>0</v>
      </c>
      <c r="BC46" s="1112">
        <v>1048784</v>
      </c>
      <c r="BD46" s="275">
        <v>0</v>
      </c>
      <c r="BE46" s="1112">
        <v>7693</v>
      </c>
      <c r="BF46" s="1112">
        <v>32239045</v>
      </c>
      <c r="BG46" s="1112">
        <v>1648567</v>
      </c>
      <c r="BH46" s="1112">
        <v>90000</v>
      </c>
      <c r="BI46" s="1112">
        <v>21276348</v>
      </c>
      <c r="BJ46" s="1112">
        <v>237022</v>
      </c>
      <c r="BK46" s="1112">
        <v>132000</v>
      </c>
      <c r="BL46" s="275">
        <v>0</v>
      </c>
      <c r="BM46" s="275">
        <v>0</v>
      </c>
      <c r="BN46" s="1112">
        <v>2401171</v>
      </c>
      <c r="BO46" s="1112">
        <v>764724</v>
      </c>
      <c r="BP46" s="1112">
        <v>2986757</v>
      </c>
      <c r="BQ46" s="1112">
        <v>29575777</v>
      </c>
      <c r="BR46" s="1112">
        <v>737649</v>
      </c>
      <c r="BS46" s="275">
        <v>0</v>
      </c>
    </row>
    <row r="47" spans="1:71" x14ac:dyDescent="0.3">
      <c r="A47" s="275">
        <v>83</v>
      </c>
      <c r="B47" s="275">
        <v>83</v>
      </c>
      <c r="C47" s="275" t="s">
        <v>102</v>
      </c>
      <c r="D47" s="275" t="s">
        <v>351</v>
      </c>
      <c r="E47" s="1112">
        <v>9824897</v>
      </c>
      <c r="F47" s="1112">
        <v>13444154</v>
      </c>
      <c r="G47" s="1112">
        <v>4430389</v>
      </c>
      <c r="H47" s="1112">
        <v>29176120</v>
      </c>
      <c r="I47" s="275">
        <v>0</v>
      </c>
      <c r="J47" s="1112">
        <v>7553065</v>
      </c>
      <c r="K47" s="1112">
        <v>10322292</v>
      </c>
      <c r="L47" s="1112">
        <v>1302202</v>
      </c>
      <c r="M47" s="1112">
        <v>236435173</v>
      </c>
      <c r="N47" s="275">
        <v>0</v>
      </c>
      <c r="O47" s="1112">
        <v>27074783</v>
      </c>
      <c r="P47" s="275">
        <v>0</v>
      </c>
      <c r="Q47" s="1112">
        <v>48725014</v>
      </c>
      <c r="R47" s="1112">
        <v>217413229</v>
      </c>
      <c r="S47" s="275">
        <v>0</v>
      </c>
      <c r="T47" s="1112">
        <v>1330606</v>
      </c>
      <c r="U47" s="1112">
        <v>3768241</v>
      </c>
      <c r="V47" s="1112">
        <v>4284147</v>
      </c>
      <c r="W47" s="1112">
        <v>512708</v>
      </c>
      <c r="X47" s="1112">
        <v>266568</v>
      </c>
      <c r="Y47" s="1112">
        <v>7574573</v>
      </c>
      <c r="Z47" s="275">
        <v>0</v>
      </c>
      <c r="AA47" s="1112">
        <v>2688738</v>
      </c>
      <c r="AB47" s="1112">
        <v>4030508</v>
      </c>
      <c r="AC47" s="1112">
        <v>12193668</v>
      </c>
      <c r="AD47" s="1112">
        <v>3979557</v>
      </c>
      <c r="AE47" s="1112">
        <v>3149357</v>
      </c>
      <c r="AF47" s="275">
        <v>0</v>
      </c>
      <c r="AG47" s="275">
        <v>0</v>
      </c>
      <c r="AH47" s="1112">
        <v>20364421</v>
      </c>
      <c r="AI47" s="1112">
        <v>10232963</v>
      </c>
      <c r="AJ47" s="1112">
        <v>4962523</v>
      </c>
      <c r="AK47" s="1112">
        <v>41859494</v>
      </c>
      <c r="AL47" s="275">
        <v>0</v>
      </c>
      <c r="AM47" s="275">
        <v>0</v>
      </c>
      <c r="AN47" s="1112">
        <v>9786134</v>
      </c>
      <c r="AO47" s="1112">
        <v>3672452</v>
      </c>
      <c r="AP47" s="1112">
        <v>13187966</v>
      </c>
      <c r="AQ47" s="275">
        <v>0</v>
      </c>
      <c r="AR47" s="1112">
        <v>11922485</v>
      </c>
      <c r="AS47" s="1112">
        <v>5245177</v>
      </c>
      <c r="AT47" s="1112">
        <v>2669395</v>
      </c>
      <c r="AU47" s="1112">
        <v>5848487</v>
      </c>
      <c r="AV47" s="275">
        <v>0</v>
      </c>
      <c r="AW47" s="1112">
        <v>5712538</v>
      </c>
      <c r="AX47" s="1112">
        <v>7300499</v>
      </c>
      <c r="AY47" s="1112">
        <v>13000626</v>
      </c>
      <c r="AZ47" s="1112">
        <v>1282784</v>
      </c>
      <c r="BA47" s="275">
        <v>0</v>
      </c>
      <c r="BB47" s="1112">
        <v>375000</v>
      </c>
      <c r="BC47" s="1112">
        <v>4790040</v>
      </c>
      <c r="BD47" s="275">
        <v>0</v>
      </c>
      <c r="BE47" s="1112">
        <v>5236392</v>
      </c>
      <c r="BF47" s="1112">
        <v>48293659</v>
      </c>
      <c r="BG47" s="1112">
        <v>2426338</v>
      </c>
      <c r="BH47" s="1112">
        <v>1506405</v>
      </c>
      <c r="BI47" s="1112">
        <v>16224202</v>
      </c>
      <c r="BJ47" s="1112">
        <v>717954</v>
      </c>
      <c r="BK47" s="1112">
        <v>1846554</v>
      </c>
      <c r="BL47" s="275">
        <v>0</v>
      </c>
      <c r="BM47" s="1112">
        <v>2361900</v>
      </c>
      <c r="BN47" s="1112">
        <v>7058930</v>
      </c>
      <c r="BO47" s="1112">
        <v>3165691</v>
      </c>
      <c r="BP47" s="1112">
        <v>18831226</v>
      </c>
      <c r="BQ47" s="1112">
        <v>187427695</v>
      </c>
      <c r="BR47" s="1112">
        <v>9293868</v>
      </c>
      <c r="BS47" s="275">
        <v>0</v>
      </c>
    </row>
    <row r="48" spans="1:71" x14ac:dyDescent="0.3">
      <c r="A48" s="275">
        <v>84</v>
      </c>
      <c r="B48" s="275">
        <v>84</v>
      </c>
      <c r="C48" s="275" t="s">
        <v>227</v>
      </c>
      <c r="D48" s="275" t="s">
        <v>352</v>
      </c>
      <c r="E48" s="1112">
        <v>2990824</v>
      </c>
      <c r="F48" s="1112">
        <v>3654691</v>
      </c>
      <c r="G48" s="1112">
        <v>342290</v>
      </c>
      <c r="H48" s="1112">
        <v>10087309</v>
      </c>
      <c r="I48" s="275">
        <v>0</v>
      </c>
      <c r="J48" s="1112">
        <v>1378868</v>
      </c>
      <c r="K48" s="1112">
        <v>2589405</v>
      </c>
      <c r="L48" s="1112">
        <v>360761</v>
      </c>
      <c r="M48" s="1112">
        <v>17407409</v>
      </c>
      <c r="N48" s="275">
        <v>0</v>
      </c>
      <c r="O48" s="1112">
        <v>3967487</v>
      </c>
      <c r="P48" s="275">
        <v>0</v>
      </c>
      <c r="Q48" s="1112">
        <v>12702865</v>
      </c>
      <c r="R48" s="1112">
        <v>39517319</v>
      </c>
      <c r="S48" s="275">
        <v>0</v>
      </c>
      <c r="T48" s="1112">
        <v>79520</v>
      </c>
      <c r="U48" s="1112">
        <v>1524792</v>
      </c>
      <c r="V48" s="1112">
        <v>487246</v>
      </c>
      <c r="W48" s="1112">
        <v>239414</v>
      </c>
      <c r="X48" s="1112">
        <v>93055</v>
      </c>
      <c r="Y48" s="1112">
        <v>2832347</v>
      </c>
      <c r="Z48" s="275">
        <v>0</v>
      </c>
      <c r="AA48" s="1112">
        <v>331808</v>
      </c>
      <c r="AB48" s="1112">
        <v>149346</v>
      </c>
      <c r="AC48" s="1112">
        <v>2793066</v>
      </c>
      <c r="AD48" s="1112">
        <v>944685</v>
      </c>
      <c r="AE48" s="1112">
        <v>233820</v>
      </c>
      <c r="AF48" s="275">
        <v>0</v>
      </c>
      <c r="AG48" s="275">
        <v>0</v>
      </c>
      <c r="AH48" s="1112">
        <v>4423299</v>
      </c>
      <c r="AI48" s="1112">
        <v>2296764</v>
      </c>
      <c r="AJ48" s="1112">
        <v>1196831</v>
      </c>
      <c r="AK48" s="1112">
        <v>7921501</v>
      </c>
      <c r="AL48" s="275">
        <v>0</v>
      </c>
      <c r="AM48" s="275">
        <v>0</v>
      </c>
      <c r="AN48" s="1112">
        <v>3145142</v>
      </c>
      <c r="AO48" s="1112">
        <v>546697</v>
      </c>
      <c r="AP48" s="1112">
        <v>4696162</v>
      </c>
      <c r="AQ48" s="275">
        <v>0</v>
      </c>
      <c r="AR48" s="1112">
        <v>1006486</v>
      </c>
      <c r="AS48" s="1112">
        <v>648358</v>
      </c>
      <c r="AT48" s="1112">
        <v>763439</v>
      </c>
      <c r="AU48" s="1112">
        <v>1656353</v>
      </c>
      <c r="AV48" s="275">
        <v>0</v>
      </c>
      <c r="AW48" s="1112">
        <v>1420559</v>
      </c>
      <c r="AX48" s="1112">
        <v>549512</v>
      </c>
      <c r="AY48" s="1112">
        <v>1682039</v>
      </c>
      <c r="AZ48" s="1112">
        <v>41718</v>
      </c>
      <c r="BA48" s="275">
        <v>0</v>
      </c>
      <c r="BB48" s="275">
        <v>0</v>
      </c>
      <c r="BC48" s="1112">
        <v>1558840</v>
      </c>
      <c r="BD48" s="275">
        <v>0</v>
      </c>
      <c r="BE48" s="1112">
        <v>123777</v>
      </c>
      <c r="BF48" s="1112">
        <v>8846040</v>
      </c>
      <c r="BG48" s="1112">
        <v>477522</v>
      </c>
      <c r="BH48" s="1112">
        <v>192572</v>
      </c>
      <c r="BI48" s="1112">
        <v>5750281</v>
      </c>
      <c r="BJ48" s="1112">
        <v>149896</v>
      </c>
      <c r="BK48" s="1112">
        <v>392931</v>
      </c>
      <c r="BL48" s="275">
        <v>0</v>
      </c>
      <c r="BM48" s="1112">
        <v>142174</v>
      </c>
      <c r="BN48" s="1112">
        <v>1421352</v>
      </c>
      <c r="BO48" s="1112">
        <v>1023008</v>
      </c>
      <c r="BP48" s="1112">
        <v>2000420</v>
      </c>
      <c r="BQ48" s="1112">
        <v>31057981</v>
      </c>
      <c r="BR48" s="1112">
        <v>2224051</v>
      </c>
      <c r="BS48" s="275">
        <v>0</v>
      </c>
    </row>
    <row r="49" spans="1:71" x14ac:dyDescent="0.3">
      <c r="A49" s="275">
        <v>85</v>
      </c>
      <c r="B49" s="275">
        <v>85</v>
      </c>
      <c r="C49" s="275" t="s">
        <v>229</v>
      </c>
      <c r="D49" s="275" t="s">
        <v>353</v>
      </c>
      <c r="E49" s="1112">
        <v>3049749</v>
      </c>
      <c r="F49" s="1112">
        <v>2914215</v>
      </c>
      <c r="G49" s="1112">
        <v>421576</v>
      </c>
      <c r="H49" s="1112">
        <v>9554857</v>
      </c>
      <c r="I49" s="275">
        <v>0</v>
      </c>
      <c r="J49" s="1112">
        <v>1479206</v>
      </c>
      <c r="K49" s="1112">
        <v>2331648</v>
      </c>
      <c r="L49" s="1112">
        <v>371367</v>
      </c>
      <c r="M49" s="1112">
        <v>22902621</v>
      </c>
      <c r="N49" s="275">
        <v>0</v>
      </c>
      <c r="O49" s="1112">
        <v>3236487</v>
      </c>
      <c r="P49" s="275">
        <v>0</v>
      </c>
      <c r="Q49" s="1112">
        <v>13961079</v>
      </c>
      <c r="R49" s="1112">
        <v>27967981</v>
      </c>
      <c r="S49" s="275">
        <v>0</v>
      </c>
      <c r="T49" s="1112">
        <v>93378</v>
      </c>
      <c r="U49" s="1112">
        <v>1371564</v>
      </c>
      <c r="V49" s="1112">
        <v>553598</v>
      </c>
      <c r="W49" s="1112">
        <v>237049</v>
      </c>
      <c r="X49" s="1112">
        <v>99871</v>
      </c>
      <c r="Y49" s="1112">
        <v>2730511</v>
      </c>
      <c r="Z49" s="275">
        <v>0</v>
      </c>
      <c r="AA49" s="1112">
        <v>330066</v>
      </c>
      <c r="AB49" s="1112">
        <v>190708</v>
      </c>
      <c r="AC49" s="1112">
        <v>2292177</v>
      </c>
      <c r="AD49" s="1112">
        <v>795805</v>
      </c>
      <c r="AE49" s="1112">
        <v>281914</v>
      </c>
      <c r="AF49" s="275">
        <v>0</v>
      </c>
      <c r="AG49" s="275">
        <v>0</v>
      </c>
      <c r="AH49" s="1112">
        <v>3225939</v>
      </c>
      <c r="AI49" s="1112">
        <v>2292780</v>
      </c>
      <c r="AJ49" s="1112">
        <v>1090777</v>
      </c>
      <c r="AK49" s="1112">
        <v>8802659</v>
      </c>
      <c r="AL49" s="275">
        <v>0</v>
      </c>
      <c r="AM49" s="275">
        <v>0</v>
      </c>
      <c r="AN49" s="1112">
        <v>3591206</v>
      </c>
      <c r="AO49" s="1112">
        <v>289516</v>
      </c>
      <c r="AP49" s="1112">
        <v>4362394</v>
      </c>
      <c r="AQ49" s="275">
        <v>0</v>
      </c>
      <c r="AR49" s="1112">
        <v>1475838</v>
      </c>
      <c r="AS49" s="1112">
        <v>731263</v>
      </c>
      <c r="AT49" s="1112">
        <v>750256</v>
      </c>
      <c r="AU49" s="1112">
        <v>1464092</v>
      </c>
      <c r="AV49" s="275">
        <v>0</v>
      </c>
      <c r="AW49" s="1112">
        <v>1265121</v>
      </c>
      <c r="AX49" s="1112">
        <v>820677</v>
      </c>
      <c r="AY49" s="1112">
        <v>1826121</v>
      </c>
      <c r="AZ49" s="1112">
        <v>152450</v>
      </c>
      <c r="BA49" s="275">
        <v>0</v>
      </c>
      <c r="BB49" s="275">
        <v>0</v>
      </c>
      <c r="BC49" s="1112">
        <v>1369555</v>
      </c>
      <c r="BD49" s="275">
        <v>0</v>
      </c>
      <c r="BE49" s="1112">
        <v>334565</v>
      </c>
      <c r="BF49" s="1112">
        <v>6639588</v>
      </c>
      <c r="BG49" s="1112">
        <v>550786</v>
      </c>
      <c r="BH49" s="1112">
        <v>138860</v>
      </c>
      <c r="BI49" s="1112">
        <v>5421135</v>
      </c>
      <c r="BJ49" s="1112">
        <v>149994</v>
      </c>
      <c r="BK49" s="1112">
        <v>396607</v>
      </c>
      <c r="BL49" s="275">
        <v>0</v>
      </c>
      <c r="BM49" s="1112">
        <v>158500</v>
      </c>
      <c r="BN49" s="1112">
        <v>1585376</v>
      </c>
      <c r="BO49" s="1112">
        <v>1035402</v>
      </c>
      <c r="BP49" s="1112">
        <v>2029369</v>
      </c>
      <c r="BQ49" s="1112">
        <v>24770520</v>
      </c>
      <c r="BR49" s="1112">
        <v>2252873</v>
      </c>
      <c r="BS49" s="275">
        <v>0</v>
      </c>
    </row>
    <row r="50" spans="1:71" x14ac:dyDescent="0.3">
      <c r="A50" s="275">
        <v>88</v>
      </c>
      <c r="B50" s="275">
        <v>88</v>
      </c>
      <c r="C50" s="275" t="s">
        <v>226</v>
      </c>
      <c r="D50" s="275" t="s">
        <v>354</v>
      </c>
      <c r="E50" s="1112">
        <v>2424098</v>
      </c>
      <c r="F50" s="1112">
        <v>3564608</v>
      </c>
      <c r="G50" s="1112">
        <v>324448</v>
      </c>
      <c r="H50" s="1112">
        <v>9905081</v>
      </c>
      <c r="I50" s="275">
        <v>0</v>
      </c>
      <c r="J50" s="1112">
        <v>1341749</v>
      </c>
      <c r="K50" s="1112">
        <v>2154327</v>
      </c>
      <c r="L50" s="1112">
        <v>359361</v>
      </c>
      <c r="M50" s="1112">
        <v>16477807</v>
      </c>
      <c r="N50" s="275">
        <v>0</v>
      </c>
      <c r="O50" s="1112">
        <v>3778195</v>
      </c>
      <c r="P50" s="275">
        <v>0</v>
      </c>
      <c r="Q50" s="1112">
        <v>11765432</v>
      </c>
      <c r="R50" s="1112">
        <v>39480645</v>
      </c>
      <c r="S50" s="275">
        <v>0</v>
      </c>
      <c r="T50" s="1112">
        <v>79464</v>
      </c>
      <c r="U50" s="1112">
        <v>1174205</v>
      </c>
      <c r="V50" s="1112">
        <v>461820</v>
      </c>
      <c r="W50" s="1112">
        <v>236862</v>
      </c>
      <c r="X50" s="1112">
        <v>91097</v>
      </c>
      <c r="Y50" s="1112">
        <v>2832347</v>
      </c>
      <c r="Z50" s="275">
        <v>0</v>
      </c>
      <c r="AA50" s="1112">
        <v>250331</v>
      </c>
      <c r="AB50" s="1112">
        <v>145626</v>
      </c>
      <c r="AC50" s="1112">
        <v>2415755</v>
      </c>
      <c r="AD50" s="1112">
        <v>867667</v>
      </c>
      <c r="AE50" s="1112">
        <v>217590</v>
      </c>
      <c r="AF50" s="275">
        <v>0</v>
      </c>
      <c r="AG50" s="275">
        <v>0</v>
      </c>
      <c r="AH50" s="1112">
        <v>4335161</v>
      </c>
      <c r="AI50" s="1112">
        <v>2239784</v>
      </c>
      <c r="AJ50" s="1112">
        <v>1196831</v>
      </c>
      <c r="AK50" s="1112">
        <v>6930473</v>
      </c>
      <c r="AL50" s="275">
        <v>0</v>
      </c>
      <c r="AM50" s="275">
        <v>0</v>
      </c>
      <c r="AN50" s="1112">
        <v>2932706</v>
      </c>
      <c r="AO50" s="1112">
        <v>546697</v>
      </c>
      <c r="AP50" s="1112">
        <v>4602360</v>
      </c>
      <c r="AQ50" s="275">
        <v>0</v>
      </c>
      <c r="AR50" s="1112">
        <v>991480</v>
      </c>
      <c r="AS50" s="1112">
        <v>646107</v>
      </c>
      <c r="AT50" s="1112">
        <v>740760</v>
      </c>
      <c r="AU50" s="1112">
        <v>1632747</v>
      </c>
      <c r="AV50" s="275">
        <v>0</v>
      </c>
      <c r="AW50" s="1112">
        <v>1282366</v>
      </c>
      <c r="AX50" s="1112">
        <v>502567</v>
      </c>
      <c r="AY50" s="1112">
        <v>1666860</v>
      </c>
      <c r="AZ50" s="1112">
        <v>41718</v>
      </c>
      <c r="BA50" s="275">
        <v>0</v>
      </c>
      <c r="BB50" s="275">
        <v>0</v>
      </c>
      <c r="BC50" s="1112">
        <v>1514550</v>
      </c>
      <c r="BD50" s="275">
        <v>0</v>
      </c>
      <c r="BE50" s="1112">
        <v>116858</v>
      </c>
      <c r="BF50" s="1112">
        <v>7142711</v>
      </c>
      <c r="BG50" s="1112">
        <v>450101</v>
      </c>
      <c r="BH50" s="1112">
        <v>188553</v>
      </c>
      <c r="BI50" s="1112">
        <v>5437209</v>
      </c>
      <c r="BJ50" s="1112">
        <v>148371</v>
      </c>
      <c r="BK50" s="1112">
        <v>378644</v>
      </c>
      <c r="BL50" s="275">
        <v>0</v>
      </c>
      <c r="BM50" s="1112">
        <v>132279</v>
      </c>
      <c r="BN50" s="1112">
        <v>1386402</v>
      </c>
      <c r="BO50" s="1112">
        <v>1002469</v>
      </c>
      <c r="BP50" s="1112">
        <v>1759632</v>
      </c>
      <c r="BQ50" s="1112">
        <v>30691669</v>
      </c>
      <c r="BR50" s="1112">
        <v>2021738</v>
      </c>
      <c r="BS50" s="275">
        <v>0</v>
      </c>
    </row>
    <row r="51" spans="1:71" x14ac:dyDescent="0.3">
      <c r="A51" s="275">
        <v>89</v>
      </c>
      <c r="B51" s="275">
        <v>89</v>
      </c>
      <c r="C51" s="275" t="s">
        <v>230</v>
      </c>
      <c r="D51" s="275" t="s">
        <v>355</v>
      </c>
      <c r="E51" s="275">
        <v>0</v>
      </c>
      <c r="F51" s="1112">
        <v>482565</v>
      </c>
      <c r="G51" s="275">
        <v>0</v>
      </c>
      <c r="H51" s="1112">
        <v>348689</v>
      </c>
      <c r="I51" s="275">
        <v>0</v>
      </c>
      <c r="J51" s="1112">
        <v>2731</v>
      </c>
      <c r="K51" s="1112">
        <v>257757</v>
      </c>
      <c r="L51" s="1112">
        <v>28613</v>
      </c>
      <c r="M51" s="1112">
        <v>1559738</v>
      </c>
      <c r="N51" s="275">
        <v>0</v>
      </c>
      <c r="O51" s="1112">
        <v>135176</v>
      </c>
      <c r="P51" s="275">
        <v>0</v>
      </c>
      <c r="Q51" s="1112">
        <v>91369</v>
      </c>
      <c r="R51" s="1112">
        <v>2293656</v>
      </c>
      <c r="S51" s="275">
        <v>0</v>
      </c>
      <c r="T51" s="1112">
        <v>18865</v>
      </c>
      <c r="U51" s="1112">
        <v>4568</v>
      </c>
      <c r="V51" s="1112">
        <v>3276</v>
      </c>
      <c r="W51" s="275">
        <v>0</v>
      </c>
      <c r="X51" s="1112">
        <v>1527</v>
      </c>
      <c r="Y51" s="1112">
        <v>150479</v>
      </c>
      <c r="Z51" s="275">
        <v>0</v>
      </c>
      <c r="AA51" s="1112">
        <v>4882</v>
      </c>
      <c r="AB51" s="1112">
        <v>10830</v>
      </c>
      <c r="AC51" s="1112">
        <v>35791</v>
      </c>
      <c r="AD51" s="1112">
        <v>5812</v>
      </c>
      <c r="AE51" s="1112">
        <v>19306</v>
      </c>
      <c r="AF51" s="275">
        <v>0</v>
      </c>
      <c r="AG51" s="275">
        <v>0</v>
      </c>
      <c r="AH51" s="1112">
        <v>291993</v>
      </c>
      <c r="AI51" s="1112">
        <v>187628</v>
      </c>
      <c r="AJ51" s="1112">
        <v>103165</v>
      </c>
      <c r="AK51" s="1112">
        <v>138045</v>
      </c>
      <c r="AL51" s="275">
        <v>0</v>
      </c>
      <c r="AM51" s="275">
        <v>0</v>
      </c>
      <c r="AN51" s="1112">
        <v>119207</v>
      </c>
      <c r="AO51" s="275">
        <v>0</v>
      </c>
      <c r="AP51" s="1112">
        <v>21424</v>
      </c>
      <c r="AQ51" s="275">
        <v>0</v>
      </c>
      <c r="AR51" s="1112">
        <v>142906</v>
      </c>
      <c r="AS51" s="1112">
        <v>98547</v>
      </c>
      <c r="AT51" s="275">
        <v>0</v>
      </c>
      <c r="AU51" s="1112">
        <v>2432</v>
      </c>
      <c r="AV51" s="275">
        <v>0</v>
      </c>
      <c r="AW51" s="1112">
        <v>56858</v>
      </c>
      <c r="AX51" s="275">
        <v>178</v>
      </c>
      <c r="AY51" s="1112">
        <v>94118</v>
      </c>
      <c r="AZ51" s="275">
        <v>0</v>
      </c>
      <c r="BA51" s="275">
        <v>0</v>
      </c>
      <c r="BB51" s="275">
        <v>0</v>
      </c>
      <c r="BC51" s="1112">
        <v>36231</v>
      </c>
      <c r="BD51" s="275">
        <v>0</v>
      </c>
      <c r="BE51" s="275">
        <v>400</v>
      </c>
      <c r="BF51" s="1112">
        <v>1270175</v>
      </c>
      <c r="BG51" s="275">
        <v>0</v>
      </c>
      <c r="BH51" s="1112">
        <v>2689</v>
      </c>
      <c r="BI51" s="1112">
        <v>437180</v>
      </c>
      <c r="BJ51" s="1112">
        <v>7191</v>
      </c>
      <c r="BK51" s="1112">
        <v>6657</v>
      </c>
      <c r="BL51" s="275">
        <v>0</v>
      </c>
      <c r="BM51" s="275">
        <v>0</v>
      </c>
      <c r="BN51" s="1112">
        <v>57583</v>
      </c>
      <c r="BO51" s="1112">
        <v>4267</v>
      </c>
      <c r="BP51" s="1112">
        <v>50737</v>
      </c>
      <c r="BQ51" s="1112">
        <v>1428022</v>
      </c>
      <c r="BR51" s="1112">
        <v>10993</v>
      </c>
      <c r="BS51" s="275">
        <v>0</v>
      </c>
    </row>
    <row r="52" spans="1:71" x14ac:dyDescent="0.3">
      <c r="A52" s="275">
        <v>90</v>
      </c>
      <c r="B52" s="275">
        <v>90</v>
      </c>
      <c r="C52" s="275" t="s">
        <v>223</v>
      </c>
      <c r="D52" s="275" t="s">
        <v>356</v>
      </c>
      <c r="E52" s="275">
        <v>0</v>
      </c>
      <c r="F52" s="275">
        <v>0</v>
      </c>
      <c r="G52" s="275">
        <v>0</v>
      </c>
      <c r="H52" s="1112">
        <v>4352147</v>
      </c>
      <c r="I52" s="275">
        <v>0</v>
      </c>
      <c r="J52" s="275">
        <v>0</v>
      </c>
      <c r="K52" s="275">
        <v>0</v>
      </c>
      <c r="L52" s="275">
        <v>0</v>
      </c>
      <c r="M52" s="1112">
        <v>9921710</v>
      </c>
      <c r="N52" s="275">
        <v>0</v>
      </c>
      <c r="O52" s="275">
        <v>0</v>
      </c>
      <c r="P52" s="275">
        <v>0</v>
      </c>
      <c r="Q52" s="275">
        <v>0</v>
      </c>
      <c r="R52" s="275">
        <v>0</v>
      </c>
      <c r="S52" s="275">
        <v>0</v>
      </c>
      <c r="T52" s="275">
        <v>0</v>
      </c>
      <c r="U52" s="275">
        <v>0</v>
      </c>
      <c r="V52" s="275">
        <v>0</v>
      </c>
      <c r="W52" s="275">
        <v>0</v>
      </c>
      <c r="X52" s="275">
        <v>0</v>
      </c>
      <c r="Y52" s="1112">
        <v>6206258</v>
      </c>
      <c r="Z52" s="275">
        <v>0</v>
      </c>
      <c r="AA52" s="275">
        <v>0</v>
      </c>
      <c r="AB52" s="275">
        <v>0</v>
      </c>
      <c r="AC52" s="275">
        <v>0</v>
      </c>
      <c r="AD52" s="275">
        <v>0</v>
      </c>
      <c r="AE52" s="275">
        <v>0</v>
      </c>
      <c r="AF52" s="275">
        <v>0</v>
      </c>
      <c r="AG52" s="275">
        <v>0</v>
      </c>
      <c r="AH52" s="275">
        <v>0</v>
      </c>
      <c r="AI52" s="275">
        <v>0</v>
      </c>
      <c r="AJ52" s="1112">
        <v>538522</v>
      </c>
      <c r="AK52" s="275">
        <v>0</v>
      </c>
      <c r="AL52" s="275">
        <v>0</v>
      </c>
      <c r="AM52" s="275">
        <v>0</v>
      </c>
      <c r="AN52" s="1112">
        <v>616502</v>
      </c>
      <c r="AO52" s="275">
        <v>0</v>
      </c>
      <c r="AP52" s="275">
        <v>0</v>
      </c>
      <c r="AQ52" s="275">
        <v>0</v>
      </c>
      <c r="AR52" s="275">
        <v>0</v>
      </c>
      <c r="AS52" s="275">
        <v>0</v>
      </c>
      <c r="AT52" s="275">
        <v>0</v>
      </c>
      <c r="AU52" s="275">
        <v>0</v>
      </c>
      <c r="AV52" s="275">
        <v>0</v>
      </c>
      <c r="AW52" s="275">
        <v>0</v>
      </c>
      <c r="AX52" s="275">
        <v>0</v>
      </c>
      <c r="AY52" s="275">
        <v>0</v>
      </c>
      <c r="AZ52" s="275">
        <v>0</v>
      </c>
      <c r="BA52" s="275">
        <v>0</v>
      </c>
      <c r="BB52" s="275">
        <v>0</v>
      </c>
      <c r="BC52" s="275">
        <v>0</v>
      </c>
      <c r="BD52" s="275">
        <v>0</v>
      </c>
      <c r="BE52" s="275">
        <v>0</v>
      </c>
      <c r="BF52" s="275">
        <v>0</v>
      </c>
      <c r="BG52" s="275">
        <v>0</v>
      </c>
      <c r="BH52" s="1112">
        <v>1321677</v>
      </c>
      <c r="BI52" s="275">
        <v>0</v>
      </c>
      <c r="BJ52" s="275">
        <v>0</v>
      </c>
      <c r="BK52" s="275">
        <v>0</v>
      </c>
      <c r="BL52" s="275">
        <v>0</v>
      </c>
      <c r="BM52" s="275">
        <v>0</v>
      </c>
      <c r="BN52" s="275">
        <v>0</v>
      </c>
      <c r="BO52" s="275">
        <v>0</v>
      </c>
      <c r="BP52" s="275">
        <v>0</v>
      </c>
      <c r="BQ52" s="275">
        <v>0</v>
      </c>
      <c r="BR52" s="275">
        <v>0</v>
      </c>
      <c r="BS52" s="275">
        <v>0</v>
      </c>
    </row>
    <row r="53" spans="1:71" x14ac:dyDescent="0.3">
      <c r="A53" s="275">
        <v>91</v>
      </c>
      <c r="B53" s="275">
        <v>91</v>
      </c>
      <c r="C53" s="275" t="s">
        <v>224</v>
      </c>
      <c r="D53" s="275" t="s">
        <v>357</v>
      </c>
      <c r="E53" s="275">
        <v>0</v>
      </c>
      <c r="F53" s="275">
        <v>0</v>
      </c>
      <c r="G53" s="275">
        <v>0</v>
      </c>
      <c r="H53" s="1112">
        <v>4007124</v>
      </c>
      <c r="I53" s="275">
        <v>0</v>
      </c>
      <c r="J53" s="275">
        <v>0</v>
      </c>
      <c r="K53" s="275">
        <v>0</v>
      </c>
      <c r="L53" s="275">
        <v>0</v>
      </c>
      <c r="M53" s="1112">
        <v>6681364</v>
      </c>
      <c r="N53" s="275">
        <v>0</v>
      </c>
      <c r="O53" s="275">
        <v>0</v>
      </c>
      <c r="P53" s="275">
        <v>0</v>
      </c>
      <c r="Q53" s="275">
        <v>0</v>
      </c>
      <c r="R53" s="275">
        <v>0</v>
      </c>
      <c r="S53" s="275">
        <v>0</v>
      </c>
      <c r="T53" s="275">
        <v>0</v>
      </c>
      <c r="U53" s="275">
        <v>0</v>
      </c>
      <c r="V53" s="275">
        <v>0</v>
      </c>
      <c r="W53" s="275">
        <v>0</v>
      </c>
      <c r="X53" s="275">
        <v>0</v>
      </c>
      <c r="Y53" s="1112">
        <v>1578501</v>
      </c>
      <c r="Z53" s="275">
        <v>0</v>
      </c>
      <c r="AA53" s="275">
        <v>0</v>
      </c>
      <c r="AB53" s="275">
        <v>0</v>
      </c>
      <c r="AC53" s="275">
        <v>0</v>
      </c>
      <c r="AD53" s="275">
        <v>0</v>
      </c>
      <c r="AE53" s="275">
        <v>0</v>
      </c>
      <c r="AF53" s="275">
        <v>0</v>
      </c>
      <c r="AG53" s="275">
        <v>0</v>
      </c>
      <c r="AH53" s="275">
        <v>0</v>
      </c>
      <c r="AI53" s="275">
        <v>0</v>
      </c>
      <c r="AJ53" s="1112">
        <v>286758</v>
      </c>
      <c r="AK53" s="275">
        <v>0</v>
      </c>
      <c r="AL53" s="275">
        <v>0</v>
      </c>
      <c r="AM53" s="275">
        <v>0</v>
      </c>
      <c r="AN53" s="1112">
        <v>453061</v>
      </c>
      <c r="AO53" s="275">
        <v>0</v>
      </c>
      <c r="AP53" s="275">
        <v>0</v>
      </c>
      <c r="AQ53" s="275">
        <v>0</v>
      </c>
      <c r="AR53" s="275">
        <v>0</v>
      </c>
      <c r="AS53" s="275">
        <v>0</v>
      </c>
      <c r="AT53" s="275">
        <v>0</v>
      </c>
      <c r="AU53" s="275">
        <v>0</v>
      </c>
      <c r="AV53" s="275">
        <v>0</v>
      </c>
      <c r="AW53" s="275">
        <v>0</v>
      </c>
      <c r="AX53" s="275">
        <v>0</v>
      </c>
      <c r="AY53" s="275">
        <v>0</v>
      </c>
      <c r="AZ53" s="275">
        <v>0</v>
      </c>
      <c r="BA53" s="275">
        <v>0</v>
      </c>
      <c r="BB53" s="275">
        <v>0</v>
      </c>
      <c r="BC53" s="275">
        <v>0</v>
      </c>
      <c r="BD53" s="275">
        <v>0</v>
      </c>
      <c r="BE53" s="275">
        <v>0</v>
      </c>
      <c r="BF53" s="275">
        <v>0</v>
      </c>
      <c r="BG53" s="275">
        <v>0</v>
      </c>
      <c r="BH53" s="1112">
        <v>49026</v>
      </c>
      <c r="BI53" s="275">
        <v>0</v>
      </c>
      <c r="BJ53" s="275">
        <v>0</v>
      </c>
      <c r="BK53" s="275">
        <v>0</v>
      </c>
      <c r="BL53" s="275">
        <v>0</v>
      </c>
      <c r="BM53" s="275">
        <v>0</v>
      </c>
      <c r="BN53" s="275">
        <v>0</v>
      </c>
      <c r="BO53" s="275">
        <v>0</v>
      </c>
      <c r="BP53" s="275">
        <v>0</v>
      </c>
      <c r="BQ53" s="275">
        <v>0</v>
      </c>
      <c r="BR53" s="275">
        <v>0</v>
      </c>
      <c r="BS53" s="275">
        <v>0</v>
      </c>
    </row>
    <row r="54" spans="1:71" x14ac:dyDescent="0.3">
      <c r="A54" s="275"/>
      <c r="B54" s="275">
        <v>92</v>
      </c>
      <c r="C54" s="275" t="s">
        <v>632</v>
      </c>
      <c r="D54" s="275" t="s">
        <v>358</v>
      </c>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s="275"/>
      <c r="AG54" s="275"/>
      <c r="AH54" s="275"/>
      <c r="AI54" s="275"/>
      <c r="AJ54" s="275"/>
      <c r="AK54" s="275"/>
      <c r="AL54" s="275"/>
      <c r="AM54" s="275"/>
      <c r="AN54" s="275"/>
      <c r="AO54" s="275"/>
      <c r="AP54" s="275"/>
      <c r="AQ54" s="275"/>
      <c r="AR54" s="275"/>
      <c r="AS54" s="275"/>
      <c r="AT54" s="275"/>
      <c r="AU54" s="275"/>
      <c r="AV54" s="275"/>
      <c r="AW54" s="275"/>
      <c r="AX54" s="275"/>
      <c r="AY54" s="275"/>
      <c r="AZ54" s="275"/>
      <c r="BA54" s="275"/>
      <c r="BB54" s="275"/>
      <c r="BC54" s="275"/>
      <c r="BD54" s="275"/>
      <c r="BE54" s="275"/>
      <c r="BF54" s="275"/>
      <c r="BG54" s="275"/>
      <c r="BH54" s="275"/>
      <c r="BI54" s="275"/>
      <c r="BJ54" s="275"/>
      <c r="BK54" s="275"/>
      <c r="BL54" s="275"/>
      <c r="BM54" s="275"/>
      <c r="BN54" s="275"/>
      <c r="BO54" s="275"/>
      <c r="BP54" s="275"/>
      <c r="BQ54" s="275"/>
      <c r="BR54" s="275"/>
      <c r="BS54" s="275"/>
    </row>
    <row r="55" spans="1:71" x14ac:dyDescent="0.3">
      <c r="A55" s="275">
        <v>93</v>
      </c>
      <c r="B55" s="275">
        <v>93</v>
      </c>
      <c r="C55" s="275" t="s">
        <v>237</v>
      </c>
      <c r="D55" s="275" t="s">
        <v>359</v>
      </c>
      <c r="E55" s="275">
        <v>0</v>
      </c>
      <c r="F55" s="275">
        <v>0</v>
      </c>
      <c r="G55" s="275">
        <v>0</v>
      </c>
      <c r="H55" s="1112">
        <v>32524588</v>
      </c>
      <c r="I55" s="275">
        <v>0</v>
      </c>
      <c r="J55" s="275">
        <v>0</v>
      </c>
      <c r="K55" s="275">
        <v>0</v>
      </c>
      <c r="L55" s="275">
        <v>0</v>
      </c>
      <c r="M55" s="1112">
        <v>40806930</v>
      </c>
      <c r="N55" s="275">
        <v>0</v>
      </c>
      <c r="O55" s="275">
        <v>0</v>
      </c>
      <c r="P55" s="275">
        <v>0</v>
      </c>
      <c r="Q55" s="275">
        <v>0</v>
      </c>
      <c r="R55" s="275">
        <v>0</v>
      </c>
      <c r="S55" s="275">
        <v>0</v>
      </c>
      <c r="T55" s="275">
        <v>0</v>
      </c>
      <c r="U55" s="275">
        <v>0</v>
      </c>
      <c r="V55" s="275">
        <v>0</v>
      </c>
      <c r="W55" s="275">
        <v>0</v>
      </c>
      <c r="X55" s="275">
        <v>0</v>
      </c>
      <c r="Y55" s="1112">
        <v>11851392</v>
      </c>
      <c r="Z55" s="275">
        <v>0</v>
      </c>
      <c r="AA55" s="275">
        <v>0</v>
      </c>
      <c r="AB55" s="275">
        <v>0</v>
      </c>
      <c r="AC55" s="275">
        <v>0</v>
      </c>
      <c r="AD55" s="275">
        <v>0</v>
      </c>
      <c r="AE55" s="275">
        <v>0</v>
      </c>
      <c r="AF55" s="275">
        <v>0</v>
      </c>
      <c r="AG55" s="275">
        <v>0</v>
      </c>
      <c r="AH55" s="275">
        <v>0</v>
      </c>
      <c r="AI55" s="275">
        <v>0</v>
      </c>
      <c r="AJ55" s="1112">
        <v>2267481</v>
      </c>
      <c r="AK55" s="275">
        <v>0</v>
      </c>
      <c r="AL55" s="275">
        <v>0</v>
      </c>
      <c r="AM55" s="275">
        <v>0</v>
      </c>
      <c r="AN55" s="1112">
        <v>4784205</v>
      </c>
      <c r="AO55" s="275">
        <v>0</v>
      </c>
      <c r="AP55" s="275">
        <v>0</v>
      </c>
      <c r="AQ55" s="275">
        <v>0</v>
      </c>
      <c r="AR55" s="275">
        <v>0</v>
      </c>
      <c r="AS55" s="275">
        <v>0</v>
      </c>
      <c r="AT55" s="275">
        <v>0</v>
      </c>
      <c r="AU55" s="275">
        <v>0</v>
      </c>
      <c r="AV55" s="275">
        <v>0</v>
      </c>
      <c r="AW55" s="275">
        <v>0</v>
      </c>
      <c r="AX55" s="275">
        <v>0</v>
      </c>
      <c r="AY55" s="275">
        <v>0</v>
      </c>
      <c r="AZ55" s="275">
        <v>0</v>
      </c>
      <c r="BA55" s="275">
        <v>0</v>
      </c>
      <c r="BB55" s="275">
        <v>0</v>
      </c>
      <c r="BC55" s="275">
        <v>0</v>
      </c>
      <c r="BD55" s="275">
        <v>0</v>
      </c>
      <c r="BE55" s="275">
        <v>0</v>
      </c>
      <c r="BF55" s="275">
        <v>0</v>
      </c>
      <c r="BG55" s="275">
        <v>0</v>
      </c>
      <c r="BH55" s="1112">
        <v>416061</v>
      </c>
      <c r="BI55" s="275">
        <v>0</v>
      </c>
      <c r="BJ55" s="275">
        <v>0</v>
      </c>
      <c r="BK55" s="275">
        <v>0</v>
      </c>
      <c r="BL55" s="275">
        <v>0</v>
      </c>
      <c r="BM55" s="275">
        <v>0</v>
      </c>
      <c r="BN55" s="275">
        <v>0</v>
      </c>
      <c r="BO55" s="275">
        <v>0</v>
      </c>
      <c r="BP55" s="275">
        <v>0</v>
      </c>
      <c r="BQ55" s="275">
        <v>0</v>
      </c>
      <c r="BR55" s="275">
        <v>0</v>
      </c>
      <c r="BS55" s="275">
        <v>0</v>
      </c>
    </row>
    <row r="56" spans="1:71" x14ac:dyDescent="0.3">
      <c r="A56" s="275">
        <v>94</v>
      </c>
      <c r="B56" s="275">
        <v>94</v>
      </c>
      <c r="C56" s="275" t="s">
        <v>240</v>
      </c>
      <c r="D56" s="275" t="s">
        <v>360</v>
      </c>
      <c r="E56" s="275">
        <v>0</v>
      </c>
      <c r="F56" s="275">
        <v>0</v>
      </c>
      <c r="G56" s="275">
        <v>0</v>
      </c>
      <c r="H56" s="1112">
        <v>30461192</v>
      </c>
      <c r="I56" s="275">
        <v>0</v>
      </c>
      <c r="J56" s="275">
        <v>0</v>
      </c>
      <c r="K56" s="275">
        <v>0</v>
      </c>
      <c r="L56" s="275">
        <v>0</v>
      </c>
      <c r="M56" s="1112">
        <v>36896954</v>
      </c>
      <c r="N56" s="275">
        <v>0</v>
      </c>
      <c r="O56" s="275">
        <v>0</v>
      </c>
      <c r="P56" s="275">
        <v>0</v>
      </c>
      <c r="Q56" s="275">
        <v>0</v>
      </c>
      <c r="R56" s="275">
        <v>0</v>
      </c>
      <c r="S56" s="275">
        <v>0</v>
      </c>
      <c r="T56" s="275">
        <v>0</v>
      </c>
      <c r="U56" s="275">
        <v>0</v>
      </c>
      <c r="V56" s="275">
        <v>0</v>
      </c>
      <c r="W56" s="275">
        <v>0</v>
      </c>
      <c r="X56" s="275">
        <v>0</v>
      </c>
      <c r="Y56" s="1112">
        <v>10944868</v>
      </c>
      <c r="Z56" s="275">
        <v>0</v>
      </c>
      <c r="AA56" s="275">
        <v>0</v>
      </c>
      <c r="AB56" s="275">
        <v>0</v>
      </c>
      <c r="AC56" s="275">
        <v>0</v>
      </c>
      <c r="AD56" s="275">
        <v>0</v>
      </c>
      <c r="AE56" s="275">
        <v>0</v>
      </c>
      <c r="AF56" s="275">
        <v>0</v>
      </c>
      <c r="AG56" s="275">
        <v>0</v>
      </c>
      <c r="AH56" s="275">
        <v>0</v>
      </c>
      <c r="AI56" s="275">
        <v>0</v>
      </c>
      <c r="AJ56" s="1112">
        <v>2092380</v>
      </c>
      <c r="AK56" s="275">
        <v>0</v>
      </c>
      <c r="AL56" s="275">
        <v>0</v>
      </c>
      <c r="AM56" s="275">
        <v>0</v>
      </c>
      <c r="AN56" s="1112">
        <v>4720277</v>
      </c>
      <c r="AO56" s="275">
        <v>0</v>
      </c>
      <c r="AP56" s="275">
        <v>0</v>
      </c>
      <c r="AQ56" s="275">
        <v>0</v>
      </c>
      <c r="AR56" s="275">
        <v>0</v>
      </c>
      <c r="AS56" s="275">
        <v>0</v>
      </c>
      <c r="AT56" s="275">
        <v>0</v>
      </c>
      <c r="AU56" s="275">
        <v>0</v>
      </c>
      <c r="AV56" s="275">
        <v>0</v>
      </c>
      <c r="AW56" s="275">
        <v>0</v>
      </c>
      <c r="AX56" s="275">
        <v>0</v>
      </c>
      <c r="AY56" s="275">
        <v>0</v>
      </c>
      <c r="AZ56" s="275">
        <v>0</v>
      </c>
      <c r="BA56" s="275">
        <v>0</v>
      </c>
      <c r="BB56" s="275">
        <v>0</v>
      </c>
      <c r="BC56" s="275">
        <v>0</v>
      </c>
      <c r="BD56" s="275">
        <v>0</v>
      </c>
      <c r="BE56" s="275">
        <v>0</v>
      </c>
      <c r="BF56" s="275">
        <v>0</v>
      </c>
      <c r="BG56" s="275">
        <v>0</v>
      </c>
      <c r="BH56" s="1112">
        <v>279860</v>
      </c>
      <c r="BI56" s="275">
        <v>0</v>
      </c>
      <c r="BJ56" s="275">
        <v>0</v>
      </c>
      <c r="BK56" s="275">
        <v>0</v>
      </c>
      <c r="BL56" s="275">
        <v>0</v>
      </c>
      <c r="BM56" s="275">
        <v>0</v>
      </c>
      <c r="BN56" s="275">
        <v>0</v>
      </c>
      <c r="BO56" s="275">
        <v>0</v>
      </c>
      <c r="BP56" s="275">
        <v>0</v>
      </c>
      <c r="BQ56" s="275">
        <v>0</v>
      </c>
      <c r="BR56" s="275">
        <v>0</v>
      </c>
      <c r="BS56" s="275">
        <v>0</v>
      </c>
    </row>
    <row r="57" spans="1:71" x14ac:dyDescent="0.3">
      <c r="A57" s="275">
        <v>97</v>
      </c>
      <c r="B57" s="275">
        <v>97</v>
      </c>
      <c r="C57" s="275" t="s">
        <v>236</v>
      </c>
      <c r="D57" s="275" t="s">
        <v>361</v>
      </c>
      <c r="E57" s="275">
        <v>0</v>
      </c>
      <c r="F57" s="275">
        <v>0</v>
      </c>
      <c r="G57" s="275">
        <v>0</v>
      </c>
      <c r="H57" s="1112">
        <v>31404375</v>
      </c>
      <c r="I57" s="275">
        <v>0</v>
      </c>
      <c r="J57" s="275">
        <v>0</v>
      </c>
      <c r="K57" s="275">
        <v>0</v>
      </c>
      <c r="L57" s="275">
        <v>0</v>
      </c>
      <c r="M57" s="1112">
        <v>36541592</v>
      </c>
      <c r="N57" s="275">
        <v>0</v>
      </c>
      <c r="O57" s="275">
        <v>0</v>
      </c>
      <c r="P57" s="275">
        <v>0</v>
      </c>
      <c r="Q57" s="275">
        <v>0</v>
      </c>
      <c r="R57" s="275">
        <v>0</v>
      </c>
      <c r="S57" s="275">
        <v>0</v>
      </c>
      <c r="T57" s="275">
        <v>0</v>
      </c>
      <c r="U57" s="275">
        <v>0</v>
      </c>
      <c r="V57" s="275">
        <v>0</v>
      </c>
      <c r="W57" s="275">
        <v>0</v>
      </c>
      <c r="X57" s="275">
        <v>0</v>
      </c>
      <c r="Y57" s="1112">
        <v>11644043</v>
      </c>
      <c r="Z57" s="275">
        <v>0</v>
      </c>
      <c r="AA57" s="275">
        <v>0</v>
      </c>
      <c r="AB57" s="275">
        <v>0</v>
      </c>
      <c r="AC57" s="275">
        <v>0</v>
      </c>
      <c r="AD57" s="275">
        <v>0</v>
      </c>
      <c r="AE57" s="275">
        <v>0</v>
      </c>
      <c r="AF57" s="275">
        <v>0</v>
      </c>
      <c r="AG57" s="275">
        <v>0</v>
      </c>
      <c r="AH57" s="275">
        <v>0</v>
      </c>
      <c r="AI57" s="275">
        <v>0</v>
      </c>
      <c r="AJ57" s="1112">
        <v>2267408</v>
      </c>
      <c r="AK57" s="275">
        <v>0</v>
      </c>
      <c r="AL57" s="275">
        <v>0</v>
      </c>
      <c r="AM57" s="275">
        <v>0</v>
      </c>
      <c r="AN57" s="1112">
        <v>4715306</v>
      </c>
      <c r="AO57" s="275">
        <v>0</v>
      </c>
      <c r="AP57" s="275">
        <v>0</v>
      </c>
      <c r="AQ57" s="275">
        <v>0</v>
      </c>
      <c r="AR57" s="275">
        <v>0</v>
      </c>
      <c r="AS57" s="275">
        <v>0</v>
      </c>
      <c r="AT57" s="275">
        <v>0</v>
      </c>
      <c r="AU57" s="275">
        <v>0</v>
      </c>
      <c r="AV57" s="275">
        <v>0</v>
      </c>
      <c r="AW57" s="275">
        <v>0</v>
      </c>
      <c r="AX57" s="275">
        <v>0</v>
      </c>
      <c r="AY57" s="275">
        <v>0</v>
      </c>
      <c r="AZ57" s="275">
        <v>0</v>
      </c>
      <c r="BA57" s="275">
        <v>0</v>
      </c>
      <c r="BB57" s="275">
        <v>0</v>
      </c>
      <c r="BC57" s="275">
        <v>0</v>
      </c>
      <c r="BD57" s="275">
        <v>0</v>
      </c>
      <c r="BE57" s="275">
        <v>0</v>
      </c>
      <c r="BF57" s="275">
        <v>0</v>
      </c>
      <c r="BG57" s="275">
        <v>0</v>
      </c>
      <c r="BH57" s="1112">
        <v>408775</v>
      </c>
      <c r="BI57" s="275">
        <v>0</v>
      </c>
      <c r="BJ57" s="275">
        <v>0</v>
      </c>
      <c r="BK57" s="275">
        <v>0</v>
      </c>
      <c r="BL57" s="275">
        <v>0</v>
      </c>
      <c r="BM57" s="275">
        <v>0</v>
      </c>
      <c r="BN57" s="275">
        <v>0</v>
      </c>
      <c r="BO57" s="275">
        <v>0</v>
      </c>
      <c r="BP57" s="275">
        <v>0</v>
      </c>
      <c r="BQ57" s="275">
        <v>0</v>
      </c>
      <c r="BR57" s="275">
        <v>0</v>
      </c>
      <c r="BS57" s="275">
        <v>0</v>
      </c>
    </row>
    <row r="58" spans="1:71" x14ac:dyDescent="0.3">
      <c r="A58" s="275">
        <v>98</v>
      </c>
      <c r="B58" s="275">
        <v>98</v>
      </c>
      <c r="C58" s="275" t="s">
        <v>241</v>
      </c>
      <c r="D58" s="275" t="s">
        <v>362</v>
      </c>
      <c r="E58" s="275">
        <v>0</v>
      </c>
      <c r="F58" s="275">
        <v>0</v>
      </c>
      <c r="G58" s="275">
        <v>0</v>
      </c>
      <c r="H58" s="1112">
        <v>12151</v>
      </c>
      <c r="I58" s="275">
        <v>0</v>
      </c>
      <c r="J58" s="275">
        <v>0</v>
      </c>
      <c r="K58" s="275">
        <v>0</v>
      </c>
      <c r="L58" s="275">
        <v>0</v>
      </c>
      <c r="M58" s="1112">
        <v>120453</v>
      </c>
      <c r="N58" s="275">
        <v>0</v>
      </c>
      <c r="O58" s="275">
        <v>0</v>
      </c>
      <c r="P58" s="275">
        <v>0</v>
      </c>
      <c r="Q58" s="275">
        <v>0</v>
      </c>
      <c r="R58" s="275">
        <v>0</v>
      </c>
      <c r="S58" s="275">
        <v>0</v>
      </c>
      <c r="T58" s="275">
        <v>0</v>
      </c>
      <c r="U58" s="275">
        <v>0</v>
      </c>
      <c r="V58" s="275">
        <v>0</v>
      </c>
      <c r="W58" s="275">
        <v>0</v>
      </c>
      <c r="X58" s="275">
        <v>0</v>
      </c>
      <c r="Y58" s="1112">
        <v>53685</v>
      </c>
      <c r="Z58" s="275">
        <v>0</v>
      </c>
      <c r="AA58" s="275">
        <v>0</v>
      </c>
      <c r="AB58" s="275">
        <v>0</v>
      </c>
      <c r="AC58" s="275">
        <v>0</v>
      </c>
      <c r="AD58" s="275">
        <v>0</v>
      </c>
      <c r="AE58" s="275">
        <v>0</v>
      </c>
      <c r="AF58" s="275">
        <v>0</v>
      </c>
      <c r="AG58" s="275">
        <v>0</v>
      </c>
      <c r="AH58" s="275">
        <v>0</v>
      </c>
      <c r="AI58" s="275">
        <v>0</v>
      </c>
      <c r="AJ58" s="275">
        <v>0</v>
      </c>
      <c r="AK58" s="275">
        <v>0</v>
      </c>
      <c r="AL58" s="275">
        <v>0</v>
      </c>
      <c r="AM58" s="275">
        <v>0</v>
      </c>
      <c r="AN58" s="275">
        <v>0</v>
      </c>
      <c r="AO58" s="275">
        <v>0</v>
      </c>
      <c r="AP58" s="275">
        <v>0</v>
      </c>
      <c r="AQ58" s="275">
        <v>0</v>
      </c>
      <c r="AR58" s="275">
        <v>0</v>
      </c>
      <c r="AS58" s="275">
        <v>0</v>
      </c>
      <c r="AT58" s="275">
        <v>0</v>
      </c>
      <c r="AU58" s="275">
        <v>0</v>
      </c>
      <c r="AV58" s="275">
        <v>0</v>
      </c>
      <c r="AW58" s="275">
        <v>0</v>
      </c>
      <c r="AX58" s="275">
        <v>0</v>
      </c>
      <c r="AY58" s="275">
        <v>0</v>
      </c>
      <c r="AZ58" s="275">
        <v>0</v>
      </c>
      <c r="BA58" s="275">
        <v>0</v>
      </c>
      <c r="BB58" s="275">
        <v>0</v>
      </c>
      <c r="BC58" s="275">
        <v>0</v>
      </c>
      <c r="BD58" s="275">
        <v>0</v>
      </c>
      <c r="BE58" s="275">
        <v>0</v>
      </c>
      <c r="BF58" s="275">
        <v>0</v>
      </c>
      <c r="BG58" s="275">
        <v>0</v>
      </c>
      <c r="BH58" s="275">
        <v>0</v>
      </c>
      <c r="BI58" s="275">
        <v>0</v>
      </c>
      <c r="BJ58" s="275">
        <v>0</v>
      </c>
      <c r="BK58" s="275">
        <v>0</v>
      </c>
      <c r="BL58" s="275">
        <v>0</v>
      </c>
      <c r="BM58" s="275">
        <v>0</v>
      </c>
      <c r="BN58" s="275">
        <v>0</v>
      </c>
      <c r="BO58" s="275">
        <v>0</v>
      </c>
      <c r="BP58" s="275">
        <v>0</v>
      </c>
      <c r="BQ58" s="275">
        <v>0</v>
      </c>
      <c r="BR58" s="275">
        <v>0</v>
      </c>
      <c r="BS58" s="275">
        <v>0</v>
      </c>
    </row>
    <row r="59" spans="1:71" x14ac:dyDescent="0.3">
      <c r="A59" s="275">
        <v>99</v>
      </c>
      <c r="B59" s="275">
        <v>99</v>
      </c>
      <c r="C59" s="275" t="s">
        <v>238</v>
      </c>
      <c r="D59" s="275" t="s">
        <v>363</v>
      </c>
      <c r="E59" s="275">
        <v>0</v>
      </c>
      <c r="F59" s="275">
        <v>0</v>
      </c>
      <c r="G59" s="275">
        <v>0</v>
      </c>
      <c r="H59" s="1112">
        <v>24336816</v>
      </c>
      <c r="I59" s="275">
        <v>0</v>
      </c>
      <c r="J59" s="275">
        <v>0</v>
      </c>
      <c r="K59" s="275">
        <v>0</v>
      </c>
      <c r="L59" s="275">
        <v>0</v>
      </c>
      <c r="M59" s="1112">
        <v>25984245</v>
      </c>
      <c r="N59" s="275">
        <v>0</v>
      </c>
      <c r="O59" s="275">
        <v>0</v>
      </c>
      <c r="P59" s="275">
        <v>0</v>
      </c>
      <c r="Q59" s="275">
        <v>0</v>
      </c>
      <c r="R59" s="275">
        <v>0</v>
      </c>
      <c r="S59" s="275">
        <v>0</v>
      </c>
      <c r="T59" s="275">
        <v>0</v>
      </c>
      <c r="U59" s="275">
        <v>0</v>
      </c>
      <c r="V59" s="275">
        <v>0</v>
      </c>
      <c r="W59" s="275">
        <v>0</v>
      </c>
      <c r="X59" s="275">
        <v>0</v>
      </c>
      <c r="Y59" s="1112">
        <v>7970931</v>
      </c>
      <c r="Z59" s="275">
        <v>0</v>
      </c>
      <c r="AA59" s="275">
        <v>0</v>
      </c>
      <c r="AB59" s="275">
        <v>0</v>
      </c>
      <c r="AC59" s="275">
        <v>0</v>
      </c>
      <c r="AD59" s="275">
        <v>0</v>
      </c>
      <c r="AE59" s="275">
        <v>0</v>
      </c>
      <c r="AF59" s="275">
        <v>0</v>
      </c>
      <c r="AG59" s="275">
        <v>0</v>
      </c>
      <c r="AH59" s="275">
        <v>0</v>
      </c>
      <c r="AI59" s="275">
        <v>0</v>
      </c>
      <c r="AJ59" s="1112">
        <v>1355993</v>
      </c>
      <c r="AK59" s="275">
        <v>0</v>
      </c>
      <c r="AL59" s="275">
        <v>0</v>
      </c>
      <c r="AM59" s="275">
        <v>0</v>
      </c>
      <c r="AN59" s="1112">
        <v>3104896</v>
      </c>
      <c r="AO59" s="275">
        <v>0</v>
      </c>
      <c r="AP59" s="275">
        <v>0</v>
      </c>
      <c r="AQ59" s="275">
        <v>0</v>
      </c>
      <c r="AR59" s="275">
        <v>0</v>
      </c>
      <c r="AS59" s="275">
        <v>0</v>
      </c>
      <c r="AT59" s="275">
        <v>0</v>
      </c>
      <c r="AU59" s="275">
        <v>0</v>
      </c>
      <c r="AV59" s="275">
        <v>0</v>
      </c>
      <c r="AW59" s="275">
        <v>0</v>
      </c>
      <c r="AX59" s="275">
        <v>0</v>
      </c>
      <c r="AY59" s="275">
        <v>0</v>
      </c>
      <c r="AZ59" s="275">
        <v>0</v>
      </c>
      <c r="BA59" s="275">
        <v>0</v>
      </c>
      <c r="BB59" s="275">
        <v>0</v>
      </c>
      <c r="BC59" s="275">
        <v>0</v>
      </c>
      <c r="BD59" s="275">
        <v>0</v>
      </c>
      <c r="BE59" s="275">
        <v>0</v>
      </c>
      <c r="BF59" s="275">
        <v>0</v>
      </c>
      <c r="BG59" s="275">
        <v>0</v>
      </c>
      <c r="BH59" s="1112">
        <v>223221</v>
      </c>
      <c r="BI59" s="275">
        <v>0</v>
      </c>
      <c r="BJ59" s="275">
        <v>0</v>
      </c>
      <c r="BK59" s="275">
        <v>0</v>
      </c>
      <c r="BL59" s="275">
        <v>0</v>
      </c>
      <c r="BM59" s="275">
        <v>0</v>
      </c>
      <c r="BN59" s="275">
        <v>0</v>
      </c>
      <c r="BO59" s="275">
        <v>0</v>
      </c>
      <c r="BP59" s="275">
        <v>0</v>
      </c>
      <c r="BQ59" s="275">
        <v>0</v>
      </c>
      <c r="BR59" s="275">
        <v>0</v>
      </c>
      <c r="BS59" s="275">
        <v>0</v>
      </c>
    </row>
    <row r="60" spans="1:71" x14ac:dyDescent="0.3">
      <c r="A60" s="275">
        <v>100</v>
      </c>
      <c r="B60" s="275">
        <v>100</v>
      </c>
      <c r="C60" s="275" t="s">
        <v>251</v>
      </c>
      <c r="D60" s="275" t="s">
        <v>364</v>
      </c>
      <c r="E60" s="275">
        <v>0</v>
      </c>
      <c r="F60" s="275">
        <v>0</v>
      </c>
      <c r="G60" s="275">
        <v>0</v>
      </c>
      <c r="H60" s="1112">
        <v>146900</v>
      </c>
      <c r="I60" s="275">
        <v>0</v>
      </c>
      <c r="J60" s="275">
        <v>0</v>
      </c>
      <c r="K60" s="275">
        <v>0</v>
      </c>
      <c r="L60" s="275">
        <v>0</v>
      </c>
      <c r="M60" s="1112">
        <v>516000</v>
      </c>
      <c r="N60" s="275">
        <v>0</v>
      </c>
      <c r="O60" s="275">
        <v>0</v>
      </c>
      <c r="P60" s="275">
        <v>0</v>
      </c>
      <c r="Q60" s="275">
        <v>0</v>
      </c>
      <c r="R60" s="275">
        <v>0</v>
      </c>
      <c r="S60" s="275">
        <v>0</v>
      </c>
      <c r="T60" s="275">
        <v>0</v>
      </c>
      <c r="U60" s="275">
        <v>0</v>
      </c>
      <c r="V60" s="275">
        <v>0</v>
      </c>
      <c r="W60" s="275">
        <v>0</v>
      </c>
      <c r="X60" s="275">
        <v>0</v>
      </c>
      <c r="Y60" s="1112">
        <v>270089</v>
      </c>
      <c r="Z60" s="275">
        <v>0</v>
      </c>
      <c r="AA60" s="275">
        <v>0</v>
      </c>
      <c r="AB60" s="275">
        <v>0</v>
      </c>
      <c r="AC60" s="275">
        <v>0</v>
      </c>
      <c r="AD60" s="275">
        <v>0</v>
      </c>
      <c r="AE60" s="275">
        <v>0</v>
      </c>
      <c r="AF60" s="275">
        <v>0</v>
      </c>
      <c r="AG60" s="275">
        <v>0</v>
      </c>
      <c r="AH60" s="275">
        <v>0</v>
      </c>
      <c r="AI60" s="275">
        <v>0</v>
      </c>
      <c r="AJ60" s="275">
        <v>0</v>
      </c>
      <c r="AK60" s="275">
        <v>0</v>
      </c>
      <c r="AL60" s="275">
        <v>0</v>
      </c>
      <c r="AM60" s="275">
        <v>0</v>
      </c>
      <c r="AN60" s="275">
        <v>0</v>
      </c>
      <c r="AO60" s="275">
        <v>0</v>
      </c>
      <c r="AP60" s="275">
        <v>0</v>
      </c>
      <c r="AQ60" s="275">
        <v>0</v>
      </c>
      <c r="AR60" s="275">
        <v>0</v>
      </c>
      <c r="AS60" s="275">
        <v>0</v>
      </c>
      <c r="AT60" s="275">
        <v>0</v>
      </c>
      <c r="AU60" s="275">
        <v>0</v>
      </c>
      <c r="AV60" s="275">
        <v>0</v>
      </c>
      <c r="AW60" s="275">
        <v>0</v>
      </c>
      <c r="AX60" s="275">
        <v>0</v>
      </c>
      <c r="AY60" s="275">
        <v>0</v>
      </c>
      <c r="AZ60" s="275">
        <v>0</v>
      </c>
      <c r="BA60" s="275">
        <v>0</v>
      </c>
      <c r="BB60" s="275">
        <v>0</v>
      </c>
      <c r="BC60" s="275">
        <v>0</v>
      </c>
      <c r="BD60" s="275">
        <v>0</v>
      </c>
      <c r="BE60" s="275">
        <v>0</v>
      </c>
      <c r="BF60" s="275">
        <v>0</v>
      </c>
      <c r="BG60" s="275">
        <v>0</v>
      </c>
      <c r="BH60" s="275">
        <v>0</v>
      </c>
      <c r="BI60" s="275">
        <v>0</v>
      </c>
      <c r="BJ60" s="275">
        <v>0</v>
      </c>
      <c r="BK60" s="275">
        <v>0</v>
      </c>
      <c r="BL60" s="275">
        <v>0</v>
      </c>
      <c r="BM60" s="275">
        <v>0</v>
      </c>
      <c r="BN60" s="275">
        <v>0</v>
      </c>
      <c r="BO60" s="275">
        <v>0</v>
      </c>
      <c r="BP60" s="275">
        <v>0</v>
      </c>
      <c r="BQ60" s="275">
        <v>0</v>
      </c>
      <c r="BR60" s="275">
        <v>0</v>
      </c>
      <c r="BS60" s="275">
        <v>0</v>
      </c>
    </row>
    <row r="61" spans="1:71" x14ac:dyDescent="0.3">
      <c r="A61" s="275">
        <v>101</v>
      </c>
      <c r="B61" s="275">
        <v>101</v>
      </c>
      <c r="C61" s="275" t="s">
        <v>250</v>
      </c>
      <c r="D61" s="275" t="s">
        <v>365</v>
      </c>
      <c r="E61" s="275">
        <v>0</v>
      </c>
      <c r="F61" s="275">
        <v>0</v>
      </c>
      <c r="G61" s="275">
        <v>0</v>
      </c>
      <c r="H61" s="1112">
        <v>2450201</v>
      </c>
      <c r="I61" s="275">
        <v>0</v>
      </c>
      <c r="J61" s="275">
        <v>0</v>
      </c>
      <c r="K61" s="275">
        <v>0</v>
      </c>
      <c r="L61" s="275">
        <v>0</v>
      </c>
      <c r="M61" s="1112">
        <v>4704238</v>
      </c>
      <c r="N61" s="275">
        <v>0</v>
      </c>
      <c r="O61" s="275">
        <v>0</v>
      </c>
      <c r="P61" s="275">
        <v>0</v>
      </c>
      <c r="Q61" s="275">
        <v>0</v>
      </c>
      <c r="R61" s="275">
        <v>0</v>
      </c>
      <c r="S61" s="275">
        <v>0</v>
      </c>
      <c r="T61" s="275">
        <v>0</v>
      </c>
      <c r="U61" s="275">
        <v>0</v>
      </c>
      <c r="V61" s="275">
        <v>0</v>
      </c>
      <c r="W61" s="275">
        <v>0</v>
      </c>
      <c r="X61" s="275">
        <v>0</v>
      </c>
      <c r="Y61" s="1112">
        <v>1110581</v>
      </c>
      <c r="Z61" s="275">
        <v>0</v>
      </c>
      <c r="AA61" s="275">
        <v>0</v>
      </c>
      <c r="AB61" s="275">
        <v>0</v>
      </c>
      <c r="AC61" s="275">
        <v>0</v>
      </c>
      <c r="AD61" s="275">
        <v>0</v>
      </c>
      <c r="AE61" s="275">
        <v>0</v>
      </c>
      <c r="AF61" s="275">
        <v>0</v>
      </c>
      <c r="AG61" s="275">
        <v>0</v>
      </c>
      <c r="AH61" s="275">
        <v>0</v>
      </c>
      <c r="AI61" s="275">
        <v>0</v>
      </c>
      <c r="AJ61" s="275">
        <v>0</v>
      </c>
      <c r="AK61" s="275">
        <v>0</v>
      </c>
      <c r="AL61" s="275">
        <v>0</v>
      </c>
      <c r="AM61" s="275">
        <v>0</v>
      </c>
      <c r="AN61" s="1112">
        <v>239529</v>
      </c>
      <c r="AO61" s="275">
        <v>0</v>
      </c>
      <c r="AP61" s="275">
        <v>0</v>
      </c>
      <c r="AQ61" s="275">
        <v>0</v>
      </c>
      <c r="AR61" s="275">
        <v>0</v>
      </c>
      <c r="AS61" s="275">
        <v>0</v>
      </c>
      <c r="AT61" s="275">
        <v>0</v>
      </c>
      <c r="AU61" s="275">
        <v>0</v>
      </c>
      <c r="AV61" s="275">
        <v>0</v>
      </c>
      <c r="AW61" s="275">
        <v>0</v>
      </c>
      <c r="AX61" s="275">
        <v>0</v>
      </c>
      <c r="AY61" s="275">
        <v>0</v>
      </c>
      <c r="AZ61" s="275">
        <v>0</v>
      </c>
      <c r="BA61" s="275">
        <v>0</v>
      </c>
      <c r="BB61" s="275">
        <v>0</v>
      </c>
      <c r="BC61" s="275">
        <v>0</v>
      </c>
      <c r="BD61" s="275">
        <v>0</v>
      </c>
      <c r="BE61" s="275">
        <v>0</v>
      </c>
      <c r="BF61" s="275">
        <v>0</v>
      </c>
      <c r="BG61" s="275">
        <v>0</v>
      </c>
      <c r="BH61" s="275">
        <v>0</v>
      </c>
      <c r="BI61" s="275">
        <v>0</v>
      </c>
      <c r="BJ61" s="275">
        <v>0</v>
      </c>
      <c r="BK61" s="275">
        <v>0</v>
      </c>
      <c r="BL61" s="275">
        <v>0</v>
      </c>
      <c r="BM61" s="275">
        <v>0</v>
      </c>
      <c r="BN61" s="275">
        <v>0</v>
      </c>
      <c r="BO61" s="275">
        <v>0</v>
      </c>
      <c r="BP61" s="275">
        <v>0</v>
      </c>
      <c r="BQ61" s="275">
        <v>0</v>
      </c>
      <c r="BR61" s="275">
        <v>0</v>
      </c>
      <c r="BS61" s="275">
        <v>0</v>
      </c>
    </row>
    <row r="62" spans="1:71" x14ac:dyDescent="0.3">
      <c r="A62" s="275">
        <v>102</v>
      </c>
      <c r="B62" s="275">
        <v>102</v>
      </c>
      <c r="C62" s="275" t="s">
        <v>269</v>
      </c>
      <c r="D62" s="275" t="s">
        <v>366</v>
      </c>
      <c r="E62" s="275">
        <v>99.84</v>
      </c>
      <c r="F62" s="275">
        <v>96.35</v>
      </c>
      <c r="G62" s="275">
        <v>98.72</v>
      </c>
      <c r="H62" s="275">
        <v>97.15</v>
      </c>
      <c r="I62" s="275">
        <v>96.04</v>
      </c>
      <c r="J62" s="275">
        <v>94.05</v>
      </c>
      <c r="K62" s="275">
        <v>99.82</v>
      </c>
      <c r="L62" s="275">
        <v>80.819999999999993</v>
      </c>
      <c r="M62" s="275">
        <v>99.93</v>
      </c>
      <c r="N62" s="275" t="s">
        <v>1750</v>
      </c>
      <c r="O62" s="275">
        <v>99.33</v>
      </c>
      <c r="P62" s="275">
        <v>99.93</v>
      </c>
      <c r="Q62" s="275">
        <v>99.67</v>
      </c>
      <c r="R62" s="275">
        <v>99.95</v>
      </c>
      <c r="S62" s="275" t="s">
        <v>1750</v>
      </c>
      <c r="T62" s="275">
        <v>94.89</v>
      </c>
      <c r="U62" s="275">
        <v>99.91</v>
      </c>
      <c r="V62" s="275">
        <v>95.1</v>
      </c>
      <c r="W62" s="275">
        <v>95.05</v>
      </c>
      <c r="X62" s="275">
        <v>98.31</v>
      </c>
      <c r="Y62" s="275">
        <v>98.71</v>
      </c>
      <c r="Z62" s="275">
        <v>93.94</v>
      </c>
      <c r="AA62" s="275">
        <v>97.17</v>
      </c>
      <c r="AB62" s="275">
        <v>97.04</v>
      </c>
      <c r="AC62" s="275">
        <v>99.57</v>
      </c>
      <c r="AD62" s="275">
        <v>98.92</v>
      </c>
      <c r="AE62" s="275">
        <v>97.45</v>
      </c>
      <c r="AF62" s="275">
        <v>92.17</v>
      </c>
      <c r="AG62" s="275">
        <v>98.42</v>
      </c>
      <c r="AH62" s="275">
        <v>97.27</v>
      </c>
      <c r="AI62" s="275">
        <v>96.84</v>
      </c>
      <c r="AJ62" s="275">
        <v>95.8</v>
      </c>
      <c r="AK62" s="275">
        <v>99.62</v>
      </c>
      <c r="AL62" s="275" t="s">
        <v>1750</v>
      </c>
      <c r="AM62" s="275">
        <v>94.7</v>
      </c>
      <c r="AN62" s="275">
        <v>99.86</v>
      </c>
      <c r="AO62" s="275">
        <v>99.59</v>
      </c>
      <c r="AP62" s="275">
        <v>96.5</v>
      </c>
      <c r="AQ62" s="275">
        <v>99.5</v>
      </c>
      <c r="AR62" s="275">
        <v>96.78</v>
      </c>
      <c r="AS62" s="275">
        <v>96.84</v>
      </c>
      <c r="AT62" s="275">
        <v>99.95</v>
      </c>
      <c r="AU62" s="275">
        <v>97.21</v>
      </c>
      <c r="AV62" s="275" t="s">
        <v>1750</v>
      </c>
      <c r="AW62" s="275">
        <v>99.92</v>
      </c>
      <c r="AX62" s="275">
        <v>92.9</v>
      </c>
      <c r="AY62" s="275">
        <v>98.68</v>
      </c>
      <c r="AZ62" s="275">
        <v>92.48</v>
      </c>
      <c r="BA62" s="275">
        <v>95.98</v>
      </c>
      <c r="BB62" s="275">
        <v>97.73</v>
      </c>
      <c r="BC62" s="275">
        <v>99.04</v>
      </c>
      <c r="BD62" s="275">
        <v>90.59</v>
      </c>
      <c r="BE62" s="275">
        <v>86.5</v>
      </c>
      <c r="BF62" s="275">
        <v>99.5</v>
      </c>
      <c r="BG62" s="275">
        <v>98.53</v>
      </c>
      <c r="BH62" s="275">
        <v>95.78</v>
      </c>
      <c r="BI62" s="275">
        <v>99.92</v>
      </c>
      <c r="BJ62" s="275">
        <v>97.73</v>
      </c>
      <c r="BK62" s="275">
        <v>99.01</v>
      </c>
      <c r="BL62" s="275">
        <v>92.17</v>
      </c>
      <c r="BM62" s="275">
        <v>96.1</v>
      </c>
      <c r="BN62" s="275">
        <v>96.82</v>
      </c>
      <c r="BO62" s="275">
        <v>97.46</v>
      </c>
      <c r="BP62" s="275">
        <v>98.05</v>
      </c>
      <c r="BQ62" s="275">
        <v>98.6</v>
      </c>
      <c r="BR62" s="275">
        <v>97.65</v>
      </c>
      <c r="BS62" s="275">
        <v>98.93</v>
      </c>
    </row>
    <row r="63" spans="1:71" x14ac:dyDescent="0.3">
      <c r="A63" s="275">
        <v>103</v>
      </c>
      <c r="B63" s="275">
        <v>103</v>
      </c>
      <c r="C63" s="275" t="s">
        <v>270</v>
      </c>
      <c r="D63" s="275" t="s">
        <v>367</v>
      </c>
      <c r="E63" s="275">
        <v>100</v>
      </c>
      <c r="F63" s="275">
        <v>100</v>
      </c>
      <c r="G63" s="275">
        <v>100</v>
      </c>
      <c r="H63" s="275">
        <v>99.19</v>
      </c>
      <c r="I63" s="275">
        <v>100</v>
      </c>
      <c r="J63" s="275">
        <v>96.9</v>
      </c>
      <c r="K63" s="275">
        <v>100</v>
      </c>
      <c r="L63" s="275">
        <v>100</v>
      </c>
      <c r="M63" s="275">
        <v>99.5</v>
      </c>
      <c r="N63" s="275" t="s">
        <v>1750</v>
      </c>
      <c r="O63" s="275">
        <v>100</v>
      </c>
      <c r="P63" s="275">
        <v>100</v>
      </c>
      <c r="Q63" s="275">
        <v>99.83</v>
      </c>
      <c r="R63" s="275">
        <v>100</v>
      </c>
      <c r="S63" s="275" t="s">
        <v>1750</v>
      </c>
      <c r="T63" s="275">
        <v>100</v>
      </c>
      <c r="U63" s="275">
        <v>100</v>
      </c>
      <c r="V63" s="275">
        <v>100</v>
      </c>
      <c r="W63" s="275">
        <v>100</v>
      </c>
      <c r="X63" s="275">
        <v>100</v>
      </c>
      <c r="Y63" s="275">
        <v>99.48</v>
      </c>
      <c r="Z63" s="275">
        <v>100</v>
      </c>
      <c r="AA63" s="275">
        <v>100</v>
      </c>
      <c r="AB63" s="275">
        <v>100</v>
      </c>
      <c r="AC63" s="275" t="s">
        <v>1750</v>
      </c>
      <c r="AD63" s="275">
        <v>100</v>
      </c>
      <c r="AE63" s="275">
        <v>100</v>
      </c>
      <c r="AF63" s="275">
        <v>100</v>
      </c>
      <c r="AG63" s="275">
        <v>100</v>
      </c>
      <c r="AH63" s="275">
        <v>100</v>
      </c>
      <c r="AI63" s="275">
        <v>100</v>
      </c>
      <c r="AJ63" s="275">
        <v>100</v>
      </c>
      <c r="AK63" s="275">
        <v>100</v>
      </c>
      <c r="AL63" s="275" t="s">
        <v>1750</v>
      </c>
      <c r="AM63" s="275">
        <v>100</v>
      </c>
      <c r="AN63" s="275">
        <v>100</v>
      </c>
      <c r="AO63" s="275">
        <v>100</v>
      </c>
      <c r="AP63" s="275">
        <v>99.59</v>
      </c>
      <c r="AQ63" s="275">
        <v>100</v>
      </c>
      <c r="AR63" s="275">
        <v>100</v>
      </c>
      <c r="AS63" s="275">
        <v>100</v>
      </c>
      <c r="AT63" s="275">
        <v>99.99</v>
      </c>
      <c r="AU63" s="275">
        <v>100</v>
      </c>
      <c r="AV63" s="275" t="s">
        <v>1750</v>
      </c>
      <c r="AW63" s="275">
        <v>100</v>
      </c>
      <c r="AX63" s="275">
        <v>100</v>
      </c>
      <c r="AY63" s="275">
        <v>100</v>
      </c>
      <c r="AZ63" s="275">
        <v>100</v>
      </c>
      <c r="BA63" s="275">
        <v>100</v>
      </c>
      <c r="BB63" s="275">
        <v>100</v>
      </c>
      <c r="BC63" s="275">
        <v>100</v>
      </c>
      <c r="BD63" s="275">
        <v>100</v>
      </c>
      <c r="BE63" s="275">
        <v>100</v>
      </c>
      <c r="BF63" s="275">
        <v>99.65</v>
      </c>
      <c r="BG63" s="275">
        <v>100</v>
      </c>
      <c r="BH63" s="275">
        <v>100</v>
      </c>
      <c r="BI63" s="275">
        <v>100</v>
      </c>
      <c r="BJ63" s="275">
        <v>100</v>
      </c>
      <c r="BK63" s="275">
        <v>98.83</v>
      </c>
      <c r="BL63" s="275">
        <v>100</v>
      </c>
      <c r="BM63" s="275">
        <v>100</v>
      </c>
      <c r="BN63" s="275">
        <v>100</v>
      </c>
      <c r="BO63" s="275">
        <v>98.15</v>
      </c>
      <c r="BP63" s="275">
        <v>95.31</v>
      </c>
      <c r="BQ63" s="275">
        <v>99.32</v>
      </c>
      <c r="BR63" s="275">
        <v>100</v>
      </c>
      <c r="BS63" s="275">
        <v>100</v>
      </c>
    </row>
    <row r="64" spans="1:71" x14ac:dyDescent="0.3">
      <c r="A64" s="275"/>
      <c r="B64" s="275">
        <v>104</v>
      </c>
      <c r="C64" s="275" t="s">
        <v>368</v>
      </c>
      <c r="D64" s="275" t="s">
        <v>369</v>
      </c>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275"/>
      <c r="AF64" s="275"/>
      <c r="AG64" s="275"/>
      <c r="AH64" s="275"/>
      <c r="AI64" s="275"/>
      <c r="AJ64" s="275"/>
      <c r="AK64" s="275"/>
      <c r="AL64" s="275"/>
      <c r="AM64" s="275"/>
      <c r="AN64" s="275"/>
      <c r="AO64" s="275"/>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c r="BM64" s="275"/>
      <c r="BN64" s="275"/>
      <c r="BO64" s="275"/>
      <c r="BP64" s="275"/>
      <c r="BQ64" s="275"/>
      <c r="BR64" s="275"/>
      <c r="BS64" s="275"/>
    </row>
    <row r="65" spans="1:71" x14ac:dyDescent="0.3">
      <c r="A65" s="275"/>
      <c r="B65" s="275">
        <v>107</v>
      </c>
      <c r="C65" s="275" t="s">
        <v>633</v>
      </c>
      <c r="D65" s="275" t="s">
        <v>370</v>
      </c>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75"/>
      <c r="AE65" s="275"/>
      <c r="AF65" s="275"/>
      <c r="AG65" s="275"/>
      <c r="AH65" s="275"/>
      <c r="AI65" s="275"/>
      <c r="AJ65" s="275"/>
      <c r="AK65" s="275"/>
      <c r="AL65" s="275"/>
      <c r="AM65" s="275"/>
      <c r="AN65" s="275"/>
      <c r="AO65" s="275"/>
      <c r="AP65" s="275"/>
      <c r="AQ65" s="275"/>
      <c r="AR65" s="275"/>
      <c r="AS65" s="275"/>
      <c r="AT65" s="275"/>
      <c r="AU65" s="275"/>
      <c r="AV65" s="275"/>
      <c r="AW65" s="275"/>
      <c r="AX65" s="275"/>
      <c r="AY65" s="275"/>
      <c r="AZ65" s="275"/>
      <c r="BA65" s="275"/>
      <c r="BB65" s="275"/>
      <c r="BC65" s="275"/>
      <c r="BD65" s="275"/>
      <c r="BE65" s="275"/>
      <c r="BF65" s="275"/>
      <c r="BG65" s="275"/>
      <c r="BH65" s="275"/>
      <c r="BI65" s="275"/>
      <c r="BJ65" s="275"/>
      <c r="BK65" s="275"/>
      <c r="BL65" s="275"/>
      <c r="BM65" s="275"/>
      <c r="BN65" s="275"/>
      <c r="BO65" s="275"/>
      <c r="BP65" s="275"/>
      <c r="BQ65" s="275"/>
      <c r="BR65" s="275"/>
      <c r="BS65" s="275"/>
    </row>
    <row r="66" spans="1:71" x14ac:dyDescent="0.3">
      <c r="A66" s="275"/>
      <c r="B66" s="275">
        <v>108</v>
      </c>
      <c r="C66" s="275" t="s">
        <v>634</v>
      </c>
      <c r="D66" s="275" t="s">
        <v>371</v>
      </c>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275"/>
      <c r="AF66" s="275"/>
      <c r="AG66" s="275"/>
      <c r="AH66" s="275"/>
      <c r="AI66" s="275"/>
      <c r="AJ66" s="275"/>
      <c r="AK66" s="275"/>
      <c r="AL66" s="275"/>
      <c r="AM66" s="275"/>
      <c r="AN66" s="275"/>
      <c r="AO66" s="275"/>
      <c r="AP66" s="275"/>
      <c r="AQ66" s="275"/>
      <c r="AR66" s="275"/>
      <c r="AS66" s="275"/>
      <c r="AT66" s="275"/>
      <c r="AU66" s="275"/>
      <c r="AV66" s="275"/>
      <c r="AW66" s="275"/>
      <c r="AX66" s="275"/>
      <c r="AY66" s="275"/>
      <c r="AZ66" s="275"/>
      <c r="BA66" s="275"/>
      <c r="BB66" s="275"/>
      <c r="BC66" s="275"/>
      <c r="BD66" s="275"/>
      <c r="BE66" s="275"/>
      <c r="BF66" s="275"/>
      <c r="BG66" s="275"/>
      <c r="BH66" s="275"/>
      <c r="BI66" s="275"/>
      <c r="BJ66" s="275"/>
      <c r="BK66" s="275"/>
      <c r="BL66" s="275"/>
      <c r="BM66" s="275"/>
      <c r="BN66" s="275"/>
      <c r="BO66" s="275"/>
      <c r="BP66" s="275"/>
      <c r="BQ66" s="275"/>
      <c r="BR66" s="275"/>
      <c r="BS66" s="275"/>
    </row>
    <row r="67" spans="1:71" x14ac:dyDescent="0.3">
      <c r="A67" s="275"/>
      <c r="B67" s="275">
        <v>147</v>
      </c>
      <c r="C67" s="275" t="s">
        <v>372</v>
      </c>
      <c r="D67" s="275" t="s">
        <v>373</v>
      </c>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275"/>
      <c r="AF67" s="275"/>
      <c r="AG67" s="275"/>
      <c r="AH67" s="275"/>
      <c r="AI67" s="275"/>
      <c r="AJ67" s="275"/>
      <c r="AK67" s="275"/>
      <c r="AL67" s="275"/>
      <c r="AM67" s="275"/>
      <c r="AN67" s="275"/>
      <c r="AO67" s="275"/>
      <c r="AP67" s="275"/>
      <c r="AQ67" s="275"/>
      <c r="AR67" s="275"/>
      <c r="AS67" s="275"/>
      <c r="AT67" s="275"/>
      <c r="AU67" s="275"/>
      <c r="AV67" s="275"/>
      <c r="AW67" s="275"/>
      <c r="AX67" s="275"/>
      <c r="AY67" s="275"/>
      <c r="AZ67" s="275"/>
      <c r="BA67" s="275"/>
      <c r="BB67" s="275"/>
      <c r="BC67" s="275"/>
      <c r="BD67" s="275"/>
      <c r="BE67" s="275"/>
      <c r="BF67" s="275"/>
      <c r="BG67" s="275"/>
      <c r="BH67" s="275"/>
      <c r="BI67" s="275"/>
      <c r="BJ67" s="275"/>
      <c r="BK67" s="275"/>
      <c r="BL67" s="275"/>
      <c r="BM67" s="275"/>
      <c r="BN67" s="275"/>
      <c r="BO67" s="275"/>
      <c r="BP67" s="275"/>
      <c r="BQ67" s="275"/>
      <c r="BR67" s="275"/>
      <c r="BS67" s="275"/>
    </row>
    <row r="68" spans="1:71" x14ac:dyDescent="0.3">
      <c r="A68" s="275"/>
      <c r="B68" s="275">
        <v>148</v>
      </c>
      <c r="C68" s="275" t="s">
        <v>374</v>
      </c>
      <c r="D68" s="275" t="s">
        <v>375</v>
      </c>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5"/>
      <c r="AN68" s="275"/>
      <c r="AO68" s="275"/>
      <c r="AP68" s="275"/>
      <c r="AQ68" s="275"/>
      <c r="AR68" s="275"/>
      <c r="AS68" s="275"/>
      <c r="AT68" s="275"/>
      <c r="AU68" s="275"/>
      <c r="AV68" s="275"/>
      <c r="AW68" s="275"/>
      <c r="AX68" s="275"/>
      <c r="AY68" s="275"/>
      <c r="AZ68" s="275"/>
      <c r="BA68" s="275"/>
      <c r="BB68" s="275"/>
      <c r="BC68" s="275"/>
      <c r="BD68" s="275"/>
      <c r="BE68" s="275"/>
      <c r="BF68" s="275"/>
      <c r="BG68" s="275"/>
      <c r="BH68" s="275"/>
      <c r="BI68" s="275"/>
      <c r="BJ68" s="275"/>
      <c r="BK68" s="275"/>
      <c r="BL68" s="275"/>
      <c r="BM68" s="275"/>
      <c r="BN68" s="275"/>
      <c r="BO68" s="275"/>
      <c r="BP68" s="275"/>
      <c r="BQ68" s="275"/>
      <c r="BR68" s="275"/>
      <c r="BS68" s="275"/>
    </row>
    <row r="69" spans="1:71" x14ac:dyDescent="0.3">
      <c r="A69" s="275"/>
      <c r="B69" s="275">
        <v>149</v>
      </c>
      <c r="C69" s="275" t="s">
        <v>376</v>
      </c>
      <c r="D69" s="275" t="s">
        <v>377</v>
      </c>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75"/>
      <c r="AE69" s="275"/>
      <c r="AF69" s="275"/>
      <c r="AG69" s="275"/>
      <c r="AH69" s="275"/>
      <c r="AI69" s="275"/>
      <c r="AJ69" s="275"/>
      <c r="AK69" s="275"/>
      <c r="AL69" s="275"/>
      <c r="AM69" s="275"/>
      <c r="AN69" s="275"/>
      <c r="AO69" s="275"/>
      <c r="AP69" s="275"/>
      <c r="AQ69" s="275"/>
      <c r="AR69" s="275"/>
      <c r="AS69" s="275"/>
      <c r="AT69" s="275"/>
      <c r="AU69" s="275"/>
      <c r="AV69" s="275"/>
      <c r="AW69" s="275"/>
      <c r="AX69" s="275"/>
      <c r="AY69" s="275"/>
      <c r="AZ69" s="275"/>
      <c r="BA69" s="275"/>
      <c r="BB69" s="275"/>
      <c r="BC69" s="275"/>
      <c r="BD69" s="275"/>
      <c r="BE69" s="275"/>
      <c r="BF69" s="275"/>
      <c r="BG69" s="275"/>
      <c r="BH69" s="275"/>
      <c r="BI69" s="275"/>
      <c r="BJ69" s="275"/>
      <c r="BK69" s="275"/>
      <c r="BL69" s="275"/>
      <c r="BM69" s="275"/>
      <c r="BN69" s="275"/>
      <c r="BO69" s="275"/>
      <c r="BP69" s="275"/>
      <c r="BQ69" s="275"/>
      <c r="BR69" s="275"/>
      <c r="BS69" s="275"/>
    </row>
    <row r="70" spans="1:71" x14ac:dyDescent="0.3">
      <c r="A70" s="275"/>
      <c r="B70" s="275">
        <v>150</v>
      </c>
      <c r="C70" s="275" t="s">
        <v>378</v>
      </c>
      <c r="D70" s="275" t="s">
        <v>379</v>
      </c>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75"/>
      <c r="AE70" s="275"/>
      <c r="AF70" s="275"/>
      <c r="AG70" s="275"/>
      <c r="AH70" s="275"/>
      <c r="AI70" s="275"/>
      <c r="AJ70" s="275"/>
      <c r="AK70" s="275"/>
      <c r="AL70" s="275"/>
      <c r="AM70" s="275"/>
      <c r="AN70" s="275"/>
      <c r="AO70" s="275"/>
      <c r="AP70" s="275"/>
      <c r="AQ70" s="275"/>
      <c r="AR70" s="275"/>
      <c r="AS70" s="275"/>
      <c r="AT70" s="275"/>
      <c r="AU70" s="275"/>
      <c r="AV70" s="275"/>
      <c r="AW70" s="275"/>
      <c r="AX70" s="275"/>
      <c r="AY70" s="275"/>
      <c r="AZ70" s="275"/>
      <c r="BA70" s="275"/>
      <c r="BB70" s="275"/>
      <c r="BC70" s="275"/>
      <c r="BD70" s="275"/>
      <c r="BE70" s="275"/>
      <c r="BF70" s="275"/>
      <c r="BG70" s="275"/>
      <c r="BH70" s="275"/>
      <c r="BI70" s="275"/>
      <c r="BJ70" s="275"/>
      <c r="BK70" s="275"/>
      <c r="BL70" s="275"/>
      <c r="BM70" s="275"/>
      <c r="BN70" s="275"/>
      <c r="BO70" s="275"/>
      <c r="BP70" s="275"/>
      <c r="BQ70" s="275"/>
      <c r="BR70" s="275"/>
      <c r="BS70" s="275"/>
    </row>
    <row r="71" spans="1:71" x14ac:dyDescent="0.3">
      <c r="A71" s="275">
        <v>171</v>
      </c>
      <c r="B71" s="275">
        <v>171</v>
      </c>
      <c r="C71" s="275" t="s">
        <v>217</v>
      </c>
      <c r="D71" s="275" t="s">
        <v>380</v>
      </c>
      <c r="E71" s="1112">
        <v>514475</v>
      </c>
      <c r="F71" s="1112">
        <v>912489</v>
      </c>
      <c r="G71" s="275">
        <v>0</v>
      </c>
      <c r="H71" s="1112">
        <v>715835</v>
      </c>
      <c r="I71" s="275">
        <v>0</v>
      </c>
      <c r="J71" s="1112">
        <v>36273</v>
      </c>
      <c r="K71" s="1112">
        <v>140761</v>
      </c>
      <c r="L71" s="275">
        <v>0</v>
      </c>
      <c r="M71" s="1112">
        <v>4569865</v>
      </c>
      <c r="N71" s="275">
        <v>0</v>
      </c>
      <c r="O71" s="1112">
        <v>1436923</v>
      </c>
      <c r="P71" s="275">
        <v>0</v>
      </c>
      <c r="Q71" s="1112">
        <v>699041</v>
      </c>
      <c r="R71" s="1112">
        <v>9041820</v>
      </c>
      <c r="S71" s="275">
        <v>0</v>
      </c>
      <c r="T71" s="1112">
        <v>55737</v>
      </c>
      <c r="U71" s="1112">
        <v>338017</v>
      </c>
      <c r="V71" s="1112">
        <v>23568</v>
      </c>
      <c r="W71" s="275">
        <v>0</v>
      </c>
      <c r="X71" s="275">
        <v>0</v>
      </c>
      <c r="Y71" s="1112">
        <v>220740</v>
      </c>
      <c r="Z71" s="275">
        <v>0</v>
      </c>
      <c r="AA71" s="1112">
        <v>20576</v>
      </c>
      <c r="AB71" s="1112">
        <v>23847</v>
      </c>
      <c r="AC71" s="1112">
        <v>4015364</v>
      </c>
      <c r="AD71" s="1112">
        <v>151090</v>
      </c>
      <c r="AE71" s="275">
        <v>0</v>
      </c>
      <c r="AF71" s="1112">
        <v>20515</v>
      </c>
      <c r="AG71" s="275">
        <v>0</v>
      </c>
      <c r="AH71" s="1112">
        <v>536975</v>
      </c>
      <c r="AI71" s="1112">
        <v>227210</v>
      </c>
      <c r="AJ71" s="1112">
        <v>7632</v>
      </c>
      <c r="AK71" s="1112">
        <v>1561693</v>
      </c>
      <c r="AL71" s="275">
        <v>0</v>
      </c>
      <c r="AM71" s="275">
        <v>0</v>
      </c>
      <c r="AN71" s="1112">
        <v>113644</v>
      </c>
      <c r="AO71" s="275">
        <v>0</v>
      </c>
      <c r="AP71" s="1112">
        <v>391645</v>
      </c>
      <c r="AQ71" s="275">
        <v>0</v>
      </c>
      <c r="AR71" s="1112">
        <v>40905</v>
      </c>
      <c r="AS71" s="1112">
        <v>20244</v>
      </c>
      <c r="AT71" s="1112">
        <v>105020</v>
      </c>
      <c r="AU71" s="275">
        <v>0</v>
      </c>
      <c r="AV71" s="275">
        <v>0</v>
      </c>
      <c r="AW71" s="1112">
        <v>236989</v>
      </c>
      <c r="AX71" s="1112">
        <v>99470</v>
      </c>
      <c r="AY71" s="1112">
        <v>1249984</v>
      </c>
      <c r="AZ71" s="275">
        <v>0</v>
      </c>
      <c r="BA71" s="275">
        <v>0</v>
      </c>
      <c r="BB71" s="1112">
        <v>135474</v>
      </c>
      <c r="BC71" s="1112">
        <v>59538</v>
      </c>
      <c r="BD71" s="275">
        <v>0</v>
      </c>
      <c r="BE71" s="275">
        <v>0</v>
      </c>
      <c r="BF71" s="1112">
        <v>382300</v>
      </c>
      <c r="BG71" s="275">
        <v>0</v>
      </c>
      <c r="BH71" s="1112">
        <v>52818</v>
      </c>
      <c r="BI71" s="1112">
        <v>269069</v>
      </c>
      <c r="BJ71" s="275">
        <v>0</v>
      </c>
      <c r="BK71" s="1112">
        <v>51545</v>
      </c>
      <c r="BL71" s="275">
        <v>0</v>
      </c>
      <c r="BM71" s="275">
        <v>0</v>
      </c>
      <c r="BN71" s="275">
        <v>0</v>
      </c>
      <c r="BO71" s="275">
        <v>0</v>
      </c>
      <c r="BP71" s="1112">
        <v>86380</v>
      </c>
      <c r="BQ71" s="1112">
        <v>2675117</v>
      </c>
      <c r="BR71" s="1112">
        <v>197906</v>
      </c>
      <c r="BS71" s="1112">
        <v>434760</v>
      </c>
    </row>
    <row r="72" spans="1:71" x14ac:dyDescent="0.3">
      <c r="A72" s="275">
        <v>191</v>
      </c>
      <c r="B72" s="275">
        <v>191</v>
      </c>
      <c r="C72" s="275" t="s">
        <v>233</v>
      </c>
      <c r="D72" s="275" t="s">
        <v>381</v>
      </c>
      <c r="E72" s="275">
        <v>0</v>
      </c>
      <c r="F72" s="275">
        <v>0</v>
      </c>
      <c r="G72" s="275">
        <v>0</v>
      </c>
      <c r="H72" s="275">
        <v>0</v>
      </c>
      <c r="I72" s="275">
        <v>0</v>
      </c>
      <c r="J72" s="1112">
        <v>327919</v>
      </c>
      <c r="K72" s="275">
        <v>0</v>
      </c>
      <c r="L72" s="275">
        <v>0</v>
      </c>
      <c r="M72" s="1112">
        <v>14231202</v>
      </c>
      <c r="N72" s="275">
        <v>0</v>
      </c>
      <c r="O72" s="275">
        <v>0</v>
      </c>
      <c r="P72" s="275">
        <v>0</v>
      </c>
      <c r="Q72" s="275">
        <v>0</v>
      </c>
      <c r="R72" s="1112">
        <v>3829760</v>
      </c>
      <c r="S72" s="275">
        <v>0</v>
      </c>
      <c r="T72" s="275">
        <v>0</v>
      </c>
      <c r="U72" s="275">
        <v>0</v>
      </c>
      <c r="V72" s="1112">
        <v>1086645</v>
      </c>
      <c r="W72" s="1112">
        <v>115500</v>
      </c>
      <c r="X72" s="275">
        <v>0</v>
      </c>
      <c r="Y72" s="275">
        <v>0</v>
      </c>
      <c r="Z72" s="275">
        <v>0</v>
      </c>
      <c r="AA72" s="1112">
        <v>25000</v>
      </c>
      <c r="AB72" s="1112">
        <v>281634</v>
      </c>
      <c r="AC72" s="1112">
        <v>278328</v>
      </c>
      <c r="AD72" s="275">
        <v>0</v>
      </c>
      <c r="AE72" s="275">
        <v>0</v>
      </c>
      <c r="AF72" s="275">
        <v>0</v>
      </c>
      <c r="AG72" s="275">
        <v>0</v>
      </c>
      <c r="AH72" s="1112">
        <v>1198877</v>
      </c>
      <c r="AI72" s="275">
        <v>0</v>
      </c>
      <c r="AJ72" s="275">
        <v>0</v>
      </c>
      <c r="AK72" s="1112">
        <v>4766207</v>
      </c>
      <c r="AL72" s="275">
        <v>0</v>
      </c>
      <c r="AM72" s="275">
        <v>0</v>
      </c>
      <c r="AN72" s="1112">
        <v>430032</v>
      </c>
      <c r="AO72" s="275">
        <v>0</v>
      </c>
      <c r="AP72" s="275">
        <v>0</v>
      </c>
      <c r="AQ72" s="275">
        <v>0</v>
      </c>
      <c r="AR72" s="1112">
        <v>271991</v>
      </c>
      <c r="AS72" s="275">
        <v>0</v>
      </c>
      <c r="AT72" s="275">
        <v>0</v>
      </c>
      <c r="AU72" s="275">
        <v>0</v>
      </c>
      <c r="AV72" s="275">
        <v>0</v>
      </c>
      <c r="AW72" s="1112">
        <v>30100</v>
      </c>
      <c r="AX72" s="1112">
        <v>65992</v>
      </c>
      <c r="AY72" s="275">
        <v>0</v>
      </c>
      <c r="AZ72" s="275">
        <v>0</v>
      </c>
      <c r="BA72" s="275">
        <v>0</v>
      </c>
      <c r="BB72" s="275">
        <v>0</v>
      </c>
      <c r="BC72" s="275">
        <v>0</v>
      </c>
      <c r="BD72" s="275">
        <v>0</v>
      </c>
      <c r="BE72" s="275">
        <v>0</v>
      </c>
      <c r="BF72" s="275">
        <v>0</v>
      </c>
      <c r="BG72" s="275">
        <v>0</v>
      </c>
      <c r="BH72" s="275">
        <v>0</v>
      </c>
      <c r="BI72" s="275">
        <v>0</v>
      </c>
      <c r="BJ72" s="275">
        <v>0</v>
      </c>
      <c r="BK72" s="1112">
        <v>94074</v>
      </c>
      <c r="BL72" s="275">
        <v>0</v>
      </c>
      <c r="BM72" s="1112">
        <v>143260</v>
      </c>
      <c r="BN72" s="1112">
        <v>261053</v>
      </c>
      <c r="BO72" s="275">
        <v>0</v>
      </c>
      <c r="BP72" s="275">
        <v>0</v>
      </c>
      <c r="BQ72" s="275">
        <v>0</v>
      </c>
      <c r="BR72" s="1112">
        <v>821903</v>
      </c>
      <c r="BS72" s="275">
        <v>0</v>
      </c>
    </row>
    <row r="73" spans="1:71" x14ac:dyDescent="0.3">
      <c r="A73" s="275">
        <v>192</v>
      </c>
      <c r="B73" s="275">
        <v>192</v>
      </c>
      <c r="C73" s="275" t="s">
        <v>244</v>
      </c>
      <c r="D73" s="275" t="s">
        <v>382</v>
      </c>
      <c r="E73" s="275">
        <v>0</v>
      </c>
      <c r="F73" s="275">
        <v>0</v>
      </c>
      <c r="G73" s="275">
        <v>0</v>
      </c>
      <c r="H73" s="1112">
        <v>2430864</v>
      </c>
      <c r="I73" s="275">
        <v>0</v>
      </c>
      <c r="J73" s="275">
        <v>0</v>
      </c>
      <c r="K73" s="275">
        <v>0</v>
      </c>
      <c r="L73" s="275">
        <v>0</v>
      </c>
      <c r="M73" s="275">
        <v>0</v>
      </c>
      <c r="N73" s="275">
        <v>0</v>
      </c>
      <c r="O73" s="275">
        <v>0</v>
      </c>
      <c r="P73" s="275">
        <v>0</v>
      </c>
      <c r="Q73" s="275">
        <v>0</v>
      </c>
      <c r="R73" s="275">
        <v>0</v>
      </c>
      <c r="S73" s="275">
        <v>0</v>
      </c>
      <c r="T73" s="275">
        <v>0</v>
      </c>
      <c r="U73" s="275">
        <v>0</v>
      </c>
      <c r="V73" s="275">
        <v>0</v>
      </c>
      <c r="W73" s="275">
        <v>0</v>
      </c>
      <c r="X73" s="275">
        <v>0</v>
      </c>
      <c r="Y73" s="275">
        <v>0</v>
      </c>
      <c r="Z73" s="275">
        <v>0</v>
      </c>
      <c r="AA73" s="275">
        <v>0</v>
      </c>
      <c r="AB73" s="275">
        <v>0</v>
      </c>
      <c r="AC73" s="275">
        <v>0</v>
      </c>
      <c r="AD73" s="275">
        <v>0</v>
      </c>
      <c r="AE73" s="275">
        <v>0</v>
      </c>
      <c r="AF73" s="275">
        <v>0</v>
      </c>
      <c r="AG73" s="275">
        <v>0</v>
      </c>
      <c r="AH73" s="275">
        <v>0</v>
      </c>
      <c r="AI73" s="275">
        <v>0</v>
      </c>
      <c r="AJ73" s="275">
        <v>0</v>
      </c>
      <c r="AK73" s="275">
        <v>0</v>
      </c>
      <c r="AL73" s="275">
        <v>0</v>
      </c>
      <c r="AM73" s="275">
        <v>0</v>
      </c>
      <c r="AN73" s="275">
        <v>0</v>
      </c>
      <c r="AO73" s="275">
        <v>0</v>
      </c>
      <c r="AP73" s="275">
        <v>0</v>
      </c>
      <c r="AQ73" s="275">
        <v>0</v>
      </c>
      <c r="AR73" s="275">
        <v>0</v>
      </c>
      <c r="AS73" s="275">
        <v>0</v>
      </c>
      <c r="AT73" s="275">
        <v>0</v>
      </c>
      <c r="AU73" s="275">
        <v>0</v>
      </c>
      <c r="AV73" s="275">
        <v>0</v>
      </c>
      <c r="AW73" s="275">
        <v>0</v>
      </c>
      <c r="AX73" s="275">
        <v>0</v>
      </c>
      <c r="AY73" s="275">
        <v>0</v>
      </c>
      <c r="AZ73" s="275">
        <v>0</v>
      </c>
      <c r="BA73" s="275">
        <v>0</v>
      </c>
      <c r="BB73" s="275">
        <v>0</v>
      </c>
      <c r="BC73" s="275">
        <v>0</v>
      </c>
      <c r="BD73" s="275">
        <v>0</v>
      </c>
      <c r="BE73" s="275">
        <v>0</v>
      </c>
      <c r="BF73" s="275">
        <v>0</v>
      </c>
      <c r="BG73" s="275">
        <v>0</v>
      </c>
      <c r="BH73" s="275">
        <v>0</v>
      </c>
      <c r="BI73" s="275">
        <v>0</v>
      </c>
      <c r="BJ73" s="275">
        <v>0</v>
      </c>
      <c r="BK73" s="275">
        <v>0</v>
      </c>
      <c r="BL73" s="275">
        <v>0</v>
      </c>
      <c r="BM73" s="275">
        <v>0</v>
      </c>
      <c r="BN73" s="275">
        <v>0</v>
      </c>
      <c r="BO73" s="275">
        <v>0</v>
      </c>
      <c r="BP73" s="275">
        <v>0</v>
      </c>
      <c r="BQ73" s="275">
        <v>0</v>
      </c>
      <c r="BR73" s="275">
        <v>0</v>
      </c>
      <c r="BS73" s="275">
        <v>0</v>
      </c>
    </row>
    <row r="74" spans="1:71" x14ac:dyDescent="0.3">
      <c r="A74" s="275"/>
      <c r="B74" s="275">
        <v>193</v>
      </c>
      <c r="C74" s="275" t="s">
        <v>383</v>
      </c>
      <c r="D74" s="275" t="s">
        <v>384</v>
      </c>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75"/>
      <c r="AE74" s="275"/>
      <c r="AF74" s="275"/>
      <c r="AG74" s="275"/>
      <c r="AH74" s="275"/>
      <c r="AI74" s="275"/>
      <c r="AJ74" s="275"/>
      <c r="AK74" s="275"/>
      <c r="AL74" s="275"/>
      <c r="AM74" s="275"/>
      <c r="AN74" s="275"/>
      <c r="AO74" s="275"/>
      <c r="AP74" s="275"/>
      <c r="AQ74" s="275"/>
      <c r="AR74" s="275"/>
      <c r="AS74" s="275"/>
      <c r="AT74" s="275"/>
      <c r="AU74" s="275"/>
      <c r="AV74" s="275"/>
      <c r="AW74" s="275"/>
      <c r="AX74" s="275"/>
      <c r="AY74" s="275"/>
      <c r="AZ74" s="275"/>
      <c r="BA74" s="275"/>
      <c r="BB74" s="275"/>
      <c r="BC74" s="275"/>
      <c r="BD74" s="275"/>
      <c r="BE74" s="275"/>
      <c r="BF74" s="275"/>
      <c r="BG74" s="275"/>
      <c r="BH74" s="275"/>
      <c r="BI74" s="275"/>
      <c r="BJ74" s="275"/>
      <c r="BK74" s="275"/>
      <c r="BL74" s="275"/>
      <c r="BM74" s="275"/>
      <c r="BN74" s="275"/>
      <c r="BO74" s="275"/>
      <c r="BP74" s="275"/>
      <c r="BQ74" s="275"/>
      <c r="BR74" s="275"/>
      <c r="BS74" s="275"/>
    </row>
    <row r="75" spans="1:71" x14ac:dyDescent="0.3">
      <c r="A75" s="275"/>
      <c r="B75" s="275">
        <v>194</v>
      </c>
      <c r="C75" s="275" t="s">
        <v>385</v>
      </c>
      <c r="D75" s="275" t="s">
        <v>386</v>
      </c>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75"/>
      <c r="AE75" s="275"/>
      <c r="AF75" s="275"/>
      <c r="AG75" s="275"/>
      <c r="AH75" s="275"/>
      <c r="AI75" s="275"/>
      <c r="AJ75" s="275"/>
      <c r="AK75" s="275"/>
      <c r="AL75" s="275"/>
      <c r="AM75" s="275"/>
      <c r="AN75" s="275"/>
      <c r="AO75" s="275"/>
      <c r="AP75" s="275"/>
      <c r="AQ75" s="275"/>
      <c r="AR75" s="275"/>
      <c r="AS75" s="275"/>
      <c r="AT75" s="275"/>
      <c r="AU75" s="275"/>
      <c r="AV75" s="275"/>
      <c r="AW75" s="275"/>
      <c r="AX75" s="275"/>
      <c r="AY75" s="275"/>
      <c r="AZ75" s="275"/>
      <c r="BA75" s="275"/>
      <c r="BB75" s="275"/>
      <c r="BC75" s="275"/>
      <c r="BD75" s="275"/>
      <c r="BE75" s="275"/>
      <c r="BF75" s="275"/>
      <c r="BG75" s="275"/>
      <c r="BH75" s="275"/>
      <c r="BI75" s="275"/>
      <c r="BJ75" s="275"/>
      <c r="BK75" s="275"/>
      <c r="BL75" s="275"/>
      <c r="BM75" s="275"/>
      <c r="BN75" s="275"/>
      <c r="BO75" s="275"/>
      <c r="BP75" s="275"/>
      <c r="BQ75" s="275"/>
      <c r="BR75" s="275"/>
      <c r="BS75" s="275"/>
    </row>
    <row r="76" spans="1:71" x14ac:dyDescent="0.3">
      <c r="A76" s="275"/>
      <c r="B76" s="275">
        <v>231</v>
      </c>
      <c r="C76" s="275" t="s">
        <v>387</v>
      </c>
      <c r="D76" s="275" t="s">
        <v>388</v>
      </c>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c r="AF76" s="275"/>
      <c r="AG76" s="275"/>
      <c r="AH76" s="275"/>
      <c r="AI76" s="275"/>
      <c r="AJ76" s="275"/>
      <c r="AK76" s="275"/>
      <c r="AL76" s="275"/>
      <c r="AM76" s="275"/>
      <c r="AN76" s="275"/>
      <c r="AO76" s="275"/>
      <c r="AP76" s="275"/>
      <c r="AQ76" s="275"/>
      <c r="AR76" s="275"/>
      <c r="AS76" s="275"/>
      <c r="AT76" s="275"/>
      <c r="AU76" s="275"/>
      <c r="AV76" s="275"/>
      <c r="AW76" s="275"/>
      <c r="AX76" s="275"/>
      <c r="AY76" s="275"/>
      <c r="AZ76" s="275"/>
      <c r="BA76" s="275"/>
      <c r="BB76" s="275"/>
      <c r="BC76" s="275"/>
      <c r="BD76" s="275"/>
      <c r="BE76" s="275"/>
      <c r="BF76" s="275"/>
      <c r="BG76" s="275"/>
      <c r="BH76" s="275"/>
      <c r="BI76" s="275"/>
      <c r="BJ76" s="275"/>
      <c r="BK76" s="275"/>
      <c r="BL76" s="275"/>
      <c r="BM76" s="275"/>
      <c r="BN76" s="275"/>
      <c r="BO76" s="275"/>
      <c r="BP76" s="275"/>
      <c r="BQ76" s="275"/>
      <c r="BR76" s="275"/>
      <c r="BS76" s="275"/>
    </row>
    <row r="77" spans="1:71" x14ac:dyDescent="0.3">
      <c r="A77" s="275"/>
      <c r="B77" s="275">
        <v>251</v>
      </c>
      <c r="C77" s="275" t="s">
        <v>389</v>
      </c>
      <c r="D77" s="275" t="s">
        <v>390</v>
      </c>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75"/>
      <c r="AE77" s="275"/>
      <c r="AF77" s="275"/>
      <c r="AG77" s="275"/>
      <c r="AH77" s="275"/>
      <c r="AI77" s="275"/>
      <c r="AJ77" s="275"/>
      <c r="AK77" s="275"/>
      <c r="AL77" s="275"/>
      <c r="AM77" s="275"/>
      <c r="AN77" s="275"/>
      <c r="AO77" s="275"/>
      <c r="AP77" s="275"/>
      <c r="AQ77" s="275"/>
      <c r="AR77" s="275"/>
      <c r="AS77" s="275"/>
      <c r="AT77" s="275"/>
      <c r="AU77" s="275"/>
      <c r="AV77" s="275"/>
      <c r="AW77" s="275"/>
      <c r="AX77" s="275"/>
      <c r="AY77" s="275"/>
      <c r="AZ77" s="275"/>
      <c r="BA77" s="275"/>
      <c r="BB77" s="275"/>
      <c r="BC77" s="275"/>
      <c r="BD77" s="275"/>
      <c r="BE77" s="275"/>
      <c r="BF77" s="275"/>
      <c r="BG77" s="275"/>
      <c r="BH77" s="275"/>
      <c r="BI77" s="275"/>
      <c r="BJ77" s="275"/>
      <c r="BK77" s="275"/>
      <c r="BL77" s="275"/>
      <c r="BM77" s="275"/>
      <c r="BN77" s="275"/>
      <c r="BO77" s="275"/>
      <c r="BP77" s="275"/>
      <c r="BQ77" s="275"/>
      <c r="BR77" s="275"/>
      <c r="BS77" s="275"/>
    </row>
    <row r="78" spans="1:71" x14ac:dyDescent="0.3">
      <c r="A78" s="275">
        <v>252</v>
      </c>
      <c r="B78" s="275">
        <v>252</v>
      </c>
      <c r="C78" s="275" t="s">
        <v>103</v>
      </c>
      <c r="D78" s="275" t="s">
        <v>391</v>
      </c>
      <c r="E78" s="1112">
        <v>6494209</v>
      </c>
      <c r="F78" s="1112">
        <v>5374403</v>
      </c>
      <c r="G78" s="1112">
        <v>971000</v>
      </c>
      <c r="H78" s="1112">
        <v>17339345</v>
      </c>
      <c r="I78" s="1112">
        <v>95819</v>
      </c>
      <c r="J78" s="1112">
        <v>964923</v>
      </c>
      <c r="K78" s="1112">
        <v>4630833</v>
      </c>
      <c r="L78" s="1112">
        <v>444645</v>
      </c>
      <c r="M78" s="1112">
        <v>446503697</v>
      </c>
      <c r="N78" s="1112">
        <v>9266</v>
      </c>
      <c r="O78" s="1112">
        <v>17209967</v>
      </c>
      <c r="P78" s="1112">
        <v>490350</v>
      </c>
      <c r="Q78" s="1112">
        <v>23205351</v>
      </c>
      <c r="R78" s="1112">
        <v>113450923</v>
      </c>
      <c r="S78" s="275">
        <v>0</v>
      </c>
      <c r="T78" s="1112">
        <v>133075</v>
      </c>
      <c r="U78" s="1112">
        <v>9889457</v>
      </c>
      <c r="V78" s="1112">
        <v>511326</v>
      </c>
      <c r="W78" s="1112">
        <v>815391</v>
      </c>
      <c r="X78" s="1112">
        <v>316517</v>
      </c>
      <c r="Y78" s="1112">
        <v>4413435</v>
      </c>
      <c r="Z78" s="1112">
        <v>824855</v>
      </c>
      <c r="AA78" s="1112">
        <v>882685</v>
      </c>
      <c r="AB78" s="1112">
        <v>1748698</v>
      </c>
      <c r="AC78" s="1112">
        <v>7116661</v>
      </c>
      <c r="AD78" s="1112">
        <v>3788401</v>
      </c>
      <c r="AE78" s="1112">
        <v>362217</v>
      </c>
      <c r="AF78" s="1112">
        <v>280234</v>
      </c>
      <c r="AG78" s="1112">
        <v>24530</v>
      </c>
      <c r="AH78" s="1112">
        <v>5297043</v>
      </c>
      <c r="AI78" s="1112">
        <v>5954366</v>
      </c>
      <c r="AJ78" s="1112">
        <v>5152214</v>
      </c>
      <c r="AK78" s="1112">
        <v>12083247</v>
      </c>
      <c r="AL78" s="275">
        <v>0</v>
      </c>
      <c r="AM78" s="1112">
        <v>204154</v>
      </c>
      <c r="AN78" s="1112">
        <v>6773775</v>
      </c>
      <c r="AO78" s="1112">
        <v>4073573</v>
      </c>
      <c r="AP78" s="1112">
        <v>9199909</v>
      </c>
      <c r="AQ78" s="1112">
        <v>386865</v>
      </c>
      <c r="AR78" s="1112">
        <v>883198</v>
      </c>
      <c r="AS78" s="1112">
        <v>2623979</v>
      </c>
      <c r="AT78" s="1112">
        <v>2614454</v>
      </c>
      <c r="AU78" s="1112">
        <v>1284338</v>
      </c>
      <c r="AV78" s="275">
        <v>0</v>
      </c>
      <c r="AW78" s="1112">
        <v>11718680</v>
      </c>
      <c r="AX78" s="1112">
        <v>1953755</v>
      </c>
      <c r="AY78" s="1112">
        <v>14529227</v>
      </c>
      <c r="AZ78" s="1112">
        <v>88352</v>
      </c>
      <c r="BA78" s="1112">
        <v>251406</v>
      </c>
      <c r="BB78" s="1112">
        <v>3342046</v>
      </c>
      <c r="BC78" s="1112">
        <v>2498667</v>
      </c>
      <c r="BD78" s="275">
        <v>0</v>
      </c>
      <c r="BE78" s="1112">
        <v>305527</v>
      </c>
      <c r="BF78" s="1112">
        <v>13633749</v>
      </c>
      <c r="BG78" s="1112">
        <v>440788</v>
      </c>
      <c r="BH78" s="1112">
        <v>872520</v>
      </c>
      <c r="BI78" s="1112">
        <v>6744320</v>
      </c>
      <c r="BJ78" s="1112">
        <v>151210</v>
      </c>
      <c r="BK78" s="1112">
        <v>641935</v>
      </c>
      <c r="BL78" s="1112">
        <v>369682</v>
      </c>
      <c r="BM78" s="1112">
        <v>275800</v>
      </c>
      <c r="BN78" s="1112">
        <v>3464428</v>
      </c>
      <c r="BO78" s="1112">
        <v>229221</v>
      </c>
      <c r="BP78" s="1112">
        <v>2738527</v>
      </c>
      <c r="BQ78" s="1112">
        <v>66803442</v>
      </c>
      <c r="BR78" s="1112">
        <v>2624329</v>
      </c>
      <c r="BS78" s="1112">
        <v>26023677</v>
      </c>
    </row>
    <row r="79" spans="1:71" x14ac:dyDescent="0.3">
      <c r="A79" s="275">
        <v>253</v>
      </c>
      <c r="B79" s="275">
        <v>253</v>
      </c>
      <c r="C79" s="275" t="s">
        <v>104</v>
      </c>
      <c r="D79" s="275" t="s">
        <v>392</v>
      </c>
      <c r="E79" s="1112">
        <v>1312536</v>
      </c>
      <c r="F79" s="1112">
        <v>1188780</v>
      </c>
      <c r="G79" s="1112">
        <v>90043</v>
      </c>
      <c r="H79" s="1112">
        <v>3238404</v>
      </c>
      <c r="I79" s="1112">
        <v>8503</v>
      </c>
      <c r="J79" s="1112">
        <v>697688</v>
      </c>
      <c r="K79" s="1112">
        <v>737367</v>
      </c>
      <c r="L79" s="1112">
        <v>124175</v>
      </c>
      <c r="M79" s="1112">
        <v>11127882</v>
      </c>
      <c r="N79" s="275">
        <v>0</v>
      </c>
      <c r="O79" s="1112">
        <v>2496877</v>
      </c>
      <c r="P79" s="1112">
        <v>89386</v>
      </c>
      <c r="Q79" s="1112">
        <v>5953123</v>
      </c>
      <c r="R79" s="1112">
        <v>62152380</v>
      </c>
      <c r="S79" s="275">
        <v>0</v>
      </c>
      <c r="T79" s="1112">
        <v>22565</v>
      </c>
      <c r="U79" s="1112">
        <v>1251342</v>
      </c>
      <c r="V79" s="1112">
        <v>353321</v>
      </c>
      <c r="W79" s="1112">
        <v>75078</v>
      </c>
      <c r="X79" s="1112">
        <v>15218</v>
      </c>
      <c r="Y79" s="1112">
        <v>1566438</v>
      </c>
      <c r="Z79" s="1112">
        <v>252765</v>
      </c>
      <c r="AA79" s="1112">
        <v>156691</v>
      </c>
      <c r="AB79" s="1112">
        <v>95941</v>
      </c>
      <c r="AC79" s="1112">
        <v>3290946</v>
      </c>
      <c r="AD79" s="1112">
        <v>263444</v>
      </c>
      <c r="AE79" s="1112">
        <v>272253</v>
      </c>
      <c r="AF79" s="1112">
        <v>47352</v>
      </c>
      <c r="AG79" s="1112">
        <v>20716</v>
      </c>
      <c r="AH79" s="1112">
        <v>2985309</v>
      </c>
      <c r="AI79" s="1112">
        <v>627832</v>
      </c>
      <c r="AJ79" s="1112">
        <v>390078</v>
      </c>
      <c r="AK79" s="1112">
        <v>1015931</v>
      </c>
      <c r="AL79" s="275">
        <v>0</v>
      </c>
      <c r="AM79" s="1112">
        <v>8160</v>
      </c>
      <c r="AN79" s="1112">
        <v>389677</v>
      </c>
      <c r="AO79" s="1112">
        <v>407921</v>
      </c>
      <c r="AP79" s="1112">
        <v>731619</v>
      </c>
      <c r="AQ79" s="1112">
        <v>133100</v>
      </c>
      <c r="AR79" s="1112">
        <v>422667</v>
      </c>
      <c r="AS79" s="1112">
        <v>830779</v>
      </c>
      <c r="AT79" s="1112">
        <v>368486</v>
      </c>
      <c r="AU79" s="1112">
        <v>293456</v>
      </c>
      <c r="AV79" s="275">
        <v>0</v>
      </c>
      <c r="AW79" s="1112">
        <v>1381594</v>
      </c>
      <c r="AX79" s="1112">
        <v>191288</v>
      </c>
      <c r="AY79" s="1112">
        <v>866759</v>
      </c>
      <c r="AZ79" s="1112">
        <v>24545</v>
      </c>
      <c r="BA79" s="1112">
        <v>62036</v>
      </c>
      <c r="BB79" s="1112">
        <v>2898997</v>
      </c>
      <c r="BC79" s="1112">
        <v>1234140</v>
      </c>
      <c r="BD79" s="1112">
        <v>47728</v>
      </c>
      <c r="BE79" s="1112">
        <v>46399</v>
      </c>
      <c r="BF79" s="1112">
        <v>4432197</v>
      </c>
      <c r="BG79" s="1112">
        <v>244570</v>
      </c>
      <c r="BH79" s="1112">
        <v>301546</v>
      </c>
      <c r="BI79" s="1112">
        <v>2335295</v>
      </c>
      <c r="BJ79" s="1112">
        <v>69565</v>
      </c>
      <c r="BK79" s="1112">
        <v>382441</v>
      </c>
      <c r="BL79" s="1112">
        <v>51007</v>
      </c>
      <c r="BM79" s="1112">
        <v>70181</v>
      </c>
      <c r="BN79" s="1112">
        <v>137160</v>
      </c>
      <c r="BO79" s="1112">
        <v>98391</v>
      </c>
      <c r="BP79" s="1112">
        <v>504345</v>
      </c>
      <c r="BQ79" s="1112">
        <v>18886043</v>
      </c>
      <c r="BR79" s="1112">
        <v>257753</v>
      </c>
      <c r="BS79" s="1112">
        <v>1582047</v>
      </c>
    </row>
    <row r="80" spans="1:71" x14ac:dyDescent="0.3">
      <c r="A80" s="275">
        <v>254</v>
      </c>
      <c r="B80" s="275">
        <v>254</v>
      </c>
      <c r="C80" s="275" t="s">
        <v>105</v>
      </c>
      <c r="D80" s="275" t="s">
        <v>393</v>
      </c>
      <c r="E80" s="1112">
        <v>-1980673</v>
      </c>
      <c r="F80" s="1112">
        <v>-3470145</v>
      </c>
      <c r="G80" s="1112">
        <v>2302948</v>
      </c>
      <c r="H80" s="1112">
        <v>-3942202</v>
      </c>
      <c r="I80" s="1112">
        <v>471656</v>
      </c>
      <c r="J80" s="1112">
        <v>540676</v>
      </c>
      <c r="K80" s="1112">
        <v>3181885</v>
      </c>
      <c r="L80" s="1112">
        <v>289941</v>
      </c>
      <c r="M80" s="1112">
        <v>14301082</v>
      </c>
      <c r="N80" s="1112">
        <v>84775</v>
      </c>
      <c r="O80" s="1112">
        <v>6497381</v>
      </c>
      <c r="P80" s="1112">
        <v>2017219</v>
      </c>
      <c r="Q80" s="1112">
        <v>3746958</v>
      </c>
      <c r="R80" s="1112">
        <v>12239802</v>
      </c>
      <c r="S80" s="275" t="s">
        <v>1750</v>
      </c>
      <c r="T80" s="1112">
        <v>692131</v>
      </c>
      <c r="U80" s="1112">
        <v>1415441</v>
      </c>
      <c r="V80" s="1112">
        <v>835125</v>
      </c>
      <c r="W80" s="1112">
        <v>396655</v>
      </c>
      <c r="X80" s="1112">
        <v>308458</v>
      </c>
      <c r="Y80" s="1112">
        <v>-395223</v>
      </c>
      <c r="Z80" s="1112">
        <v>84254</v>
      </c>
      <c r="AA80" s="1112">
        <v>782930</v>
      </c>
      <c r="AB80" s="1112">
        <v>612980</v>
      </c>
      <c r="AC80" s="1112">
        <v>3994950</v>
      </c>
      <c r="AD80" s="1112">
        <v>2460985</v>
      </c>
      <c r="AE80" s="1112">
        <v>50275</v>
      </c>
      <c r="AF80" s="1112">
        <v>189173</v>
      </c>
      <c r="AG80" s="1112">
        <v>151695</v>
      </c>
      <c r="AH80" s="1112">
        <v>6521368</v>
      </c>
      <c r="AI80" s="1112">
        <v>7447011</v>
      </c>
      <c r="AJ80" s="1112">
        <v>435968</v>
      </c>
      <c r="AK80" s="1112">
        <v>1603324</v>
      </c>
      <c r="AL80" s="275" t="s">
        <v>1750</v>
      </c>
      <c r="AM80" s="1112">
        <v>76367</v>
      </c>
      <c r="AN80" s="1112">
        <v>2121074</v>
      </c>
      <c r="AO80" s="1112">
        <v>2499737</v>
      </c>
      <c r="AP80" s="1112">
        <v>1327791</v>
      </c>
      <c r="AQ80" s="1112">
        <v>293500</v>
      </c>
      <c r="AR80" s="1112">
        <v>1045683</v>
      </c>
      <c r="AS80" s="1112">
        <v>561393</v>
      </c>
      <c r="AT80" s="1112">
        <v>21979</v>
      </c>
      <c r="AU80" s="1112">
        <v>1973876</v>
      </c>
      <c r="AV80" s="275" t="s">
        <v>1750</v>
      </c>
      <c r="AW80" s="1112">
        <v>-5432828</v>
      </c>
      <c r="AX80" s="1112">
        <v>592829</v>
      </c>
      <c r="AY80" s="1112">
        <v>-366057</v>
      </c>
      <c r="AZ80" s="1112">
        <v>26960</v>
      </c>
      <c r="BA80" s="1112">
        <v>431346</v>
      </c>
      <c r="BB80" s="1112">
        <v>-2414977</v>
      </c>
      <c r="BC80" s="1112">
        <v>710757</v>
      </c>
      <c r="BD80" s="1112">
        <v>798426</v>
      </c>
      <c r="BE80" s="1112">
        <v>357382</v>
      </c>
      <c r="BF80" s="1112">
        <v>5001235</v>
      </c>
      <c r="BG80" s="1112">
        <v>224801</v>
      </c>
      <c r="BH80" s="1112">
        <v>376698</v>
      </c>
      <c r="BI80" s="1112">
        <v>3135586</v>
      </c>
      <c r="BJ80" s="1112">
        <v>518655</v>
      </c>
      <c r="BK80" s="1112">
        <v>619550</v>
      </c>
      <c r="BL80" s="1112">
        <v>605676</v>
      </c>
      <c r="BM80" s="1112">
        <v>1095156</v>
      </c>
      <c r="BN80" s="1112">
        <v>2153532</v>
      </c>
      <c r="BO80" s="1112">
        <v>697077</v>
      </c>
      <c r="BP80" s="1112">
        <v>2938245</v>
      </c>
      <c r="BQ80" s="1112">
        <v>7405182</v>
      </c>
      <c r="BR80" s="1112">
        <v>-978323</v>
      </c>
      <c r="BS80" s="1112">
        <v>5891600</v>
      </c>
    </row>
    <row r="81" spans="1:71" x14ac:dyDescent="0.3">
      <c r="A81" s="275">
        <v>255</v>
      </c>
      <c r="B81" s="275">
        <v>255</v>
      </c>
      <c r="C81" s="275" t="s">
        <v>197</v>
      </c>
      <c r="D81" s="275" t="s">
        <v>394</v>
      </c>
      <c r="E81" s="1112">
        <v>541290</v>
      </c>
      <c r="F81" s="1112">
        <v>36217</v>
      </c>
      <c r="G81" s="1112">
        <v>275315</v>
      </c>
      <c r="H81" s="1112">
        <v>2294076</v>
      </c>
      <c r="I81" s="1112">
        <v>18385</v>
      </c>
      <c r="J81" s="1112">
        <v>466031</v>
      </c>
      <c r="K81" s="1112">
        <v>436446</v>
      </c>
      <c r="L81" s="1112">
        <v>-28359</v>
      </c>
      <c r="M81" s="1112">
        <v>65114648</v>
      </c>
      <c r="N81" s="1112">
        <v>1211</v>
      </c>
      <c r="O81" s="1112">
        <v>1369622</v>
      </c>
      <c r="P81" s="1112">
        <v>370452</v>
      </c>
      <c r="Q81" s="1112">
        <v>2572522</v>
      </c>
      <c r="R81" s="1112">
        <v>19896161</v>
      </c>
      <c r="S81" s="275" t="s">
        <v>1750</v>
      </c>
      <c r="T81" s="1112">
        <v>57691</v>
      </c>
      <c r="U81" s="1112">
        <v>817486</v>
      </c>
      <c r="V81" s="1112">
        <v>57362</v>
      </c>
      <c r="W81" s="1112">
        <v>52107</v>
      </c>
      <c r="X81" s="1112">
        <v>-50881</v>
      </c>
      <c r="Y81" s="1112">
        <v>-126853</v>
      </c>
      <c r="Z81" s="1112">
        <v>81252</v>
      </c>
      <c r="AA81" s="1112">
        <v>179304</v>
      </c>
      <c r="AB81" s="1112">
        <v>160931</v>
      </c>
      <c r="AC81" s="1112">
        <v>-10567347</v>
      </c>
      <c r="AD81" s="1112">
        <v>410170</v>
      </c>
      <c r="AE81" s="1112">
        <v>-11638</v>
      </c>
      <c r="AF81" s="1112">
        <v>77736</v>
      </c>
      <c r="AG81" s="1112">
        <v>6940</v>
      </c>
      <c r="AH81" s="1112">
        <v>4437926</v>
      </c>
      <c r="AI81" s="1112">
        <v>534886</v>
      </c>
      <c r="AJ81" s="1112">
        <v>1262</v>
      </c>
      <c r="AK81" s="1112">
        <v>2504213</v>
      </c>
      <c r="AL81" s="275" t="s">
        <v>1750</v>
      </c>
      <c r="AM81" s="1112">
        <v>41727</v>
      </c>
      <c r="AN81" s="1112">
        <v>397704</v>
      </c>
      <c r="AO81" s="1112">
        <v>28132</v>
      </c>
      <c r="AP81" s="1112">
        <v>-275483</v>
      </c>
      <c r="AQ81" s="1112">
        <v>-1270</v>
      </c>
      <c r="AR81" s="1112">
        <v>234479</v>
      </c>
      <c r="AS81" s="1112">
        <v>153094</v>
      </c>
      <c r="AT81" s="1112">
        <v>368520</v>
      </c>
      <c r="AU81" s="1112">
        <v>-88265</v>
      </c>
      <c r="AV81" s="275" t="s">
        <v>1750</v>
      </c>
      <c r="AW81" s="1112">
        <v>2066719</v>
      </c>
      <c r="AX81" s="1112">
        <v>233636</v>
      </c>
      <c r="AY81" s="1112">
        <v>1502331</v>
      </c>
      <c r="AZ81" s="1112">
        <v>-1205</v>
      </c>
      <c r="BA81" s="1112">
        <v>38167</v>
      </c>
      <c r="BB81" s="1112">
        <v>-238081</v>
      </c>
      <c r="BC81" s="1112">
        <v>112364</v>
      </c>
      <c r="BD81" s="1112">
        <v>61308</v>
      </c>
      <c r="BE81" s="1112">
        <v>-18488</v>
      </c>
      <c r="BF81" s="1112">
        <v>-170174</v>
      </c>
      <c r="BG81" s="1112">
        <v>103746</v>
      </c>
      <c r="BH81" s="1112">
        <v>125433</v>
      </c>
      <c r="BI81" s="1112">
        <v>724067</v>
      </c>
      <c r="BJ81" s="1112">
        <v>55886</v>
      </c>
      <c r="BK81" s="1112">
        <v>19028</v>
      </c>
      <c r="BL81" s="1112">
        <v>-7477</v>
      </c>
      <c r="BM81" s="1112">
        <v>133461</v>
      </c>
      <c r="BN81" s="1112">
        <v>38544</v>
      </c>
      <c r="BO81" s="1112">
        <v>131379</v>
      </c>
      <c r="BP81" s="1112">
        <v>-384519</v>
      </c>
      <c r="BQ81" s="1112">
        <v>-34005</v>
      </c>
      <c r="BR81" s="1112">
        <v>-3808</v>
      </c>
      <c r="BS81" s="1112">
        <v>456312</v>
      </c>
    </row>
    <row r="82" spans="1:71" x14ac:dyDescent="0.3">
      <c r="A82" s="275"/>
      <c r="B82" s="275">
        <v>274</v>
      </c>
      <c r="C82" s="275" t="s">
        <v>395</v>
      </c>
      <c r="D82" s="275" t="s">
        <v>396</v>
      </c>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75"/>
      <c r="AE82" s="275"/>
      <c r="AF82" s="275"/>
      <c r="AG82" s="275"/>
      <c r="AH82" s="275"/>
      <c r="AI82" s="275"/>
      <c r="AJ82" s="275"/>
      <c r="AK82" s="275"/>
      <c r="AL82" s="275"/>
      <c r="AM82" s="275"/>
      <c r="AN82" s="275"/>
      <c r="AO82" s="275"/>
      <c r="AP82" s="275"/>
      <c r="AQ82" s="275"/>
      <c r="AR82" s="275"/>
      <c r="AS82" s="275"/>
      <c r="AT82" s="275"/>
      <c r="AU82" s="275"/>
      <c r="AV82" s="275"/>
      <c r="AW82" s="275"/>
      <c r="AX82" s="275"/>
      <c r="AY82" s="275"/>
      <c r="AZ82" s="275"/>
      <c r="BA82" s="275"/>
      <c r="BB82" s="275"/>
      <c r="BC82" s="275"/>
      <c r="BD82" s="275"/>
      <c r="BE82" s="275"/>
      <c r="BF82" s="275"/>
      <c r="BG82" s="275"/>
      <c r="BH82" s="275"/>
      <c r="BI82" s="275"/>
      <c r="BJ82" s="275"/>
      <c r="BK82" s="275"/>
      <c r="BL82" s="275"/>
      <c r="BM82" s="275"/>
      <c r="BN82" s="275"/>
      <c r="BO82" s="275"/>
      <c r="BP82" s="275"/>
      <c r="BQ82" s="275"/>
      <c r="BR82" s="275"/>
      <c r="BS82" s="275"/>
    </row>
    <row r="83" spans="1:71" x14ac:dyDescent="0.3">
      <c r="A83" s="275"/>
      <c r="B83" s="275">
        <v>294</v>
      </c>
      <c r="C83" s="275" t="s">
        <v>1752</v>
      </c>
      <c r="D83" s="275" t="s">
        <v>397</v>
      </c>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75"/>
      <c r="AE83" s="275"/>
      <c r="AF83" s="275"/>
      <c r="AG83" s="275"/>
      <c r="AH83" s="275"/>
      <c r="AI83" s="275"/>
      <c r="AJ83" s="275"/>
      <c r="AK83" s="275"/>
      <c r="AL83" s="275"/>
      <c r="AM83" s="275"/>
      <c r="AN83" s="275"/>
      <c r="AO83" s="275"/>
      <c r="AP83" s="275"/>
      <c r="AQ83" s="275"/>
      <c r="AR83" s="275"/>
      <c r="AS83" s="275"/>
      <c r="AT83" s="275"/>
      <c r="AU83" s="275"/>
      <c r="AV83" s="275"/>
      <c r="AW83" s="275"/>
      <c r="AX83" s="275"/>
      <c r="AY83" s="275"/>
      <c r="AZ83" s="275"/>
      <c r="BA83" s="275"/>
      <c r="BB83" s="275"/>
      <c r="BC83" s="275"/>
      <c r="BD83" s="275"/>
      <c r="BE83" s="275"/>
      <c r="BF83" s="275"/>
      <c r="BG83" s="275"/>
      <c r="BH83" s="275"/>
      <c r="BI83" s="275"/>
      <c r="BJ83" s="275"/>
      <c r="BK83" s="275"/>
      <c r="BL83" s="275"/>
      <c r="BM83" s="275"/>
      <c r="BN83" s="275"/>
      <c r="BO83" s="275"/>
      <c r="BP83" s="275"/>
      <c r="BQ83" s="275"/>
      <c r="BR83" s="275"/>
      <c r="BS83" s="275"/>
    </row>
    <row r="84" spans="1:71" x14ac:dyDescent="0.3">
      <c r="A84" s="275"/>
      <c r="B84" s="275">
        <v>314</v>
      </c>
      <c r="C84" s="275" t="s">
        <v>398</v>
      </c>
      <c r="D84" s="275" t="s">
        <v>399</v>
      </c>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275"/>
      <c r="AJ84" s="275"/>
      <c r="AK84" s="275"/>
      <c r="AL84" s="275"/>
      <c r="AM84" s="275"/>
      <c r="AN84" s="275"/>
      <c r="AO84" s="275"/>
      <c r="AP84" s="275"/>
      <c r="AQ84" s="275"/>
      <c r="AR84" s="275"/>
      <c r="AS84" s="275"/>
      <c r="AT84" s="275"/>
      <c r="AU84" s="275"/>
      <c r="AV84" s="275"/>
      <c r="AW84" s="275"/>
      <c r="AX84" s="275"/>
      <c r="AY84" s="275"/>
      <c r="AZ84" s="275"/>
      <c r="BA84" s="275"/>
      <c r="BB84" s="275"/>
      <c r="BC84" s="275"/>
      <c r="BD84" s="275"/>
      <c r="BE84" s="275"/>
      <c r="BF84" s="275"/>
      <c r="BG84" s="275"/>
      <c r="BH84" s="275"/>
      <c r="BI84" s="275"/>
      <c r="BJ84" s="275"/>
      <c r="BK84" s="275"/>
      <c r="BL84" s="275"/>
      <c r="BM84" s="275"/>
      <c r="BN84" s="275"/>
      <c r="BO84" s="275"/>
      <c r="BP84" s="275"/>
      <c r="BQ84" s="275"/>
      <c r="BR84" s="275"/>
      <c r="BS84" s="275"/>
    </row>
    <row r="85" spans="1:71" x14ac:dyDescent="0.3">
      <c r="A85" s="275"/>
      <c r="B85" s="275">
        <v>315</v>
      </c>
      <c r="C85" s="275" t="s">
        <v>400</v>
      </c>
      <c r="D85" s="275" t="s">
        <v>401</v>
      </c>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75"/>
      <c r="AE85" s="275"/>
      <c r="AF85" s="275"/>
      <c r="AG85" s="275"/>
      <c r="AH85" s="275"/>
      <c r="AI85" s="275"/>
      <c r="AJ85" s="275"/>
      <c r="AK85" s="275"/>
      <c r="AL85" s="275"/>
      <c r="AM85" s="275"/>
      <c r="AN85" s="275"/>
      <c r="AO85" s="275"/>
      <c r="AP85" s="275"/>
      <c r="AQ85" s="275"/>
      <c r="AR85" s="275"/>
      <c r="AS85" s="275"/>
      <c r="AT85" s="275"/>
      <c r="AU85" s="275"/>
      <c r="AV85" s="275"/>
      <c r="AW85" s="275"/>
      <c r="AX85" s="275"/>
      <c r="AY85" s="275"/>
      <c r="AZ85" s="275"/>
      <c r="BA85" s="275"/>
      <c r="BB85" s="275"/>
      <c r="BC85" s="275"/>
      <c r="BD85" s="275"/>
      <c r="BE85" s="275"/>
      <c r="BF85" s="275"/>
      <c r="BG85" s="275"/>
      <c r="BH85" s="275"/>
      <c r="BI85" s="275"/>
      <c r="BJ85" s="275"/>
      <c r="BK85" s="275"/>
      <c r="BL85" s="275"/>
      <c r="BM85" s="275"/>
      <c r="BN85" s="275"/>
      <c r="BO85" s="275"/>
      <c r="BP85" s="275"/>
      <c r="BQ85" s="275"/>
      <c r="BR85" s="275"/>
      <c r="BS85" s="275"/>
    </row>
    <row r="86" spans="1:71" x14ac:dyDescent="0.3">
      <c r="A86" s="275"/>
      <c r="B86" s="275">
        <v>316</v>
      </c>
      <c r="C86" s="275" t="s">
        <v>402</v>
      </c>
      <c r="D86" s="275" t="s">
        <v>403</v>
      </c>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275"/>
      <c r="AF86" s="275"/>
      <c r="AG86" s="275"/>
      <c r="AH86" s="275"/>
      <c r="AI86" s="275"/>
      <c r="AJ86" s="275"/>
      <c r="AK86" s="275"/>
      <c r="AL86" s="275"/>
      <c r="AM86" s="275"/>
      <c r="AN86" s="275"/>
      <c r="AO86" s="275"/>
      <c r="AP86" s="275"/>
      <c r="AQ86" s="275"/>
      <c r="AR86" s="275"/>
      <c r="AS86" s="275"/>
      <c r="AT86" s="275"/>
      <c r="AU86" s="275"/>
      <c r="AV86" s="275"/>
      <c r="AW86" s="275"/>
      <c r="AX86" s="275"/>
      <c r="AY86" s="275"/>
      <c r="AZ86" s="275"/>
      <c r="BA86" s="275"/>
      <c r="BB86" s="275"/>
      <c r="BC86" s="275"/>
      <c r="BD86" s="275"/>
      <c r="BE86" s="275"/>
      <c r="BF86" s="275"/>
      <c r="BG86" s="275"/>
      <c r="BH86" s="275"/>
      <c r="BI86" s="275"/>
      <c r="BJ86" s="275"/>
      <c r="BK86" s="275"/>
      <c r="BL86" s="275"/>
      <c r="BM86" s="275"/>
      <c r="BN86" s="275"/>
      <c r="BO86" s="275"/>
      <c r="BP86" s="275"/>
      <c r="BQ86" s="275"/>
      <c r="BR86" s="275"/>
      <c r="BS86" s="275"/>
    </row>
    <row r="87" spans="1:71" x14ac:dyDescent="0.3">
      <c r="A87" s="275"/>
      <c r="B87" s="275">
        <v>320</v>
      </c>
      <c r="C87" s="275" t="s">
        <v>258</v>
      </c>
      <c r="D87" s="275" t="s">
        <v>404</v>
      </c>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275"/>
      <c r="AF87" s="275"/>
      <c r="AG87" s="275"/>
      <c r="AH87" s="275"/>
      <c r="AI87" s="275"/>
      <c r="AJ87" s="275"/>
      <c r="AK87" s="275"/>
      <c r="AL87" s="275"/>
      <c r="AM87" s="275"/>
      <c r="AN87" s="275"/>
      <c r="AO87" s="275"/>
      <c r="AP87" s="275"/>
      <c r="AQ87" s="275"/>
      <c r="AR87" s="275"/>
      <c r="AS87" s="275"/>
      <c r="AT87" s="275"/>
      <c r="AU87" s="275"/>
      <c r="AV87" s="275"/>
      <c r="AW87" s="275"/>
      <c r="AX87" s="275"/>
      <c r="AY87" s="275"/>
      <c r="AZ87" s="275"/>
      <c r="BA87" s="275"/>
      <c r="BB87" s="275"/>
      <c r="BC87" s="275"/>
      <c r="BD87" s="275"/>
      <c r="BE87" s="275"/>
      <c r="BF87" s="275"/>
      <c r="BG87" s="275"/>
      <c r="BH87" s="275"/>
      <c r="BI87" s="275"/>
      <c r="BJ87" s="275"/>
      <c r="BK87" s="275"/>
      <c r="BL87" s="275"/>
      <c r="BM87" s="275"/>
      <c r="BN87" s="275"/>
      <c r="BO87" s="275"/>
      <c r="BP87" s="275"/>
      <c r="BQ87" s="275"/>
      <c r="BR87" s="275"/>
      <c r="BS87" s="275"/>
    </row>
    <row r="88" spans="1:71" x14ac:dyDescent="0.3">
      <c r="A88" s="275"/>
      <c r="B88" s="275">
        <v>321</v>
      </c>
      <c r="C88" s="275" t="s">
        <v>1753</v>
      </c>
      <c r="D88" s="275" t="s">
        <v>405</v>
      </c>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75"/>
      <c r="AE88" s="275"/>
      <c r="AF88" s="275"/>
      <c r="AG88" s="275"/>
      <c r="AH88" s="275"/>
      <c r="AI88" s="275"/>
      <c r="AJ88" s="275"/>
      <c r="AK88" s="275"/>
      <c r="AL88" s="275"/>
      <c r="AM88" s="275"/>
      <c r="AN88" s="275"/>
      <c r="AO88" s="275"/>
      <c r="AP88" s="275"/>
      <c r="AQ88" s="275"/>
      <c r="AR88" s="275"/>
      <c r="AS88" s="275"/>
      <c r="AT88" s="275"/>
      <c r="AU88" s="275"/>
      <c r="AV88" s="275"/>
      <c r="AW88" s="275"/>
      <c r="AX88" s="275"/>
      <c r="AY88" s="275"/>
      <c r="AZ88" s="275"/>
      <c r="BA88" s="275"/>
      <c r="BB88" s="275"/>
      <c r="BC88" s="275"/>
      <c r="BD88" s="275"/>
      <c r="BE88" s="275"/>
      <c r="BF88" s="275"/>
      <c r="BG88" s="275"/>
      <c r="BH88" s="275"/>
      <c r="BI88" s="275"/>
      <c r="BJ88" s="275"/>
      <c r="BK88" s="275"/>
      <c r="BL88" s="275"/>
      <c r="BM88" s="275"/>
      <c r="BN88" s="275"/>
      <c r="BO88" s="275"/>
      <c r="BP88" s="275"/>
      <c r="BQ88" s="275"/>
      <c r="BR88" s="275"/>
      <c r="BS88" s="275"/>
    </row>
    <row r="89" spans="1:71" x14ac:dyDescent="0.3">
      <c r="A89" s="275"/>
      <c r="B89" s="275">
        <v>322</v>
      </c>
      <c r="C89" s="275" t="s">
        <v>260</v>
      </c>
      <c r="D89" s="275" t="s">
        <v>406</v>
      </c>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275"/>
      <c r="AE89" s="275"/>
      <c r="AF89" s="275"/>
      <c r="AG89" s="275"/>
      <c r="AH89" s="275"/>
      <c r="AI89" s="275"/>
      <c r="AJ89" s="275"/>
      <c r="AK89" s="275"/>
      <c r="AL89" s="275"/>
      <c r="AM89" s="275"/>
      <c r="AN89" s="275"/>
      <c r="AO89" s="275"/>
      <c r="AP89" s="275"/>
      <c r="AQ89" s="275"/>
      <c r="AR89" s="275"/>
      <c r="AS89" s="275"/>
      <c r="AT89" s="275"/>
      <c r="AU89" s="275"/>
      <c r="AV89" s="275"/>
      <c r="AW89" s="275"/>
      <c r="AX89" s="275"/>
      <c r="AY89" s="275"/>
      <c r="AZ89" s="275"/>
      <c r="BA89" s="275"/>
      <c r="BB89" s="275"/>
      <c r="BC89" s="275"/>
      <c r="BD89" s="275"/>
      <c r="BE89" s="275"/>
      <c r="BF89" s="275"/>
      <c r="BG89" s="275"/>
      <c r="BH89" s="275"/>
      <c r="BI89" s="275"/>
      <c r="BJ89" s="275"/>
      <c r="BK89" s="275"/>
      <c r="BL89" s="275"/>
      <c r="BM89" s="275"/>
      <c r="BN89" s="275"/>
      <c r="BO89" s="275"/>
      <c r="BP89" s="275"/>
      <c r="BQ89" s="275"/>
      <c r="BR89" s="275"/>
      <c r="BS89" s="275"/>
    </row>
    <row r="90" spans="1:71" x14ac:dyDescent="0.3">
      <c r="A90" s="275"/>
      <c r="B90" s="275">
        <v>323</v>
      </c>
      <c r="C90" s="275" t="s">
        <v>259</v>
      </c>
      <c r="D90" s="275" t="s">
        <v>407</v>
      </c>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c r="AF90" s="275"/>
      <c r="AG90" s="275"/>
      <c r="AH90" s="275"/>
      <c r="AI90" s="275"/>
      <c r="AJ90" s="275"/>
      <c r="AK90" s="275"/>
      <c r="AL90" s="275"/>
      <c r="AM90" s="275"/>
      <c r="AN90" s="275"/>
      <c r="AO90" s="275"/>
      <c r="AP90" s="275"/>
      <c r="AQ90" s="275"/>
      <c r="AR90" s="275"/>
      <c r="AS90" s="275"/>
      <c r="AT90" s="275"/>
      <c r="AU90" s="275"/>
      <c r="AV90" s="275"/>
      <c r="AW90" s="275"/>
      <c r="AX90" s="275"/>
      <c r="AY90" s="275"/>
      <c r="AZ90" s="275"/>
      <c r="BA90" s="275"/>
      <c r="BB90" s="275"/>
      <c r="BC90" s="275"/>
      <c r="BD90" s="275"/>
      <c r="BE90" s="275"/>
      <c r="BF90" s="275"/>
      <c r="BG90" s="275"/>
      <c r="BH90" s="275"/>
      <c r="BI90" s="275"/>
      <c r="BJ90" s="275"/>
      <c r="BK90" s="275"/>
      <c r="BL90" s="275"/>
      <c r="BM90" s="275"/>
      <c r="BN90" s="275"/>
      <c r="BO90" s="275"/>
      <c r="BP90" s="275"/>
      <c r="BQ90" s="275"/>
      <c r="BR90" s="275"/>
      <c r="BS90" s="275"/>
    </row>
    <row r="91" spans="1:71" x14ac:dyDescent="0.3">
      <c r="A91" s="275"/>
      <c r="B91" s="275">
        <v>324</v>
      </c>
      <c r="C91" s="275" t="s">
        <v>257</v>
      </c>
      <c r="D91" s="275" t="s">
        <v>408</v>
      </c>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75"/>
      <c r="AE91" s="275"/>
      <c r="AF91" s="275"/>
      <c r="AG91" s="275"/>
      <c r="AH91" s="275"/>
      <c r="AI91" s="275"/>
      <c r="AJ91" s="275"/>
      <c r="AK91" s="275"/>
      <c r="AL91" s="275"/>
      <c r="AM91" s="275"/>
      <c r="AN91" s="275"/>
      <c r="AO91" s="275"/>
      <c r="AP91" s="275"/>
      <c r="AQ91" s="275"/>
      <c r="AR91" s="275"/>
      <c r="AS91" s="275"/>
      <c r="AT91" s="275"/>
      <c r="AU91" s="275"/>
      <c r="AV91" s="275"/>
      <c r="AW91" s="275"/>
      <c r="AX91" s="275"/>
      <c r="AY91" s="275"/>
      <c r="AZ91" s="275"/>
      <c r="BA91" s="275"/>
      <c r="BB91" s="275"/>
      <c r="BC91" s="275"/>
      <c r="BD91" s="275"/>
      <c r="BE91" s="275"/>
      <c r="BF91" s="275"/>
      <c r="BG91" s="275"/>
      <c r="BH91" s="275"/>
      <c r="BI91" s="275"/>
      <c r="BJ91" s="275"/>
      <c r="BK91" s="275"/>
      <c r="BL91" s="275"/>
      <c r="BM91" s="275"/>
      <c r="BN91" s="275"/>
      <c r="BO91" s="275"/>
      <c r="BP91" s="275"/>
      <c r="BQ91" s="275"/>
      <c r="BR91" s="275"/>
      <c r="BS91" s="275"/>
    </row>
    <row r="92" spans="1:71" x14ac:dyDescent="0.3">
      <c r="A92" s="275"/>
      <c r="B92" s="275">
        <v>325</v>
      </c>
      <c r="C92" s="275" t="s">
        <v>261</v>
      </c>
      <c r="D92" s="275" t="s">
        <v>409</v>
      </c>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75"/>
      <c r="AE92" s="275"/>
      <c r="AF92" s="275"/>
      <c r="AG92" s="275"/>
      <c r="AH92" s="275"/>
      <c r="AI92" s="275"/>
      <c r="AJ92" s="275"/>
      <c r="AK92" s="275"/>
      <c r="AL92" s="275"/>
      <c r="AM92" s="275"/>
      <c r="AN92" s="275"/>
      <c r="AO92" s="275"/>
      <c r="AP92" s="275"/>
      <c r="AQ92" s="275"/>
      <c r="AR92" s="275"/>
      <c r="AS92" s="275"/>
      <c r="AT92" s="275"/>
      <c r="AU92" s="275"/>
      <c r="AV92" s="275"/>
      <c r="AW92" s="275"/>
      <c r="AX92" s="275"/>
      <c r="AY92" s="275"/>
      <c r="AZ92" s="275"/>
      <c r="BA92" s="275"/>
      <c r="BB92" s="275"/>
      <c r="BC92" s="275"/>
      <c r="BD92" s="275"/>
      <c r="BE92" s="275"/>
      <c r="BF92" s="275"/>
      <c r="BG92" s="275"/>
      <c r="BH92" s="275"/>
      <c r="BI92" s="275"/>
      <c r="BJ92" s="275"/>
      <c r="BK92" s="275"/>
      <c r="BL92" s="275"/>
      <c r="BM92" s="275"/>
      <c r="BN92" s="275"/>
      <c r="BO92" s="275"/>
      <c r="BP92" s="275"/>
      <c r="BQ92" s="275"/>
      <c r="BR92" s="275"/>
      <c r="BS92" s="275"/>
    </row>
    <row r="93" spans="1:71" x14ac:dyDescent="0.3">
      <c r="A93" s="275"/>
      <c r="B93" s="275">
        <v>326</v>
      </c>
      <c r="C93" s="275" t="s">
        <v>1754</v>
      </c>
      <c r="D93" s="275" t="s">
        <v>410</v>
      </c>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275"/>
      <c r="AF93" s="275"/>
      <c r="AG93" s="275"/>
      <c r="AH93" s="275"/>
      <c r="AI93" s="275"/>
      <c r="AJ93" s="275"/>
      <c r="AK93" s="275"/>
      <c r="AL93" s="275"/>
      <c r="AM93" s="275"/>
      <c r="AN93" s="275"/>
      <c r="AO93" s="275"/>
      <c r="AP93" s="275"/>
      <c r="AQ93" s="275"/>
      <c r="AR93" s="275"/>
      <c r="AS93" s="275"/>
      <c r="AT93" s="275"/>
      <c r="AU93" s="275"/>
      <c r="AV93" s="275"/>
      <c r="AW93" s="275"/>
      <c r="AX93" s="275"/>
      <c r="AY93" s="275"/>
      <c r="AZ93" s="275"/>
      <c r="BA93" s="275"/>
      <c r="BB93" s="275"/>
      <c r="BC93" s="275"/>
      <c r="BD93" s="275"/>
      <c r="BE93" s="275"/>
      <c r="BF93" s="275"/>
      <c r="BG93" s="275"/>
      <c r="BH93" s="275"/>
      <c r="BI93" s="275"/>
      <c r="BJ93" s="275"/>
      <c r="BK93" s="275"/>
      <c r="BL93" s="275"/>
      <c r="BM93" s="275"/>
      <c r="BN93" s="275"/>
      <c r="BO93" s="275"/>
      <c r="BP93" s="275"/>
      <c r="BQ93" s="275"/>
      <c r="BR93" s="275"/>
      <c r="BS93" s="275"/>
    </row>
    <row r="94" spans="1:71" x14ac:dyDescent="0.3">
      <c r="A94" s="275">
        <v>327</v>
      </c>
      <c r="B94" s="275">
        <v>327</v>
      </c>
      <c r="C94" s="275" t="s">
        <v>635</v>
      </c>
      <c r="D94" s="275" t="s">
        <v>411</v>
      </c>
      <c r="E94" s="1112">
        <v>224906</v>
      </c>
      <c r="F94" s="1112">
        <v>874274</v>
      </c>
      <c r="G94" s="1112">
        <v>7000</v>
      </c>
      <c r="H94" s="1112">
        <v>145228</v>
      </c>
      <c r="I94" s="275">
        <v>0</v>
      </c>
      <c r="J94" s="1112">
        <v>132340</v>
      </c>
      <c r="K94" s="1112">
        <v>614903</v>
      </c>
      <c r="L94" s="1112">
        <v>13420</v>
      </c>
      <c r="M94" s="1112">
        <v>52330451</v>
      </c>
      <c r="N94" s="275">
        <v>0</v>
      </c>
      <c r="O94" s="1112">
        <v>390599</v>
      </c>
      <c r="P94" s="275">
        <v>0</v>
      </c>
      <c r="Q94" s="1112">
        <v>3242682</v>
      </c>
      <c r="R94" s="1112">
        <v>20536139</v>
      </c>
      <c r="S94" s="275">
        <v>0</v>
      </c>
      <c r="T94" s="275">
        <v>0</v>
      </c>
      <c r="U94" s="1112">
        <v>934400</v>
      </c>
      <c r="V94" s="1112">
        <v>195015</v>
      </c>
      <c r="W94" s="1112">
        <v>2000</v>
      </c>
      <c r="X94" s="1112">
        <v>8198</v>
      </c>
      <c r="Y94" s="1112">
        <v>16500</v>
      </c>
      <c r="Z94" s="275">
        <v>0</v>
      </c>
      <c r="AA94" s="1112">
        <v>17942</v>
      </c>
      <c r="AB94" s="1112">
        <v>7221</v>
      </c>
      <c r="AC94" s="1112">
        <v>35000</v>
      </c>
      <c r="AD94" s="1112">
        <v>23466</v>
      </c>
      <c r="AE94" s="1112">
        <v>326157</v>
      </c>
      <c r="AF94" s="275">
        <v>0</v>
      </c>
      <c r="AG94" s="275">
        <v>0</v>
      </c>
      <c r="AH94" s="1112">
        <v>1073691</v>
      </c>
      <c r="AI94" s="275">
        <v>765</v>
      </c>
      <c r="AJ94" s="1112">
        <v>14041</v>
      </c>
      <c r="AK94" s="1112">
        <v>104801</v>
      </c>
      <c r="AL94" s="275">
        <v>0</v>
      </c>
      <c r="AM94" s="275">
        <v>0</v>
      </c>
      <c r="AN94" s="1112">
        <v>28870</v>
      </c>
      <c r="AO94" s="275">
        <v>0</v>
      </c>
      <c r="AP94" s="1112">
        <v>424352</v>
      </c>
      <c r="AQ94" s="275">
        <v>0</v>
      </c>
      <c r="AR94" s="1112">
        <v>18231</v>
      </c>
      <c r="AS94" s="1112">
        <v>39975</v>
      </c>
      <c r="AT94" s="275">
        <v>0</v>
      </c>
      <c r="AU94" s="1112">
        <v>14900</v>
      </c>
      <c r="AV94" s="275">
        <v>0</v>
      </c>
      <c r="AW94" s="1112">
        <v>640645</v>
      </c>
      <c r="AX94" s="1112">
        <v>466358</v>
      </c>
      <c r="AY94" s="1112">
        <v>100504</v>
      </c>
      <c r="AZ94" s="275">
        <v>0</v>
      </c>
      <c r="BA94" s="275">
        <v>0</v>
      </c>
      <c r="BB94" s="275">
        <v>0</v>
      </c>
      <c r="BC94" s="1112">
        <v>33069</v>
      </c>
      <c r="BD94" s="275">
        <v>0</v>
      </c>
      <c r="BE94" s="1112">
        <v>5751</v>
      </c>
      <c r="BF94" s="1112">
        <v>4717618</v>
      </c>
      <c r="BG94" s="1112">
        <v>37164</v>
      </c>
      <c r="BH94" s="275">
        <v>0</v>
      </c>
      <c r="BI94" s="1112">
        <v>212891</v>
      </c>
      <c r="BJ94" s="1112">
        <v>8653</v>
      </c>
      <c r="BK94" s="1112">
        <v>85934</v>
      </c>
      <c r="BL94" s="275">
        <v>0</v>
      </c>
      <c r="BM94" s="1112">
        <v>4610</v>
      </c>
      <c r="BN94" s="1112">
        <v>294397</v>
      </c>
      <c r="BO94" s="1112">
        <v>34471</v>
      </c>
      <c r="BP94" s="1112">
        <v>60861</v>
      </c>
      <c r="BQ94" s="1112">
        <v>6945444</v>
      </c>
      <c r="BR94" s="1112">
        <v>28009</v>
      </c>
      <c r="BS94" s="275">
        <v>0</v>
      </c>
    </row>
    <row r="95" spans="1:71" x14ac:dyDescent="0.3">
      <c r="A95" s="275">
        <v>328</v>
      </c>
      <c r="B95" s="275">
        <v>328</v>
      </c>
      <c r="C95" s="275" t="s">
        <v>551</v>
      </c>
      <c r="D95" s="275" t="s">
        <v>412</v>
      </c>
      <c r="E95" s="1112">
        <v>805631</v>
      </c>
      <c r="F95" s="275">
        <v>0</v>
      </c>
      <c r="G95" s="275">
        <v>0</v>
      </c>
      <c r="H95" s="1112">
        <v>1029538</v>
      </c>
      <c r="I95" s="275">
        <v>0</v>
      </c>
      <c r="J95" s="1112">
        <v>2244235</v>
      </c>
      <c r="K95" s="275">
        <v>0</v>
      </c>
      <c r="L95" s="275">
        <v>0</v>
      </c>
      <c r="M95" s="1112">
        <v>6614326</v>
      </c>
      <c r="N95" s="275">
        <v>0</v>
      </c>
      <c r="O95" s="1112">
        <v>174789</v>
      </c>
      <c r="P95" s="275">
        <v>0</v>
      </c>
      <c r="Q95" s="275">
        <v>806</v>
      </c>
      <c r="R95" s="1112">
        <v>57220251</v>
      </c>
      <c r="S95" s="275">
        <v>0</v>
      </c>
      <c r="T95" s="275">
        <v>0</v>
      </c>
      <c r="U95" s="275">
        <v>0</v>
      </c>
      <c r="V95" s="1112">
        <v>269536</v>
      </c>
      <c r="W95" s="1112">
        <v>115500</v>
      </c>
      <c r="X95" s="275">
        <v>0</v>
      </c>
      <c r="Y95" s="1112">
        <v>816518</v>
      </c>
      <c r="Z95" s="275">
        <v>0</v>
      </c>
      <c r="AA95" s="275">
        <v>0</v>
      </c>
      <c r="AB95" s="1112">
        <v>539108</v>
      </c>
      <c r="AC95" s="275">
        <v>0</v>
      </c>
      <c r="AD95" s="275">
        <v>0</v>
      </c>
      <c r="AE95" s="1112">
        <v>2648542</v>
      </c>
      <c r="AF95" s="275">
        <v>0</v>
      </c>
      <c r="AG95" s="275">
        <v>0</v>
      </c>
      <c r="AH95" s="275">
        <v>0</v>
      </c>
      <c r="AI95" s="275">
        <v>0</v>
      </c>
      <c r="AJ95" s="275">
        <v>0</v>
      </c>
      <c r="AK95" s="1112">
        <v>2212580</v>
      </c>
      <c r="AL95" s="275">
        <v>0</v>
      </c>
      <c r="AM95" s="275">
        <v>0</v>
      </c>
      <c r="AN95" s="1112">
        <v>3396950</v>
      </c>
      <c r="AO95" s="275">
        <v>0</v>
      </c>
      <c r="AP95" s="1112">
        <v>1097777</v>
      </c>
      <c r="AQ95" s="275">
        <v>0</v>
      </c>
      <c r="AR95" s="275">
        <v>0</v>
      </c>
      <c r="AS95" s="275">
        <v>0</v>
      </c>
      <c r="AT95" s="275">
        <v>0</v>
      </c>
      <c r="AU95" s="275">
        <v>0</v>
      </c>
      <c r="AV95" s="275">
        <v>0</v>
      </c>
      <c r="AW95" s="275">
        <v>0</v>
      </c>
      <c r="AX95" s="275">
        <v>0</v>
      </c>
      <c r="AY95" s="1112">
        <v>973402</v>
      </c>
      <c r="AZ95" s="275">
        <v>0</v>
      </c>
      <c r="BA95" s="275">
        <v>0</v>
      </c>
      <c r="BB95" s="1112">
        <v>110236</v>
      </c>
      <c r="BC95" s="1112">
        <v>3000</v>
      </c>
      <c r="BD95" s="275">
        <v>0</v>
      </c>
      <c r="BE95" s="275">
        <v>0</v>
      </c>
      <c r="BF95" s="275">
        <v>0</v>
      </c>
      <c r="BG95" s="1112">
        <v>1466777</v>
      </c>
      <c r="BH95" s="275">
        <v>0</v>
      </c>
      <c r="BI95" s="275">
        <v>0</v>
      </c>
      <c r="BJ95" s="275">
        <v>0</v>
      </c>
      <c r="BK95" s="1112">
        <v>152075</v>
      </c>
      <c r="BL95" s="275">
        <v>0</v>
      </c>
      <c r="BM95" s="1112">
        <v>150296</v>
      </c>
      <c r="BN95" s="1112">
        <v>67822</v>
      </c>
      <c r="BO95" s="275">
        <v>0</v>
      </c>
      <c r="BP95" s="1112">
        <v>2104983</v>
      </c>
      <c r="BQ95" s="1112">
        <v>1801733</v>
      </c>
      <c r="BR95" s="1112">
        <v>1245908</v>
      </c>
      <c r="BS95" s="275">
        <v>0</v>
      </c>
    </row>
    <row r="96" spans="1:71" x14ac:dyDescent="0.3">
      <c r="A96" s="275"/>
      <c r="B96" s="275">
        <v>330</v>
      </c>
      <c r="C96" s="275" t="s">
        <v>636</v>
      </c>
      <c r="D96" s="275" t="s">
        <v>413</v>
      </c>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275"/>
      <c r="AG96" s="275"/>
      <c r="AH96" s="275"/>
      <c r="AI96" s="275"/>
      <c r="AJ96" s="275"/>
      <c r="AK96" s="275"/>
      <c r="AL96" s="275"/>
      <c r="AM96" s="275"/>
      <c r="AN96" s="275"/>
      <c r="AO96" s="275"/>
      <c r="AP96" s="275"/>
      <c r="AQ96" s="275"/>
      <c r="AR96" s="275"/>
      <c r="AS96" s="275"/>
      <c r="AT96" s="275"/>
      <c r="AU96" s="275"/>
      <c r="AV96" s="275"/>
      <c r="AW96" s="275"/>
      <c r="AX96" s="275"/>
      <c r="AY96" s="275"/>
      <c r="AZ96" s="275"/>
      <c r="BA96" s="275"/>
      <c r="BB96" s="275"/>
      <c r="BC96" s="275"/>
      <c r="BD96" s="275"/>
      <c r="BE96" s="275"/>
      <c r="BF96" s="275"/>
      <c r="BG96" s="275"/>
      <c r="BH96" s="275"/>
      <c r="BI96" s="275"/>
      <c r="BJ96" s="275"/>
      <c r="BK96" s="275"/>
      <c r="BL96" s="275"/>
      <c r="BM96" s="275"/>
      <c r="BN96" s="275"/>
      <c r="BO96" s="275"/>
      <c r="BP96" s="275"/>
      <c r="BQ96" s="275"/>
      <c r="BR96" s="275"/>
      <c r="BS96" s="275"/>
    </row>
    <row r="97" spans="1:71" x14ac:dyDescent="0.3">
      <c r="A97" s="275">
        <v>331</v>
      </c>
      <c r="B97" s="275">
        <v>331</v>
      </c>
      <c r="C97" s="275" t="s">
        <v>247</v>
      </c>
      <c r="D97" s="275" t="s">
        <v>414</v>
      </c>
      <c r="E97" s="275">
        <v>0</v>
      </c>
      <c r="F97" s="1112">
        <v>360887</v>
      </c>
      <c r="G97" s="1112">
        <v>12799</v>
      </c>
      <c r="H97" s="1112">
        <v>1788314</v>
      </c>
      <c r="I97" s="275">
        <v>0</v>
      </c>
      <c r="J97" s="1112">
        <v>97596</v>
      </c>
      <c r="K97" s="1112">
        <v>224482</v>
      </c>
      <c r="L97" s="1112">
        <v>27000</v>
      </c>
      <c r="M97" s="1112">
        <v>2339444</v>
      </c>
      <c r="N97" s="275">
        <v>0</v>
      </c>
      <c r="O97" s="1112">
        <v>1005306</v>
      </c>
      <c r="P97" s="275">
        <v>0</v>
      </c>
      <c r="Q97" s="1112">
        <v>523093</v>
      </c>
      <c r="R97" s="1112">
        <v>3349910</v>
      </c>
      <c r="S97" s="275">
        <v>0</v>
      </c>
      <c r="T97" s="1112">
        <v>13500</v>
      </c>
      <c r="U97" s="1112">
        <v>33959</v>
      </c>
      <c r="V97" s="1112">
        <v>71717</v>
      </c>
      <c r="W97" s="275">
        <v>0</v>
      </c>
      <c r="X97" s="1112">
        <v>28900</v>
      </c>
      <c r="Y97" s="1112">
        <v>301027</v>
      </c>
      <c r="Z97" s="275">
        <v>0</v>
      </c>
      <c r="AA97" s="1112">
        <v>37122</v>
      </c>
      <c r="AB97" s="1112">
        <v>7500</v>
      </c>
      <c r="AC97" s="1112">
        <v>803102</v>
      </c>
      <c r="AD97" s="1112">
        <v>78946</v>
      </c>
      <c r="AE97" s="1112">
        <v>48862</v>
      </c>
      <c r="AF97" s="275">
        <v>0</v>
      </c>
      <c r="AG97" s="275">
        <v>0</v>
      </c>
      <c r="AH97" s="1112">
        <v>1223025</v>
      </c>
      <c r="AI97" s="1112">
        <v>833689</v>
      </c>
      <c r="AJ97" s="1112">
        <v>218853</v>
      </c>
      <c r="AK97" s="1112">
        <v>492854</v>
      </c>
      <c r="AL97" s="275">
        <v>0</v>
      </c>
      <c r="AM97" s="275">
        <v>0</v>
      </c>
      <c r="AN97" s="1112">
        <v>181006</v>
      </c>
      <c r="AO97" s="275">
        <v>0</v>
      </c>
      <c r="AP97" s="1112">
        <v>222533</v>
      </c>
      <c r="AQ97" s="275">
        <v>0</v>
      </c>
      <c r="AR97" s="1112">
        <v>250769</v>
      </c>
      <c r="AS97" s="1112">
        <v>74142</v>
      </c>
      <c r="AT97" s="275">
        <v>0</v>
      </c>
      <c r="AU97" s="1112">
        <v>138110</v>
      </c>
      <c r="AV97" s="275">
        <v>0</v>
      </c>
      <c r="AW97" s="1112">
        <v>181378</v>
      </c>
      <c r="AX97" s="1112">
        <v>8751</v>
      </c>
      <c r="AY97" s="1112">
        <v>224902</v>
      </c>
      <c r="AZ97" s="275">
        <v>0</v>
      </c>
      <c r="BA97" s="275">
        <v>0</v>
      </c>
      <c r="BB97" s="275">
        <v>0</v>
      </c>
      <c r="BC97" s="1112">
        <v>156207</v>
      </c>
      <c r="BD97" s="275">
        <v>0</v>
      </c>
      <c r="BE97" s="1112">
        <v>8500</v>
      </c>
      <c r="BF97" s="1112">
        <v>575005</v>
      </c>
      <c r="BG97" s="1112">
        <v>84010</v>
      </c>
      <c r="BH97" s="1112">
        <v>30000</v>
      </c>
      <c r="BI97" s="1112">
        <v>1273184</v>
      </c>
      <c r="BJ97" s="1112">
        <v>43915</v>
      </c>
      <c r="BK97" s="1112">
        <v>64000</v>
      </c>
      <c r="BL97" s="275">
        <v>0</v>
      </c>
      <c r="BM97" s="275">
        <v>0</v>
      </c>
      <c r="BN97" s="1112">
        <v>169323</v>
      </c>
      <c r="BO97" s="1112">
        <v>51742</v>
      </c>
      <c r="BP97" s="1112">
        <v>99320</v>
      </c>
      <c r="BQ97" s="1112">
        <v>2068557</v>
      </c>
      <c r="BR97" s="1112">
        <v>50253</v>
      </c>
      <c r="BS97" s="275">
        <v>0</v>
      </c>
    </row>
    <row r="98" spans="1:71" x14ac:dyDescent="0.3">
      <c r="A98" s="275">
        <v>332</v>
      </c>
      <c r="B98" s="275">
        <v>332</v>
      </c>
      <c r="C98" s="275" t="s">
        <v>248</v>
      </c>
      <c r="D98" s="275" t="s">
        <v>415</v>
      </c>
      <c r="E98" s="1112">
        <v>873490</v>
      </c>
      <c r="F98" s="1112">
        <v>109680</v>
      </c>
      <c r="G98" s="275">
        <v>0</v>
      </c>
      <c r="H98" s="1112">
        <v>1458535</v>
      </c>
      <c r="I98" s="275">
        <v>0</v>
      </c>
      <c r="J98" s="1112">
        <v>849169</v>
      </c>
      <c r="K98" s="1112">
        <v>388485</v>
      </c>
      <c r="L98" s="1112">
        <v>32089</v>
      </c>
      <c r="M98" s="1112">
        <v>5878126</v>
      </c>
      <c r="N98" s="275">
        <v>0</v>
      </c>
      <c r="O98" s="1112">
        <v>235545</v>
      </c>
      <c r="P98" s="275">
        <v>0</v>
      </c>
      <c r="Q98" s="1112">
        <v>1365409</v>
      </c>
      <c r="R98" s="1112">
        <v>30637462</v>
      </c>
      <c r="S98" s="275">
        <v>0</v>
      </c>
      <c r="T98" s="275">
        <v>0</v>
      </c>
      <c r="U98" s="1112">
        <v>144369</v>
      </c>
      <c r="V98" s="1112">
        <v>1086645</v>
      </c>
      <c r="W98" s="275">
        <v>0</v>
      </c>
      <c r="X98" s="275">
        <v>0</v>
      </c>
      <c r="Y98" s="1112">
        <v>2075441</v>
      </c>
      <c r="Z98" s="275">
        <v>0</v>
      </c>
      <c r="AA98" s="275">
        <v>0</v>
      </c>
      <c r="AB98" s="1112">
        <v>281634</v>
      </c>
      <c r="AC98" s="1112">
        <v>74064</v>
      </c>
      <c r="AD98" s="1112">
        <v>154407</v>
      </c>
      <c r="AE98" s="1112">
        <v>59433</v>
      </c>
      <c r="AF98" s="275">
        <v>0</v>
      </c>
      <c r="AG98" s="275">
        <v>0</v>
      </c>
      <c r="AH98" s="1112">
        <v>233405</v>
      </c>
      <c r="AI98" s="1112">
        <v>889817</v>
      </c>
      <c r="AJ98" s="275">
        <v>0</v>
      </c>
      <c r="AK98" s="1112">
        <v>3704566</v>
      </c>
      <c r="AL98" s="275">
        <v>0</v>
      </c>
      <c r="AM98" s="275">
        <v>0</v>
      </c>
      <c r="AN98" s="1112">
        <v>832189</v>
      </c>
      <c r="AO98" s="1112">
        <v>3850</v>
      </c>
      <c r="AP98" s="1112">
        <v>2366536</v>
      </c>
      <c r="AQ98" s="275">
        <v>0</v>
      </c>
      <c r="AR98" s="275">
        <v>0</v>
      </c>
      <c r="AS98" s="1112">
        <v>24189</v>
      </c>
      <c r="AT98" s="275">
        <v>0</v>
      </c>
      <c r="AU98" s="1112">
        <v>101623</v>
      </c>
      <c r="AV98" s="275">
        <v>0</v>
      </c>
      <c r="AW98" s="1112">
        <v>289032</v>
      </c>
      <c r="AX98" s="275">
        <v>0</v>
      </c>
      <c r="AY98" s="1112">
        <v>946614</v>
      </c>
      <c r="AZ98" s="275">
        <v>0</v>
      </c>
      <c r="BA98" s="275">
        <v>0</v>
      </c>
      <c r="BB98" s="275">
        <v>0</v>
      </c>
      <c r="BC98" s="1112">
        <v>115855</v>
      </c>
      <c r="BD98" s="275">
        <v>0</v>
      </c>
      <c r="BE98" s="275">
        <v>0</v>
      </c>
      <c r="BF98" s="1112">
        <v>7494435</v>
      </c>
      <c r="BG98" s="1112">
        <v>286360</v>
      </c>
      <c r="BH98" s="275">
        <v>0</v>
      </c>
      <c r="BI98" s="1112">
        <v>116953</v>
      </c>
      <c r="BJ98" s="275">
        <v>0</v>
      </c>
      <c r="BK98" s="1112">
        <v>94074</v>
      </c>
      <c r="BL98" s="275">
        <v>0</v>
      </c>
      <c r="BM98" s="1112">
        <v>150296</v>
      </c>
      <c r="BN98" s="1112">
        <v>439065</v>
      </c>
      <c r="BO98" s="1112">
        <v>50250</v>
      </c>
      <c r="BP98" s="1112">
        <v>604196</v>
      </c>
      <c r="BQ98" s="1112">
        <v>2558574</v>
      </c>
      <c r="BR98" s="1112">
        <v>1088764</v>
      </c>
      <c r="BS98" s="275">
        <v>0</v>
      </c>
    </row>
    <row r="99" spans="1:71" x14ac:dyDescent="0.3">
      <c r="A99" s="275">
        <v>333</v>
      </c>
      <c r="B99" s="275">
        <v>333</v>
      </c>
      <c r="C99" s="275" t="s">
        <v>184</v>
      </c>
      <c r="D99" s="275" t="s">
        <v>416</v>
      </c>
      <c r="E99" s="1112">
        <v>3230045</v>
      </c>
      <c r="F99" s="1112">
        <v>1188182</v>
      </c>
      <c r="G99" s="1112">
        <v>2323492</v>
      </c>
      <c r="H99" s="1112">
        <v>8971346</v>
      </c>
      <c r="I99" s="1112">
        <v>474714</v>
      </c>
      <c r="J99" s="1112">
        <v>626923</v>
      </c>
      <c r="K99" s="1112">
        <v>4091041</v>
      </c>
      <c r="L99" s="1112">
        <v>250636</v>
      </c>
      <c r="M99" s="1112">
        <v>58015576</v>
      </c>
      <c r="N99" s="1112">
        <v>85027</v>
      </c>
      <c r="O99" s="1112">
        <v>8499480</v>
      </c>
      <c r="P99" s="1112">
        <v>2053487</v>
      </c>
      <c r="Q99" s="1112">
        <v>21302930</v>
      </c>
      <c r="R99" s="1112">
        <v>98037657</v>
      </c>
      <c r="S99" s="275">
        <v>0</v>
      </c>
      <c r="T99" s="1112">
        <v>687839</v>
      </c>
      <c r="U99" s="1112">
        <v>3615283</v>
      </c>
      <c r="V99" s="1112">
        <v>868703</v>
      </c>
      <c r="W99" s="1112">
        <v>403219</v>
      </c>
      <c r="X99" s="1112">
        <v>311174</v>
      </c>
      <c r="Y99" s="1112">
        <v>1369817</v>
      </c>
      <c r="Z99" s="1112">
        <v>330546</v>
      </c>
      <c r="AA99" s="1112">
        <v>811102</v>
      </c>
      <c r="AB99" s="1112">
        <v>636450</v>
      </c>
      <c r="AC99" s="1112">
        <v>5306652</v>
      </c>
      <c r="AD99" s="1112">
        <v>3037567</v>
      </c>
      <c r="AE99" s="1112">
        <v>55552</v>
      </c>
      <c r="AF99" s="1112">
        <v>171914</v>
      </c>
      <c r="AG99" s="1112">
        <v>151479</v>
      </c>
      <c r="AH99" s="1112">
        <v>7410059</v>
      </c>
      <c r="AI99" s="1112">
        <v>8231021</v>
      </c>
      <c r="AJ99" s="1112">
        <v>973235</v>
      </c>
      <c r="AK99" s="1112">
        <v>5577241</v>
      </c>
      <c r="AL99" s="275">
        <v>0</v>
      </c>
      <c r="AM99" s="1112">
        <v>76890</v>
      </c>
      <c r="AN99" s="1112">
        <v>2875011</v>
      </c>
      <c r="AO99" s="1112">
        <v>2590050</v>
      </c>
      <c r="AP99" s="1112">
        <v>1736402</v>
      </c>
      <c r="AQ99" s="1112">
        <v>294085</v>
      </c>
      <c r="AR99" s="1112">
        <v>1223361</v>
      </c>
      <c r="AS99" s="1112">
        <v>999938</v>
      </c>
      <c r="AT99" s="1112">
        <v>4118722</v>
      </c>
      <c r="AU99" s="1112">
        <v>2245709</v>
      </c>
      <c r="AV99" s="275">
        <v>0</v>
      </c>
      <c r="AW99" s="1112">
        <v>3892385</v>
      </c>
      <c r="AX99" s="1112">
        <v>756453</v>
      </c>
      <c r="AY99" s="1112">
        <v>6635971</v>
      </c>
      <c r="AZ99" s="1112">
        <v>24052</v>
      </c>
      <c r="BA99" s="1112">
        <v>435723</v>
      </c>
      <c r="BB99" s="1112">
        <v>917443</v>
      </c>
      <c r="BC99" s="1112">
        <v>1011570</v>
      </c>
      <c r="BD99" s="1112">
        <v>798984</v>
      </c>
      <c r="BE99" s="1112">
        <v>292826</v>
      </c>
      <c r="BF99" s="1112">
        <v>16098702</v>
      </c>
      <c r="BG99" s="1112">
        <v>566527</v>
      </c>
      <c r="BH99" s="1112">
        <v>235660</v>
      </c>
      <c r="BI99" s="1112">
        <v>5379440</v>
      </c>
      <c r="BJ99" s="1112">
        <v>555063</v>
      </c>
      <c r="BK99" s="1112">
        <v>777769</v>
      </c>
      <c r="BL99" s="1112">
        <v>598177</v>
      </c>
      <c r="BM99" s="1112">
        <v>1093895</v>
      </c>
      <c r="BN99" s="1112">
        <v>2422886</v>
      </c>
      <c r="BO99" s="1112">
        <v>732108</v>
      </c>
      <c r="BP99" s="1112">
        <v>3685940</v>
      </c>
      <c r="BQ99" s="1112">
        <v>46201350</v>
      </c>
      <c r="BR99" s="1112">
        <v>1287309</v>
      </c>
      <c r="BS99" s="1112">
        <v>7791023</v>
      </c>
    </row>
    <row r="100" spans="1:71" x14ac:dyDescent="0.3">
      <c r="A100" s="275">
        <v>334</v>
      </c>
      <c r="B100" s="275">
        <v>334</v>
      </c>
      <c r="C100" s="275" t="s">
        <v>276</v>
      </c>
      <c r="D100" s="275" t="s">
        <v>417</v>
      </c>
      <c r="E100" s="1112">
        <v>17912990</v>
      </c>
      <c r="F100" s="1112">
        <v>20451511</v>
      </c>
      <c r="G100" s="1112">
        <v>1193675</v>
      </c>
      <c r="H100" s="1112">
        <v>28653724</v>
      </c>
      <c r="I100" s="1112">
        <v>149355</v>
      </c>
      <c r="J100" s="1112">
        <v>3181460</v>
      </c>
      <c r="K100" s="1112">
        <v>6400913</v>
      </c>
      <c r="L100" s="1112">
        <v>679482</v>
      </c>
      <c r="M100" s="1112">
        <v>515794217</v>
      </c>
      <c r="N100" s="1112">
        <v>26235</v>
      </c>
      <c r="O100" s="1112">
        <v>15326358</v>
      </c>
      <c r="P100" s="1112">
        <v>940927</v>
      </c>
      <c r="Q100" s="1112">
        <v>61507742</v>
      </c>
      <c r="R100" s="1112">
        <v>400295921</v>
      </c>
      <c r="S100" s="275">
        <v>0</v>
      </c>
      <c r="T100" s="1112">
        <v>1450829</v>
      </c>
      <c r="U100" s="1112">
        <v>9073899</v>
      </c>
      <c r="V100" s="1112">
        <v>2379602</v>
      </c>
      <c r="W100" s="1112">
        <v>1056323</v>
      </c>
      <c r="X100" s="1112">
        <v>713048</v>
      </c>
      <c r="Y100" s="1112">
        <v>10255042</v>
      </c>
      <c r="Z100" s="1112">
        <v>1794501</v>
      </c>
      <c r="AA100" s="1112">
        <v>1587455</v>
      </c>
      <c r="AB100" s="1112">
        <v>3318570</v>
      </c>
      <c r="AC100" s="1112">
        <v>27011960</v>
      </c>
      <c r="AD100" s="1112">
        <v>5196254</v>
      </c>
      <c r="AE100" s="1112">
        <v>603040</v>
      </c>
      <c r="AF100" s="1112">
        <v>616768</v>
      </c>
      <c r="AG100" s="1112">
        <v>62935</v>
      </c>
      <c r="AH100" s="1112">
        <v>11537097</v>
      </c>
      <c r="AI100" s="1112">
        <v>12600050</v>
      </c>
      <c r="AJ100" s="1112">
        <v>5161719</v>
      </c>
      <c r="AK100" s="1112">
        <v>22974758</v>
      </c>
      <c r="AL100" s="275">
        <v>0</v>
      </c>
      <c r="AM100" s="1112">
        <v>1341509</v>
      </c>
      <c r="AN100" s="1112">
        <v>11294155</v>
      </c>
      <c r="AO100" s="1112">
        <v>7330216</v>
      </c>
      <c r="AP100" s="1112">
        <v>16474051</v>
      </c>
      <c r="AQ100" s="1112">
        <v>1027011</v>
      </c>
      <c r="AR100" s="1112">
        <v>2262587</v>
      </c>
      <c r="AS100" s="1112">
        <v>3784595</v>
      </c>
      <c r="AT100" s="1112">
        <v>4622229</v>
      </c>
      <c r="AU100" s="1112">
        <v>4844161</v>
      </c>
      <c r="AV100" s="275">
        <v>0</v>
      </c>
      <c r="AW100" s="1112">
        <v>15731338</v>
      </c>
      <c r="AX100" s="1112">
        <v>4875774</v>
      </c>
      <c r="AY100" s="1112">
        <v>26292874</v>
      </c>
      <c r="AZ100" s="1112">
        <v>83401</v>
      </c>
      <c r="BA100" s="1112">
        <v>308473</v>
      </c>
      <c r="BB100" s="1112">
        <v>6840899</v>
      </c>
      <c r="BC100" s="1112">
        <v>4024648</v>
      </c>
      <c r="BD100" s="275">
        <v>0</v>
      </c>
      <c r="BE100" s="1112">
        <v>620157</v>
      </c>
      <c r="BF100" s="1112">
        <v>24425857</v>
      </c>
      <c r="BG100" s="1112">
        <v>881109</v>
      </c>
      <c r="BH100" s="1112">
        <v>1692102</v>
      </c>
      <c r="BI100" s="1112">
        <v>14767436</v>
      </c>
      <c r="BJ100" s="1112">
        <v>659918</v>
      </c>
      <c r="BK100" s="1112">
        <v>1720230</v>
      </c>
      <c r="BL100" s="1112">
        <v>724073</v>
      </c>
      <c r="BM100" s="1112">
        <v>465615</v>
      </c>
      <c r="BN100" s="1112">
        <v>6132996</v>
      </c>
      <c r="BO100" s="1112">
        <v>369674</v>
      </c>
      <c r="BP100" s="1112">
        <v>8112943</v>
      </c>
      <c r="BQ100" s="1112">
        <v>120587717</v>
      </c>
      <c r="BR100" s="1112">
        <v>5684417</v>
      </c>
      <c r="BS100" s="1112">
        <v>17217276</v>
      </c>
    </row>
    <row r="101" spans="1:71" x14ac:dyDescent="0.3">
      <c r="A101" s="275">
        <v>335</v>
      </c>
      <c r="B101" s="275">
        <v>335</v>
      </c>
      <c r="C101" s="275" t="s">
        <v>117</v>
      </c>
      <c r="D101" s="275" t="s">
        <v>418</v>
      </c>
      <c r="E101" s="275">
        <v>0</v>
      </c>
      <c r="F101" s="275">
        <v>0</v>
      </c>
      <c r="G101" s="275">
        <v>0</v>
      </c>
      <c r="H101" s="275">
        <v>0</v>
      </c>
      <c r="I101" s="1112">
        <v>2094</v>
      </c>
      <c r="J101" s="275">
        <v>0</v>
      </c>
      <c r="K101" s="275">
        <v>0</v>
      </c>
      <c r="L101" s="275">
        <v>0</v>
      </c>
      <c r="M101" s="275">
        <v>0</v>
      </c>
      <c r="N101" s="275">
        <v>0</v>
      </c>
      <c r="O101" s="275">
        <v>0</v>
      </c>
      <c r="P101" s="275">
        <v>0</v>
      </c>
      <c r="Q101" s="1112">
        <v>549647</v>
      </c>
      <c r="R101" s="1112">
        <v>747427</v>
      </c>
      <c r="S101" s="275">
        <v>0</v>
      </c>
      <c r="T101" s="275">
        <v>0</v>
      </c>
      <c r="U101" s="275">
        <v>0</v>
      </c>
      <c r="V101" s="275">
        <v>0</v>
      </c>
      <c r="W101" s="275">
        <v>0</v>
      </c>
      <c r="X101" s="275">
        <v>0</v>
      </c>
      <c r="Y101" s="275">
        <v>0</v>
      </c>
      <c r="Z101" s="275">
        <v>0</v>
      </c>
      <c r="AA101" s="275">
        <v>0</v>
      </c>
      <c r="AB101" s="275">
        <v>0</v>
      </c>
      <c r="AC101" s="275">
        <v>0</v>
      </c>
      <c r="AD101" s="275">
        <v>0</v>
      </c>
      <c r="AE101" s="275">
        <v>0</v>
      </c>
      <c r="AF101" s="275">
        <v>0</v>
      </c>
      <c r="AG101" s="275">
        <v>0</v>
      </c>
      <c r="AH101" s="275">
        <v>0</v>
      </c>
      <c r="AI101" s="275">
        <v>0</v>
      </c>
      <c r="AJ101" s="275">
        <v>0</v>
      </c>
      <c r="AK101" s="275">
        <v>0</v>
      </c>
      <c r="AL101" s="275">
        <v>0</v>
      </c>
      <c r="AM101" s="275">
        <v>0</v>
      </c>
      <c r="AN101" s="275">
        <v>0</v>
      </c>
      <c r="AO101" s="275">
        <v>0</v>
      </c>
      <c r="AP101" s="275">
        <v>0</v>
      </c>
      <c r="AQ101" s="275">
        <v>0</v>
      </c>
      <c r="AR101" s="275">
        <v>0</v>
      </c>
      <c r="AS101" s="275">
        <v>0</v>
      </c>
      <c r="AT101" s="275">
        <v>0</v>
      </c>
      <c r="AU101" s="275">
        <v>0</v>
      </c>
      <c r="AV101" s="275">
        <v>0</v>
      </c>
      <c r="AW101" s="275">
        <v>0</v>
      </c>
      <c r="AX101" s="275">
        <v>0</v>
      </c>
      <c r="AY101" s="275">
        <v>0</v>
      </c>
      <c r="AZ101" s="275">
        <v>0</v>
      </c>
      <c r="BA101" s="275">
        <v>0</v>
      </c>
      <c r="BB101" s="275">
        <v>0</v>
      </c>
      <c r="BC101" s="275">
        <v>0</v>
      </c>
      <c r="BD101" s="275">
        <v>0</v>
      </c>
      <c r="BE101" s="275">
        <v>0</v>
      </c>
      <c r="BF101" s="275">
        <v>0</v>
      </c>
      <c r="BG101" s="275">
        <v>0</v>
      </c>
      <c r="BH101" s="275">
        <v>0</v>
      </c>
      <c r="BI101" s="275">
        <v>0</v>
      </c>
      <c r="BJ101" s="275">
        <v>0</v>
      </c>
      <c r="BK101" s="275">
        <v>0</v>
      </c>
      <c r="BL101" s="275">
        <v>0</v>
      </c>
      <c r="BM101" s="275">
        <v>0</v>
      </c>
      <c r="BN101" s="275">
        <v>0</v>
      </c>
      <c r="BO101" s="275">
        <v>0</v>
      </c>
      <c r="BP101" s="275">
        <v>0</v>
      </c>
      <c r="BQ101" s="275">
        <v>0</v>
      </c>
      <c r="BR101" s="275">
        <v>0</v>
      </c>
      <c r="BS101" s="1112">
        <v>1425</v>
      </c>
    </row>
    <row r="102" spans="1:71" x14ac:dyDescent="0.3">
      <c r="A102" s="275">
        <v>336</v>
      </c>
      <c r="B102" s="275">
        <v>336</v>
      </c>
      <c r="C102" s="275" t="s">
        <v>637</v>
      </c>
      <c r="D102" s="275" t="s">
        <v>419</v>
      </c>
      <c r="E102" s="1112">
        <v>1254256</v>
      </c>
      <c r="F102" s="1112">
        <v>499944</v>
      </c>
      <c r="G102" s="1112">
        <v>12774</v>
      </c>
      <c r="H102" s="1112">
        <v>2391820</v>
      </c>
      <c r="I102" s="1112">
        <v>6400</v>
      </c>
      <c r="J102" s="1112">
        <v>38473</v>
      </c>
      <c r="K102" s="1112">
        <v>310290</v>
      </c>
      <c r="L102" s="1112">
        <v>9098</v>
      </c>
      <c r="M102" s="1112">
        <v>9719146</v>
      </c>
      <c r="N102" s="275">
        <v>252</v>
      </c>
      <c r="O102" s="1112">
        <v>272500</v>
      </c>
      <c r="P102" s="1112">
        <v>147849</v>
      </c>
      <c r="Q102" s="1112">
        <v>2460084</v>
      </c>
      <c r="R102" s="1112">
        <v>19709327</v>
      </c>
      <c r="S102" s="275">
        <v>0</v>
      </c>
      <c r="T102" s="1112">
        <v>57415</v>
      </c>
      <c r="U102" s="1112">
        <v>769827</v>
      </c>
      <c r="V102" s="1112">
        <v>65765</v>
      </c>
      <c r="W102" s="1112">
        <v>4558</v>
      </c>
      <c r="X102" s="1112">
        <v>3890</v>
      </c>
      <c r="Y102" s="1112">
        <v>708347</v>
      </c>
      <c r="Z102" s="1112">
        <v>16601</v>
      </c>
      <c r="AA102" s="1112">
        <v>30386</v>
      </c>
      <c r="AB102" s="1112">
        <v>26224</v>
      </c>
      <c r="AC102" s="1112">
        <v>3677192</v>
      </c>
      <c r="AD102" s="1112">
        <v>271114</v>
      </c>
      <c r="AE102" s="1112">
        <v>8348</v>
      </c>
      <c r="AF102" s="1112">
        <v>42611</v>
      </c>
      <c r="AG102" s="275">
        <v>0</v>
      </c>
      <c r="AH102" s="1112">
        <v>1706990</v>
      </c>
      <c r="AI102" s="1112">
        <v>397406</v>
      </c>
      <c r="AJ102" s="1112">
        <v>110073</v>
      </c>
      <c r="AK102" s="1112">
        <v>1655912</v>
      </c>
      <c r="AL102" s="275">
        <v>0</v>
      </c>
      <c r="AM102" s="275">
        <v>523</v>
      </c>
      <c r="AN102" s="1112">
        <v>145018</v>
      </c>
      <c r="AO102" s="1112">
        <v>68174</v>
      </c>
      <c r="AP102" s="1112">
        <v>464869</v>
      </c>
      <c r="AQ102" s="1112">
        <v>1428</v>
      </c>
      <c r="AR102" s="1112">
        <v>63132</v>
      </c>
      <c r="AS102" s="1112">
        <v>17114</v>
      </c>
      <c r="AT102" s="1112">
        <v>713112</v>
      </c>
      <c r="AU102" s="1112">
        <v>54576</v>
      </c>
      <c r="AV102" s="275">
        <v>0</v>
      </c>
      <c r="AW102" s="1112">
        <v>1268795</v>
      </c>
      <c r="AX102" s="1112">
        <v>184914</v>
      </c>
      <c r="AY102" s="1112">
        <v>2312953</v>
      </c>
      <c r="AZ102" s="275">
        <v>648</v>
      </c>
      <c r="BA102" s="1112">
        <v>8296</v>
      </c>
      <c r="BB102" s="1112">
        <v>1228118</v>
      </c>
      <c r="BC102" s="1112">
        <v>121930</v>
      </c>
      <c r="BD102" s="1112">
        <v>2507</v>
      </c>
      <c r="BE102" s="1112">
        <v>16227</v>
      </c>
      <c r="BF102" s="1112">
        <v>1615624</v>
      </c>
      <c r="BG102" s="1112">
        <v>11177</v>
      </c>
      <c r="BH102" s="1112">
        <v>53858</v>
      </c>
      <c r="BI102" s="1112">
        <v>688888</v>
      </c>
      <c r="BJ102" s="1112">
        <v>43138</v>
      </c>
      <c r="BK102" s="1112">
        <v>53397</v>
      </c>
      <c r="BL102" s="1112">
        <v>3592</v>
      </c>
      <c r="BM102" s="1112">
        <v>5070</v>
      </c>
      <c r="BN102" s="1112">
        <v>111117</v>
      </c>
      <c r="BO102" s="1112">
        <v>2992</v>
      </c>
      <c r="BP102" s="1112">
        <v>324312</v>
      </c>
      <c r="BQ102" s="1112">
        <v>8982512</v>
      </c>
      <c r="BR102" s="1112">
        <v>44182</v>
      </c>
      <c r="BS102" s="1112">
        <v>1251547</v>
      </c>
    </row>
    <row r="103" spans="1:71" x14ac:dyDescent="0.3">
      <c r="A103" s="275">
        <v>337</v>
      </c>
      <c r="B103" s="275">
        <v>337</v>
      </c>
      <c r="C103" s="275" t="s">
        <v>254</v>
      </c>
      <c r="D103" s="275" t="s">
        <v>420</v>
      </c>
      <c r="E103" s="1112">
        <v>3265731</v>
      </c>
      <c r="F103" s="1112">
        <v>5926149</v>
      </c>
      <c r="G103" s="275">
        <v>0</v>
      </c>
      <c r="H103" s="1112">
        <v>2666776</v>
      </c>
      <c r="I103" s="275">
        <v>0</v>
      </c>
      <c r="J103" s="275">
        <v>0</v>
      </c>
      <c r="K103" s="1112">
        <v>342385</v>
      </c>
      <c r="L103" s="275">
        <v>0</v>
      </c>
      <c r="M103" s="1112">
        <v>48533189</v>
      </c>
      <c r="N103" s="275">
        <v>0</v>
      </c>
      <c r="O103" s="275">
        <v>0</v>
      </c>
      <c r="P103" s="1112">
        <v>1071667</v>
      </c>
      <c r="Q103" s="1112">
        <v>1935602</v>
      </c>
      <c r="R103" s="1112">
        <v>87567031</v>
      </c>
      <c r="S103" s="275">
        <v>0</v>
      </c>
      <c r="T103" s="1112">
        <v>166055</v>
      </c>
      <c r="U103" s="1112">
        <v>712968</v>
      </c>
      <c r="V103" s="1112">
        <v>82313</v>
      </c>
      <c r="W103" s="275">
        <v>0</v>
      </c>
      <c r="X103" s="275">
        <v>0</v>
      </c>
      <c r="Y103" s="1112">
        <v>1055274</v>
      </c>
      <c r="Z103" s="275">
        <v>0</v>
      </c>
      <c r="AA103" s="1112">
        <v>283219</v>
      </c>
      <c r="AB103" s="1112">
        <v>66000</v>
      </c>
      <c r="AC103" s="1112">
        <v>21608731</v>
      </c>
      <c r="AD103" s="1112">
        <v>1060617</v>
      </c>
      <c r="AE103" s="275">
        <v>0</v>
      </c>
      <c r="AF103" s="1112">
        <v>93957</v>
      </c>
      <c r="AG103" s="275">
        <v>0</v>
      </c>
      <c r="AH103" s="1112">
        <v>4399947</v>
      </c>
      <c r="AI103" s="1112">
        <v>180870</v>
      </c>
      <c r="AJ103" s="1112">
        <v>35202</v>
      </c>
      <c r="AK103" s="1112">
        <v>5394173</v>
      </c>
      <c r="AL103" s="275">
        <v>0</v>
      </c>
      <c r="AM103" s="275">
        <v>0</v>
      </c>
      <c r="AN103" s="1112">
        <v>1083755</v>
      </c>
      <c r="AO103" s="275">
        <v>0</v>
      </c>
      <c r="AP103" s="1112">
        <v>1801917</v>
      </c>
      <c r="AQ103" s="275">
        <v>0</v>
      </c>
      <c r="AR103" s="1112">
        <v>242188</v>
      </c>
      <c r="AS103" s="1112">
        <v>18325</v>
      </c>
      <c r="AT103" s="1112">
        <v>1019458</v>
      </c>
      <c r="AU103" s="1112">
        <v>160255</v>
      </c>
      <c r="AV103" s="275">
        <v>0</v>
      </c>
      <c r="AW103" s="1112">
        <v>2142150</v>
      </c>
      <c r="AX103" s="1112">
        <v>1133298</v>
      </c>
      <c r="AY103" s="1112">
        <v>8445240</v>
      </c>
      <c r="AZ103" s="275">
        <v>0</v>
      </c>
      <c r="BA103" s="275">
        <v>0</v>
      </c>
      <c r="BB103" s="1112">
        <v>2845457</v>
      </c>
      <c r="BC103" s="1112">
        <v>455000</v>
      </c>
      <c r="BD103" s="275">
        <v>0</v>
      </c>
      <c r="BE103" s="275">
        <v>0</v>
      </c>
      <c r="BF103" s="1112">
        <v>627245</v>
      </c>
      <c r="BG103" s="275">
        <v>0</v>
      </c>
      <c r="BH103" s="1112">
        <v>127567</v>
      </c>
      <c r="BI103" s="1112">
        <v>678923</v>
      </c>
      <c r="BJ103" s="1112">
        <v>18796</v>
      </c>
      <c r="BK103" s="1112">
        <v>671377</v>
      </c>
      <c r="BL103" s="275">
        <v>0</v>
      </c>
      <c r="BM103" s="275">
        <v>0</v>
      </c>
      <c r="BN103" s="275">
        <v>0</v>
      </c>
      <c r="BO103" s="275">
        <v>0</v>
      </c>
      <c r="BP103" s="1112">
        <v>520825</v>
      </c>
      <c r="BQ103" s="1112">
        <v>5503559</v>
      </c>
      <c r="BR103" s="275">
        <v>0</v>
      </c>
      <c r="BS103" s="1112">
        <v>801555</v>
      </c>
    </row>
    <row r="104" spans="1:71" x14ac:dyDescent="0.3">
      <c r="A104" s="275">
        <v>338</v>
      </c>
      <c r="B104" s="275">
        <v>338</v>
      </c>
      <c r="C104" s="275" t="s">
        <v>116</v>
      </c>
      <c r="D104" s="275" t="s">
        <v>421</v>
      </c>
      <c r="E104" s="1112">
        <v>10060131</v>
      </c>
      <c r="F104" s="1112">
        <v>10822386</v>
      </c>
      <c r="G104" s="1112">
        <v>40394</v>
      </c>
      <c r="H104" s="1112">
        <v>17830272</v>
      </c>
      <c r="I104" s="1112">
        <v>6400</v>
      </c>
      <c r="J104" s="1112">
        <v>300376</v>
      </c>
      <c r="K104" s="1112">
        <v>1640155</v>
      </c>
      <c r="L104" s="1112">
        <v>67062</v>
      </c>
      <c r="M104" s="1112">
        <v>97598968</v>
      </c>
      <c r="N104" s="275">
        <v>252</v>
      </c>
      <c r="O104" s="1112">
        <v>3011209</v>
      </c>
      <c r="P104" s="1112">
        <v>1152263</v>
      </c>
      <c r="Q104" s="1112">
        <v>27118322</v>
      </c>
      <c r="R104" s="1112">
        <v>164968318</v>
      </c>
      <c r="S104" s="275">
        <v>0</v>
      </c>
      <c r="T104" s="1112">
        <v>170591</v>
      </c>
      <c r="U104" s="1112">
        <v>4256198</v>
      </c>
      <c r="V104" s="1112">
        <v>160405</v>
      </c>
      <c r="W104" s="1112">
        <v>50623</v>
      </c>
      <c r="X104" s="1112">
        <v>4064</v>
      </c>
      <c r="Y104" s="1112">
        <v>3435882</v>
      </c>
      <c r="Z104" s="1112">
        <v>401600</v>
      </c>
      <c r="AA104" s="1112">
        <v>359140</v>
      </c>
      <c r="AB104" s="1112">
        <v>144403</v>
      </c>
      <c r="AC104" s="1112">
        <v>23666196</v>
      </c>
      <c r="AD104" s="1112">
        <v>1924734</v>
      </c>
      <c r="AE104" s="1112">
        <v>8348</v>
      </c>
      <c r="AF104" s="1112">
        <v>126296</v>
      </c>
      <c r="AG104" s="275">
        <v>0</v>
      </c>
      <c r="AH104" s="1112">
        <v>6561381</v>
      </c>
      <c r="AI104" s="1112">
        <v>1669260</v>
      </c>
      <c r="AJ104" s="1112">
        <v>911085</v>
      </c>
      <c r="AK104" s="1112">
        <v>12470409</v>
      </c>
      <c r="AL104" s="275">
        <v>0</v>
      </c>
      <c r="AM104" s="1112">
        <v>1625</v>
      </c>
      <c r="AN104" s="1112">
        <v>2194766</v>
      </c>
      <c r="AO104" s="1112">
        <v>158172</v>
      </c>
      <c r="AP104" s="1112">
        <v>3196024</v>
      </c>
      <c r="AQ104" s="1112">
        <v>1428</v>
      </c>
      <c r="AR104" s="1112">
        <v>486204</v>
      </c>
      <c r="AS104" s="1112">
        <v>367168</v>
      </c>
      <c r="AT104" s="1112">
        <v>6224524</v>
      </c>
      <c r="AU104" s="1112">
        <v>602840</v>
      </c>
      <c r="AV104" s="275">
        <v>0</v>
      </c>
      <c r="AW104" s="1112">
        <v>14146187</v>
      </c>
      <c r="AX104" s="1112">
        <v>1518879</v>
      </c>
      <c r="AY104" s="1112">
        <v>17355860</v>
      </c>
      <c r="AZ104" s="275">
        <v>648</v>
      </c>
      <c r="BA104" s="1112">
        <v>8296</v>
      </c>
      <c r="BB104" s="1112">
        <v>5323250</v>
      </c>
      <c r="BC104" s="1112">
        <v>995367</v>
      </c>
      <c r="BD104" s="1112">
        <v>2507</v>
      </c>
      <c r="BE104" s="1112">
        <v>24616</v>
      </c>
      <c r="BF104" s="1112">
        <v>11510787</v>
      </c>
      <c r="BG104" s="1112">
        <v>355704</v>
      </c>
      <c r="BH104" s="1112">
        <v>136197</v>
      </c>
      <c r="BI104" s="1112">
        <v>3574747</v>
      </c>
      <c r="BJ104" s="1112">
        <v>110104</v>
      </c>
      <c r="BK104" s="1112">
        <v>946344</v>
      </c>
      <c r="BL104" s="1112">
        <v>52406</v>
      </c>
      <c r="BM104" s="1112">
        <v>29116</v>
      </c>
      <c r="BN104" s="1112">
        <v>523713</v>
      </c>
      <c r="BO104" s="1112">
        <v>114965</v>
      </c>
      <c r="BP104" s="1112">
        <v>1610863</v>
      </c>
      <c r="BQ104" s="1112">
        <v>57043309</v>
      </c>
      <c r="BR104" s="1112">
        <v>2554691</v>
      </c>
      <c r="BS104" s="1112">
        <v>3832457</v>
      </c>
    </row>
    <row r="105" spans="1:71" x14ac:dyDescent="0.3">
      <c r="A105" s="275">
        <v>339</v>
      </c>
      <c r="B105" s="275">
        <v>339</v>
      </c>
      <c r="C105" s="275" t="s">
        <v>190</v>
      </c>
      <c r="D105" s="275" t="s">
        <v>422</v>
      </c>
      <c r="E105" s="1112">
        <v>863154</v>
      </c>
      <c r="F105" s="1112">
        <v>871604</v>
      </c>
      <c r="G105" s="1112">
        <v>10961</v>
      </c>
      <c r="H105" s="1112">
        <v>1700545</v>
      </c>
      <c r="I105" s="1112">
        <v>20178</v>
      </c>
      <c r="J105" s="1112">
        <v>188824</v>
      </c>
      <c r="K105" s="1112">
        <v>544984</v>
      </c>
      <c r="L105" s="1112">
        <v>29387</v>
      </c>
      <c r="M105" s="1112">
        <v>14031537</v>
      </c>
      <c r="N105" s="275">
        <v>0</v>
      </c>
      <c r="O105" s="1112">
        <v>1068247</v>
      </c>
      <c r="P105" s="1112">
        <v>7880</v>
      </c>
      <c r="Q105" s="1112">
        <v>2413688</v>
      </c>
      <c r="R105" s="1112">
        <v>23778893</v>
      </c>
      <c r="S105" s="275">
        <v>0</v>
      </c>
      <c r="T105" s="1112">
        <v>42054</v>
      </c>
      <c r="U105" s="1112">
        <v>1765246</v>
      </c>
      <c r="V105" s="1112">
        <v>99480</v>
      </c>
      <c r="W105" s="1112">
        <v>58214</v>
      </c>
      <c r="X105" s="1112">
        <v>12843</v>
      </c>
      <c r="Y105" s="1112">
        <v>621647</v>
      </c>
      <c r="Z105" s="275">
        <v>0</v>
      </c>
      <c r="AA105" s="1112">
        <v>137074</v>
      </c>
      <c r="AB105" s="1112">
        <v>9021</v>
      </c>
      <c r="AC105" s="1112">
        <v>1390009</v>
      </c>
      <c r="AD105" s="1112">
        <v>166270</v>
      </c>
      <c r="AE105" s="1112">
        <v>13873</v>
      </c>
      <c r="AF105" s="1112">
        <v>42450</v>
      </c>
      <c r="AG105" s="1112">
        <v>20920</v>
      </c>
      <c r="AH105" s="1112">
        <v>1430447</v>
      </c>
      <c r="AI105" s="1112">
        <v>117513</v>
      </c>
      <c r="AJ105" s="1112">
        <v>175992</v>
      </c>
      <c r="AK105" s="1112">
        <v>1306625</v>
      </c>
      <c r="AL105" s="275">
        <v>0</v>
      </c>
      <c r="AM105" s="275">
        <v>0</v>
      </c>
      <c r="AN105" s="1112">
        <v>833229</v>
      </c>
      <c r="AO105" s="1112">
        <v>520082</v>
      </c>
      <c r="AP105" s="1112">
        <v>588950</v>
      </c>
      <c r="AQ105" s="275">
        <v>0</v>
      </c>
      <c r="AR105" s="1112">
        <v>134920</v>
      </c>
      <c r="AS105" s="1112">
        <v>179189</v>
      </c>
      <c r="AT105" s="1112">
        <v>37993</v>
      </c>
      <c r="AU105" s="1112">
        <v>50602</v>
      </c>
      <c r="AV105" s="275">
        <v>0</v>
      </c>
      <c r="AW105" s="1112">
        <v>1667405</v>
      </c>
      <c r="AX105" s="1112">
        <v>292975</v>
      </c>
      <c r="AY105" s="1112">
        <v>751932</v>
      </c>
      <c r="AZ105" s="275">
        <v>0</v>
      </c>
      <c r="BA105" s="275">
        <v>750</v>
      </c>
      <c r="BB105" s="1112">
        <v>271644</v>
      </c>
      <c r="BC105" s="1112">
        <v>225897</v>
      </c>
      <c r="BD105" s="275">
        <v>0</v>
      </c>
      <c r="BE105" s="1112">
        <v>42724</v>
      </c>
      <c r="BF105" s="1112">
        <v>1750953</v>
      </c>
      <c r="BG105" s="1112">
        <v>77714</v>
      </c>
      <c r="BH105" s="1112">
        <v>51970</v>
      </c>
      <c r="BI105" s="1112">
        <v>1281825</v>
      </c>
      <c r="BJ105" s="1112">
        <v>9898</v>
      </c>
      <c r="BK105" s="1112">
        <v>115570</v>
      </c>
      <c r="BL105" s="1112">
        <v>54460</v>
      </c>
      <c r="BM105" s="1112">
        <v>77517</v>
      </c>
      <c r="BN105" s="1112">
        <v>178606</v>
      </c>
      <c r="BO105" s="1112">
        <v>58326</v>
      </c>
      <c r="BP105" s="1112">
        <v>599713</v>
      </c>
      <c r="BQ105" s="1112">
        <v>7541705</v>
      </c>
      <c r="BR105" s="1112">
        <v>78612</v>
      </c>
      <c r="BS105" s="1112">
        <v>1069310</v>
      </c>
    </row>
    <row r="106" spans="1:71" x14ac:dyDescent="0.3">
      <c r="A106" s="275"/>
      <c r="B106" s="275">
        <v>340</v>
      </c>
      <c r="C106" s="275" t="s">
        <v>638</v>
      </c>
      <c r="D106" s="275" t="s">
        <v>423</v>
      </c>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c r="AF106" s="275"/>
      <c r="AG106" s="275"/>
      <c r="AH106" s="275"/>
      <c r="AI106" s="275"/>
      <c r="AJ106" s="275"/>
      <c r="AK106" s="275"/>
      <c r="AL106" s="275"/>
      <c r="AM106" s="275"/>
      <c r="AN106" s="275"/>
      <c r="AO106" s="275"/>
      <c r="AP106" s="275"/>
      <c r="AQ106" s="275"/>
      <c r="AR106" s="275"/>
      <c r="AS106" s="275"/>
      <c r="AT106" s="275"/>
      <c r="AU106" s="275"/>
      <c r="AV106" s="275"/>
      <c r="AW106" s="275"/>
      <c r="AX106" s="275"/>
      <c r="AY106" s="275"/>
      <c r="AZ106" s="275"/>
      <c r="BA106" s="275"/>
      <c r="BB106" s="275"/>
      <c r="BC106" s="275"/>
      <c r="BD106" s="275"/>
      <c r="BE106" s="275"/>
      <c r="BF106" s="275"/>
      <c r="BG106" s="275"/>
      <c r="BH106" s="275"/>
      <c r="BI106" s="275"/>
      <c r="BJ106" s="275"/>
      <c r="BK106" s="275"/>
      <c r="BL106" s="275"/>
      <c r="BM106" s="275"/>
      <c r="BN106" s="275"/>
      <c r="BO106" s="275"/>
      <c r="BP106" s="275"/>
      <c r="BQ106" s="275"/>
      <c r="BR106" s="275"/>
      <c r="BS106" s="275"/>
    </row>
    <row r="107" spans="1:71" x14ac:dyDescent="0.3">
      <c r="A107" s="275">
        <v>341</v>
      </c>
      <c r="B107" s="275">
        <v>341</v>
      </c>
      <c r="C107" s="275" t="s">
        <v>193</v>
      </c>
      <c r="D107" s="275" t="s">
        <v>424</v>
      </c>
      <c r="E107" s="1112">
        <v>7628133</v>
      </c>
      <c r="F107" s="1112">
        <v>4598786</v>
      </c>
      <c r="G107" s="1112">
        <v>585792</v>
      </c>
      <c r="H107" s="1112">
        <v>13028613</v>
      </c>
      <c r="I107" s="1112">
        <v>97599</v>
      </c>
      <c r="J107" s="1112">
        <v>1451904</v>
      </c>
      <c r="K107" s="1112">
        <v>3184748</v>
      </c>
      <c r="L107" s="1112">
        <v>302002</v>
      </c>
      <c r="M107" s="1112">
        <v>46765398</v>
      </c>
      <c r="N107" s="1112">
        <v>26358</v>
      </c>
      <c r="O107" s="1112">
        <v>6867851</v>
      </c>
      <c r="P107" s="1112">
        <v>1125435</v>
      </c>
      <c r="Q107" s="1112">
        <v>26180950</v>
      </c>
      <c r="R107" s="1112">
        <v>108986909</v>
      </c>
      <c r="S107" s="275">
        <v>0</v>
      </c>
      <c r="T107" s="1112">
        <v>453283</v>
      </c>
      <c r="U107" s="1112">
        <v>4392146</v>
      </c>
      <c r="V107" s="1112">
        <v>547337</v>
      </c>
      <c r="W107" s="1112">
        <v>327206</v>
      </c>
      <c r="X107" s="1112">
        <v>129029</v>
      </c>
      <c r="Y107" s="1112">
        <v>3209690</v>
      </c>
      <c r="Z107" s="1112">
        <v>813015</v>
      </c>
      <c r="AA107" s="1112">
        <v>426016</v>
      </c>
      <c r="AB107" s="1112">
        <v>253389</v>
      </c>
      <c r="AC107" s="1112">
        <v>10118635</v>
      </c>
      <c r="AD107" s="1112">
        <v>2065554</v>
      </c>
      <c r="AE107" s="1112">
        <v>213410</v>
      </c>
      <c r="AF107" s="1112">
        <v>225248</v>
      </c>
      <c r="AG107" s="1112">
        <v>27244</v>
      </c>
      <c r="AH107" s="1112">
        <v>6009763</v>
      </c>
      <c r="AI107" s="1112">
        <v>6509364</v>
      </c>
      <c r="AJ107" s="1112">
        <v>1570706</v>
      </c>
      <c r="AK107" s="1112">
        <v>12256402</v>
      </c>
      <c r="AL107" s="275">
        <v>0</v>
      </c>
      <c r="AM107" s="1112">
        <v>64881</v>
      </c>
      <c r="AN107" s="1112">
        <v>3577363</v>
      </c>
      <c r="AO107" s="1112">
        <v>1910280</v>
      </c>
      <c r="AP107" s="1112">
        <v>3162129</v>
      </c>
      <c r="AQ107" s="1112">
        <v>222562</v>
      </c>
      <c r="AR107" s="1112">
        <v>898296</v>
      </c>
      <c r="AS107" s="1112">
        <v>969321</v>
      </c>
      <c r="AT107" s="1112">
        <v>4001212</v>
      </c>
      <c r="AU107" s="1112">
        <v>1607028</v>
      </c>
      <c r="AV107" s="275">
        <v>0</v>
      </c>
      <c r="AW107" s="1112">
        <v>6840896</v>
      </c>
      <c r="AX107" s="1112">
        <v>1144811</v>
      </c>
      <c r="AY107" s="1112">
        <v>8341261</v>
      </c>
      <c r="AZ107" s="1112">
        <v>48022</v>
      </c>
      <c r="BA107" s="1112">
        <v>117313</v>
      </c>
      <c r="BB107" s="1112">
        <v>3480591</v>
      </c>
      <c r="BC107" s="1112">
        <v>1849063</v>
      </c>
      <c r="BD107" s="1112">
        <v>85618</v>
      </c>
      <c r="BE107" s="1112">
        <v>352437</v>
      </c>
      <c r="BF107" s="1112">
        <v>13614453</v>
      </c>
      <c r="BG107" s="1112">
        <v>743967</v>
      </c>
      <c r="BH107" s="1112">
        <v>94308</v>
      </c>
      <c r="BI107" s="1112">
        <v>8402439</v>
      </c>
      <c r="BJ107" s="1112">
        <v>568764</v>
      </c>
      <c r="BK107" s="1112">
        <v>719020</v>
      </c>
      <c r="BL107" s="1112">
        <v>221009</v>
      </c>
      <c r="BM107" s="1112">
        <v>406934</v>
      </c>
      <c r="BN107" s="1112">
        <v>1636530</v>
      </c>
      <c r="BO107" s="1112">
        <v>379428</v>
      </c>
      <c r="BP107" s="1112">
        <v>3340259</v>
      </c>
      <c r="BQ107" s="1112">
        <v>50012320</v>
      </c>
      <c r="BR107" s="1112">
        <v>1655907</v>
      </c>
      <c r="BS107" s="1112">
        <v>4904266</v>
      </c>
    </row>
    <row r="108" spans="1:71" x14ac:dyDescent="0.3">
      <c r="A108" s="275"/>
      <c r="B108" s="275">
        <v>342</v>
      </c>
      <c r="C108" s="275" t="s">
        <v>639</v>
      </c>
      <c r="D108" s="275" t="s">
        <v>425</v>
      </c>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75"/>
      <c r="AE108" s="275"/>
      <c r="AF108" s="275"/>
      <c r="AG108" s="275"/>
      <c r="AH108" s="275"/>
      <c r="AI108" s="275"/>
      <c r="AJ108" s="275"/>
      <c r="AK108" s="275"/>
      <c r="AL108" s="275"/>
      <c r="AM108" s="275"/>
      <c r="AN108" s="275"/>
      <c r="AO108" s="275"/>
      <c r="AP108" s="275"/>
      <c r="AQ108" s="275"/>
      <c r="AR108" s="275"/>
      <c r="AS108" s="275"/>
      <c r="AT108" s="275"/>
      <c r="AU108" s="275"/>
      <c r="AV108" s="275"/>
      <c r="AW108" s="275"/>
      <c r="AX108" s="275"/>
      <c r="AY108" s="275"/>
      <c r="AZ108" s="275"/>
      <c r="BA108" s="275"/>
      <c r="BB108" s="275"/>
      <c r="BC108" s="275"/>
      <c r="BD108" s="275"/>
      <c r="BE108" s="275"/>
      <c r="BF108" s="275"/>
      <c r="BG108" s="275"/>
      <c r="BH108" s="275"/>
      <c r="BI108" s="275"/>
      <c r="BJ108" s="275"/>
      <c r="BK108" s="275"/>
      <c r="BL108" s="275"/>
      <c r="BM108" s="275"/>
      <c r="BN108" s="275"/>
      <c r="BO108" s="275"/>
      <c r="BP108" s="275"/>
      <c r="BQ108" s="275"/>
      <c r="BR108" s="275"/>
      <c r="BS108" s="275"/>
    </row>
    <row r="109" spans="1:71" x14ac:dyDescent="0.3">
      <c r="A109" s="275">
        <v>343</v>
      </c>
      <c r="B109" s="275">
        <v>343</v>
      </c>
      <c r="C109" s="275" t="s">
        <v>255</v>
      </c>
      <c r="D109" s="275" t="s">
        <v>426</v>
      </c>
      <c r="E109" s="1112">
        <v>404870</v>
      </c>
      <c r="F109" s="1112">
        <v>855725</v>
      </c>
      <c r="G109" s="275">
        <v>0</v>
      </c>
      <c r="H109" s="1112">
        <v>611197</v>
      </c>
      <c r="I109" s="275">
        <v>0</v>
      </c>
      <c r="J109" s="1112">
        <v>35509</v>
      </c>
      <c r="K109" s="1112">
        <v>118491</v>
      </c>
      <c r="L109" s="275">
        <v>0</v>
      </c>
      <c r="M109" s="1112">
        <v>3006261</v>
      </c>
      <c r="N109" s="275">
        <v>0</v>
      </c>
      <c r="O109" s="1112">
        <v>1412281</v>
      </c>
      <c r="P109" s="1112">
        <v>33333</v>
      </c>
      <c r="Q109" s="1112">
        <v>661822</v>
      </c>
      <c r="R109" s="1112">
        <v>6684161</v>
      </c>
      <c r="S109" s="275">
        <v>0</v>
      </c>
      <c r="T109" s="1112">
        <v>51369</v>
      </c>
      <c r="U109" s="1112">
        <v>195361</v>
      </c>
      <c r="V109" s="1112">
        <v>20959</v>
      </c>
      <c r="W109" s="275">
        <v>0</v>
      </c>
      <c r="X109" s="275">
        <v>0</v>
      </c>
      <c r="Y109" s="1112">
        <v>209897</v>
      </c>
      <c r="Z109" s="275">
        <v>0</v>
      </c>
      <c r="AA109" s="1112">
        <v>8244</v>
      </c>
      <c r="AB109" s="1112">
        <v>26177</v>
      </c>
      <c r="AC109" s="1112">
        <v>3519117</v>
      </c>
      <c r="AD109" s="1112">
        <v>135257</v>
      </c>
      <c r="AE109" s="275">
        <v>0</v>
      </c>
      <c r="AF109" s="1112">
        <v>17181</v>
      </c>
      <c r="AG109" s="275">
        <v>0</v>
      </c>
      <c r="AH109" s="1112">
        <v>418401</v>
      </c>
      <c r="AI109" s="1112">
        <v>188745</v>
      </c>
      <c r="AJ109" s="1112">
        <v>6486</v>
      </c>
      <c r="AK109" s="1112">
        <v>1441648</v>
      </c>
      <c r="AL109" s="275">
        <v>0</v>
      </c>
      <c r="AM109" s="275">
        <v>0</v>
      </c>
      <c r="AN109" s="1112">
        <v>69005</v>
      </c>
      <c r="AO109" s="275">
        <v>0</v>
      </c>
      <c r="AP109" s="1112">
        <v>315143</v>
      </c>
      <c r="AQ109" s="275">
        <v>0</v>
      </c>
      <c r="AR109" s="1112">
        <v>30715</v>
      </c>
      <c r="AS109" s="1112">
        <v>18095</v>
      </c>
      <c r="AT109" s="1112">
        <v>95474</v>
      </c>
      <c r="AU109" s="1112">
        <v>14745</v>
      </c>
      <c r="AV109" s="275">
        <v>0</v>
      </c>
      <c r="AW109" s="1112">
        <v>176000</v>
      </c>
      <c r="AX109" s="1112">
        <v>60023</v>
      </c>
      <c r="AY109" s="1112">
        <v>1001488</v>
      </c>
      <c r="AZ109" s="275">
        <v>0</v>
      </c>
      <c r="BA109" s="275">
        <v>0</v>
      </c>
      <c r="BB109" s="1112">
        <v>100875</v>
      </c>
      <c r="BC109" s="1112">
        <v>45500</v>
      </c>
      <c r="BD109" s="275">
        <v>0</v>
      </c>
      <c r="BE109" s="275">
        <v>0</v>
      </c>
      <c r="BF109" s="1112">
        <v>364709</v>
      </c>
      <c r="BG109" s="275">
        <v>0</v>
      </c>
      <c r="BH109" s="1112">
        <v>48674</v>
      </c>
      <c r="BI109" s="1112">
        <v>245140</v>
      </c>
      <c r="BJ109" s="1112">
        <v>11218</v>
      </c>
      <c r="BK109" s="1112">
        <v>27127</v>
      </c>
      <c r="BL109" s="275">
        <v>0</v>
      </c>
      <c r="BM109" s="275">
        <v>0</v>
      </c>
      <c r="BN109" s="275">
        <v>0</v>
      </c>
      <c r="BO109" s="275">
        <v>0</v>
      </c>
      <c r="BP109" s="1112">
        <v>78321</v>
      </c>
      <c r="BQ109" s="1112">
        <v>2574643</v>
      </c>
      <c r="BR109" s="1112">
        <v>191918</v>
      </c>
      <c r="BS109" s="1112">
        <v>399643</v>
      </c>
    </row>
    <row r="110" spans="1:71" x14ac:dyDescent="0.3">
      <c r="A110" s="275">
        <v>344</v>
      </c>
      <c r="B110" s="275">
        <v>344</v>
      </c>
      <c r="C110" s="275" t="s">
        <v>188</v>
      </c>
      <c r="D110" s="275" t="s">
        <v>427</v>
      </c>
      <c r="E110" s="1112">
        <v>114120</v>
      </c>
      <c r="F110" s="1112">
        <v>225072</v>
      </c>
      <c r="G110" s="275">
        <v>0</v>
      </c>
      <c r="H110" s="1112">
        <v>113325</v>
      </c>
      <c r="I110" s="275">
        <v>0</v>
      </c>
      <c r="J110" s="275">
        <v>764</v>
      </c>
      <c r="K110" s="1112">
        <v>10881</v>
      </c>
      <c r="L110" s="275">
        <v>0</v>
      </c>
      <c r="M110" s="1112">
        <v>1510226</v>
      </c>
      <c r="N110" s="275">
        <v>0</v>
      </c>
      <c r="O110" s="1112">
        <v>24642</v>
      </c>
      <c r="P110" s="1112">
        <v>10230</v>
      </c>
      <c r="Q110" s="1112">
        <v>37217</v>
      </c>
      <c r="R110" s="1112">
        <v>2225136</v>
      </c>
      <c r="S110" s="275">
        <v>0</v>
      </c>
      <c r="T110" s="1112">
        <v>4638</v>
      </c>
      <c r="U110" s="1112">
        <v>15381</v>
      </c>
      <c r="V110" s="1112">
        <v>2609</v>
      </c>
      <c r="W110" s="275">
        <v>0</v>
      </c>
      <c r="X110" s="275">
        <v>0</v>
      </c>
      <c r="Y110" s="1112">
        <v>10843</v>
      </c>
      <c r="Z110" s="275">
        <v>0</v>
      </c>
      <c r="AA110" s="1112">
        <v>12084</v>
      </c>
      <c r="AB110" s="1112">
        <v>1109</v>
      </c>
      <c r="AC110" s="1112">
        <v>581640</v>
      </c>
      <c r="AD110" s="1112">
        <v>15833</v>
      </c>
      <c r="AE110" s="275">
        <v>0</v>
      </c>
      <c r="AF110" s="1112">
        <v>2848</v>
      </c>
      <c r="AG110" s="275">
        <v>0</v>
      </c>
      <c r="AH110" s="1112">
        <v>107813</v>
      </c>
      <c r="AI110" s="1112">
        <v>38465</v>
      </c>
      <c r="AJ110" s="1112">
        <v>1146</v>
      </c>
      <c r="AK110" s="1112">
        <v>114777</v>
      </c>
      <c r="AL110" s="275">
        <v>0</v>
      </c>
      <c r="AM110" s="275">
        <v>0</v>
      </c>
      <c r="AN110" s="1112">
        <v>44639</v>
      </c>
      <c r="AO110" s="275">
        <v>0</v>
      </c>
      <c r="AP110" s="1112">
        <v>41808</v>
      </c>
      <c r="AQ110" s="275">
        <v>0</v>
      </c>
      <c r="AR110" s="1112">
        <v>9657</v>
      </c>
      <c r="AS110" s="1112">
        <v>2149</v>
      </c>
      <c r="AT110" s="1112">
        <v>9546</v>
      </c>
      <c r="AU110" s="275">
        <v>0</v>
      </c>
      <c r="AV110" s="275">
        <v>0</v>
      </c>
      <c r="AW110" s="1112">
        <v>66392</v>
      </c>
      <c r="AX110" s="1112">
        <v>39757</v>
      </c>
      <c r="AY110" s="1112">
        <v>322029</v>
      </c>
      <c r="AZ110" s="275">
        <v>0</v>
      </c>
      <c r="BA110" s="275">
        <v>0</v>
      </c>
      <c r="BB110" s="1112">
        <v>34047</v>
      </c>
      <c r="BC110" s="1112">
        <v>14038</v>
      </c>
      <c r="BD110" s="275">
        <v>0</v>
      </c>
      <c r="BE110" s="275">
        <v>0</v>
      </c>
      <c r="BF110" s="1112">
        <v>17596</v>
      </c>
      <c r="BG110" s="275">
        <v>0</v>
      </c>
      <c r="BH110" s="1112">
        <v>4144</v>
      </c>
      <c r="BI110" s="1112">
        <v>23229</v>
      </c>
      <c r="BJ110" s="275">
        <v>0</v>
      </c>
      <c r="BK110" s="1112">
        <v>16003</v>
      </c>
      <c r="BL110" s="275">
        <v>0</v>
      </c>
      <c r="BM110" s="275">
        <v>0</v>
      </c>
      <c r="BN110" s="275">
        <v>0</v>
      </c>
      <c r="BO110" s="275">
        <v>0</v>
      </c>
      <c r="BP110" s="1112">
        <v>13354</v>
      </c>
      <c r="BQ110" s="1112">
        <v>95111</v>
      </c>
      <c r="BR110" s="1112">
        <v>5987</v>
      </c>
      <c r="BS110" s="1112">
        <v>35117</v>
      </c>
    </row>
    <row r="111" spans="1:71" x14ac:dyDescent="0.3">
      <c r="A111" s="275"/>
      <c r="B111" s="275">
        <v>346</v>
      </c>
      <c r="C111" s="275" t="s">
        <v>640</v>
      </c>
      <c r="D111" s="275" t="s">
        <v>428</v>
      </c>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275"/>
      <c r="AF111" s="275"/>
      <c r="AG111" s="275"/>
      <c r="AH111" s="275"/>
      <c r="AI111" s="275"/>
      <c r="AJ111" s="275"/>
      <c r="AK111" s="275"/>
      <c r="AL111" s="275"/>
      <c r="AM111" s="275"/>
      <c r="AN111" s="275"/>
      <c r="AO111" s="275"/>
      <c r="AP111" s="275"/>
      <c r="AQ111" s="275"/>
      <c r="AR111" s="275"/>
      <c r="AS111" s="275"/>
      <c r="AT111" s="275"/>
      <c r="AU111" s="275"/>
      <c r="AV111" s="275"/>
      <c r="AW111" s="275"/>
      <c r="AX111" s="275"/>
      <c r="AY111" s="275"/>
      <c r="AZ111" s="275"/>
      <c r="BA111" s="275"/>
      <c r="BB111" s="275"/>
      <c r="BC111" s="275"/>
      <c r="BD111" s="275"/>
      <c r="BE111" s="275"/>
      <c r="BF111" s="275"/>
      <c r="BG111" s="275"/>
      <c r="BH111" s="275"/>
      <c r="BI111" s="275"/>
      <c r="BJ111" s="275"/>
      <c r="BK111" s="275"/>
      <c r="BL111" s="275"/>
      <c r="BM111" s="275"/>
      <c r="BN111" s="275"/>
      <c r="BO111" s="275"/>
      <c r="BP111" s="275"/>
      <c r="BQ111" s="275"/>
      <c r="BR111" s="275"/>
      <c r="BS111" s="275"/>
    </row>
    <row r="112" spans="1:71" x14ac:dyDescent="0.3">
      <c r="A112" s="275"/>
      <c r="B112" s="275">
        <v>347</v>
      </c>
      <c r="C112" s="275" t="s">
        <v>641</v>
      </c>
      <c r="D112" s="275" t="s">
        <v>429</v>
      </c>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275"/>
      <c r="AF112" s="275"/>
      <c r="AG112" s="275"/>
      <c r="AH112" s="275"/>
      <c r="AI112" s="275"/>
      <c r="AJ112" s="275"/>
      <c r="AK112" s="275"/>
      <c r="AL112" s="275"/>
      <c r="AM112" s="275"/>
      <c r="AN112" s="275"/>
      <c r="AO112" s="275"/>
      <c r="AP112" s="275"/>
      <c r="AQ112" s="275"/>
      <c r="AR112" s="275"/>
      <c r="AS112" s="275"/>
      <c r="AT112" s="275"/>
      <c r="AU112" s="275"/>
      <c r="AV112" s="275"/>
      <c r="AW112" s="275"/>
      <c r="AX112" s="275"/>
      <c r="AY112" s="275"/>
      <c r="AZ112" s="275"/>
      <c r="BA112" s="275"/>
      <c r="BB112" s="275"/>
      <c r="BC112" s="275"/>
      <c r="BD112" s="275"/>
      <c r="BE112" s="275"/>
      <c r="BF112" s="275"/>
      <c r="BG112" s="275"/>
      <c r="BH112" s="275"/>
      <c r="BI112" s="275"/>
      <c r="BJ112" s="275"/>
      <c r="BK112" s="275"/>
      <c r="BL112" s="275"/>
      <c r="BM112" s="275"/>
      <c r="BN112" s="275"/>
      <c r="BO112" s="275"/>
      <c r="BP112" s="275"/>
      <c r="BQ112" s="275"/>
      <c r="BR112" s="275"/>
      <c r="BS112" s="275"/>
    </row>
    <row r="113" spans="1:71" x14ac:dyDescent="0.3">
      <c r="A113" s="275">
        <v>349</v>
      </c>
      <c r="B113" s="275">
        <v>349</v>
      </c>
      <c r="C113" s="275" t="s">
        <v>122</v>
      </c>
      <c r="D113" s="275" t="s">
        <v>430</v>
      </c>
      <c r="E113" s="1112">
        <v>1626759</v>
      </c>
      <c r="F113" s="1112">
        <v>13957371</v>
      </c>
      <c r="G113" s="1112">
        <v>174981</v>
      </c>
      <c r="H113" s="1112">
        <v>27820547</v>
      </c>
      <c r="I113" s="275">
        <v>0</v>
      </c>
      <c r="J113" s="1112">
        <v>1994106</v>
      </c>
      <c r="K113" s="1112">
        <v>5514558</v>
      </c>
      <c r="L113" s="1112">
        <v>552381</v>
      </c>
      <c r="M113" s="1112">
        <v>73829903</v>
      </c>
      <c r="N113" s="275">
        <v>0</v>
      </c>
      <c r="O113" s="1112">
        <v>5525399</v>
      </c>
      <c r="P113" s="275">
        <v>0</v>
      </c>
      <c r="Q113" s="1112">
        <v>12016266</v>
      </c>
      <c r="R113" s="1112">
        <v>84872659</v>
      </c>
      <c r="S113" s="275">
        <v>0</v>
      </c>
      <c r="T113" s="1112">
        <v>672500</v>
      </c>
      <c r="U113" s="1112">
        <v>514901</v>
      </c>
      <c r="V113" s="1112">
        <v>882977</v>
      </c>
      <c r="W113" s="1112">
        <v>57198</v>
      </c>
      <c r="X113" s="1112">
        <v>13971</v>
      </c>
      <c r="Y113" s="1112">
        <v>6663099</v>
      </c>
      <c r="Z113" s="275">
        <v>0</v>
      </c>
      <c r="AA113" s="1112">
        <v>182276</v>
      </c>
      <c r="AB113" s="1112">
        <v>236703</v>
      </c>
      <c r="AC113" s="1112">
        <v>1798882</v>
      </c>
      <c r="AD113" s="1112">
        <v>301157</v>
      </c>
      <c r="AE113" s="1112">
        <v>1134299</v>
      </c>
      <c r="AF113" s="275">
        <v>0</v>
      </c>
      <c r="AG113" s="275">
        <v>0</v>
      </c>
      <c r="AH113" s="1112">
        <v>12020653</v>
      </c>
      <c r="AI113" s="1112">
        <v>5335979</v>
      </c>
      <c r="AJ113" s="1112">
        <v>2959111</v>
      </c>
      <c r="AK113" s="1112">
        <v>12267478</v>
      </c>
      <c r="AL113" s="275">
        <v>0</v>
      </c>
      <c r="AM113" s="275">
        <v>0</v>
      </c>
      <c r="AN113" s="1112">
        <v>6057445</v>
      </c>
      <c r="AO113" s="275">
        <v>83</v>
      </c>
      <c r="AP113" s="1112">
        <v>7097753</v>
      </c>
      <c r="AQ113" s="275">
        <v>0</v>
      </c>
      <c r="AR113" s="1112">
        <v>4432034</v>
      </c>
      <c r="AS113" s="1112">
        <v>3032991</v>
      </c>
      <c r="AT113" s="1112">
        <v>67427</v>
      </c>
      <c r="AU113" s="1112">
        <v>1523715</v>
      </c>
      <c r="AV113" s="275">
        <v>0</v>
      </c>
      <c r="AW113" s="1112">
        <v>3145590</v>
      </c>
      <c r="AX113" s="1112">
        <v>191952</v>
      </c>
      <c r="AY113" s="1112">
        <v>4746303</v>
      </c>
      <c r="AZ113" s="275">
        <v>0</v>
      </c>
      <c r="BA113" s="275">
        <v>0</v>
      </c>
      <c r="BB113" s="275">
        <v>0</v>
      </c>
      <c r="BC113" s="1112">
        <v>1281377</v>
      </c>
      <c r="BD113" s="275">
        <v>0</v>
      </c>
      <c r="BE113" s="1112">
        <v>24276</v>
      </c>
      <c r="BF113" s="1112">
        <v>35509930</v>
      </c>
      <c r="BG113" s="1112">
        <v>1796563</v>
      </c>
      <c r="BH113" s="1112">
        <v>112439</v>
      </c>
      <c r="BI113" s="1112">
        <v>22022716</v>
      </c>
      <c r="BJ113" s="1112">
        <v>268005</v>
      </c>
      <c r="BK113" s="1112">
        <v>302284</v>
      </c>
      <c r="BL113" s="275">
        <v>0</v>
      </c>
      <c r="BM113" s="275">
        <v>3</v>
      </c>
      <c r="BN113" s="1112">
        <v>2709328</v>
      </c>
      <c r="BO113" s="1112">
        <v>879934</v>
      </c>
      <c r="BP113" s="1112">
        <v>3331437</v>
      </c>
      <c r="BQ113" s="1112">
        <v>38663558</v>
      </c>
      <c r="BR113" s="1112">
        <v>2910900</v>
      </c>
      <c r="BS113" s="275">
        <v>0</v>
      </c>
    </row>
    <row r="114" spans="1:71" x14ac:dyDescent="0.3">
      <c r="A114" s="275">
        <v>350</v>
      </c>
      <c r="B114" s="275">
        <v>350</v>
      </c>
      <c r="C114" s="275" t="s">
        <v>231</v>
      </c>
      <c r="D114" s="275" t="s">
        <v>431</v>
      </c>
      <c r="E114" s="1112">
        <v>22896</v>
      </c>
      <c r="F114" s="1112">
        <v>40398</v>
      </c>
      <c r="G114" s="1112">
        <v>1011</v>
      </c>
      <c r="H114" s="1112">
        <v>233535</v>
      </c>
      <c r="I114" s="275">
        <v>0</v>
      </c>
      <c r="J114" s="1112">
        <v>87634</v>
      </c>
      <c r="K114" s="1112">
        <v>96449</v>
      </c>
      <c r="L114" s="275">
        <v>730</v>
      </c>
      <c r="M114" s="1112">
        <v>1322056</v>
      </c>
      <c r="N114" s="275">
        <v>0</v>
      </c>
      <c r="O114" s="1112">
        <v>121324</v>
      </c>
      <c r="P114" s="275">
        <v>0</v>
      </c>
      <c r="Q114" s="1112">
        <v>629276</v>
      </c>
      <c r="R114" s="1112">
        <v>2134157</v>
      </c>
      <c r="S114" s="275">
        <v>0</v>
      </c>
      <c r="T114" s="275">
        <v>0</v>
      </c>
      <c r="U114" s="1112">
        <v>23893</v>
      </c>
      <c r="V114" s="275">
        <v>0</v>
      </c>
      <c r="W114" s="275">
        <v>152</v>
      </c>
      <c r="X114" s="275">
        <v>5</v>
      </c>
      <c r="Y114" s="1112">
        <v>19412</v>
      </c>
      <c r="Z114" s="275">
        <v>0</v>
      </c>
      <c r="AA114" s="1112">
        <v>1118</v>
      </c>
      <c r="AB114" s="275">
        <v>13</v>
      </c>
      <c r="AC114" s="1112">
        <v>26184</v>
      </c>
      <c r="AD114" s="1112">
        <v>2872</v>
      </c>
      <c r="AE114" s="275">
        <v>183</v>
      </c>
      <c r="AF114" s="275">
        <v>0</v>
      </c>
      <c r="AG114" s="275">
        <v>0</v>
      </c>
      <c r="AH114" s="1112">
        <v>172802</v>
      </c>
      <c r="AI114" s="1112">
        <v>50958</v>
      </c>
      <c r="AJ114" s="275">
        <v>0</v>
      </c>
      <c r="AK114" s="1112">
        <v>63002</v>
      </c>
      <c r="AL114" s="275">
        <v>0</v>
      </c>
      <c r="AM114" s="275">
        <v>0</v>
      </c>
      <c r="AN114" s="1112">
        <v>3982</v>
      </c>
      <c r="AO114" s="1112">
        <v>2550</v>
      </c>
      <c r="AP114" s="1112">
        <v>2036</v>
      </c>
      <c r="AQ114" s="275">
        <v>0</v>
      </c>
      <c r="AR114" s="275">
        <v>0</v>
      </c>
      <c r="AS114" s="1112">
        <v>7062</v>
      </c>
      <c r="AT114" s="1112">
        <v>1824</v>
      </c>
      <c r="AU114" s="1112">
        <v>77933</v>
      </c>
      <c r="AV114" s="275">
        <v>0</v>
      </c>
      <c r="AW114" s="1112">
        <v>35880</v>
      </c>
      <c r="AX114" s="1112">
        <v>6778</v>
      </c>
      <c r="AY114" s="1112">
        <v>32332</v>
      </c>
      <c r="AZ114" s="275">
        <v>0</v>
      </c>
      <c r="BA114" s="275">
        <v>0</v>
      </c>
      <c r="BB114" s="275">
        <v>0</v>
      </c>
      <c r="BC114" s="1112">
        <v>30771</v>
      </c>
      <c r="BD114" s="275">
        <v>0</v>
      </c>
      <c r="BE114" s="1112">
        <v>32566</v>
      </c>
      <c r="BF114" s="1112">
        <v>2350805</v>
      </c>
      <c r="BG114" s="275">
        <v>90</v>
      </c>
      <c r="BH114" s="1112">
        <v>5031</v>
      </c>
      <c r="BI114" s="275">
        <v>0</v>
      </c>
      <c r="BJ114" s="275">
        <v>48</v>
      </c>
      <c r="BK114" s="1112">
        <v>7093</v>
      </c>
      <c r="BL114" s="275">
        <v>0</v>
      </c>
      <c r="BM114" s="275">
        <v>0</v>
      </c>
      <c r="BN114" s="1112">
        <v>92564</v>
      </c>
      <c r="BO114" s="275">
        <v>387</v>
      </c>
      <c r="BP114" s="1112">
        <v>48478</v>
      </c>
      <c r="BQ114" s="1112">
        <v>1032088</v>
      </c>
      <c r="BR114" s="1112">
        <v>1922</v>
      </c>
      <c r="BS114" s="275">
        <v>0</v>
      </c>
    </row>
    <row r="115" spans="1:71" x14ac:dyDescent="0.3">
      <c r="A115" s="275">
        <v>351</v>
      </c>
      <c r="B115" s="275">
        <v>351</v>
      </c>
      <c r="C115" s="275" t="s">
        <v>232</v>
      </c>
      <c r="D115" s="275" t="s">
        <v>432</v>
      </c>
      <c r="E115" s="1112">
        <v>161535</v>
      </c>
      <c r="F115" s="1112">
        <v>721408</v>
      </c>
      <c r="G115" s="275">
        <v>0</v>
      </c>
      <c r="H115" s="1112">
        <v>348689</v>
      </c>
      <c r="I115" s="275">
        <v>0</v>
      </c>
      <c r="J115" s="1112">
        <v>2731</v>
      </c>
      <c r="K115" s="1112">
        <v>183441</v>
      </c>
      <c r="L115" s="1112">
        <v>28613</v>
      </c>
      <c r="M115" s="1112">
        <v>16217837</v>
      </c>
      <c r="N115" s="275">
        <v>0</v>
      </c>
      <c r="O115" s="1112">
        <v>135176</v>
      </c>
      <c r="P115" s="275">
        <v>0</v>
      </c>
      <c r="Q115" s="1112">
        <v>102062</v>
      </c>
      <c r="R115" s="1112">
        <v>2309888</v>
      </c>
      <c r="S115" s="275">
        <v>0</v>
      </c>
      <c r="T115" s="1112">
        <v>18865</v>
      </c>
      <c r="U115" s="1112">
        <v>4568</v>
      </c>
      <c r="V115" s="1112">
        <v>3276</v>
      </c>
      <c r="W115" s="275">
        <v>0</v>
      </c>
      <c r="X115" s="1112">
        <v>1527</v>
      </c>
      <c r="Y115" s="1112">
        <v>151460</v>
      </c>
      <c r="Z115" s="275">
        <v>0</v>
      </c>
      <c r="AA115" s="1112">
        <v>4882</v>
      </c>
      <c r="AB115" s="1112">
        <v>10830</v>
      </c>
      <c r="AC115" s="1112">
        <v>35791</v>
      </c>
      <c r="AD115" s="1112">
        <v>5812</v>
      </c>
      <c r="AE115" s="1112">
        <v>19306</v>
      </c>
      <c r="AF115" s="275">
        <v>0</v>
      </c>
      <c r="AG115" s="275">
        <v>0</v>
      </c>
      <c r="AH115" s="1112">
        <v>291993</v>
      </c>
      <c r="AI115" s="1112">
        <v>187628</v>
      </c>
      <c r="AJ115" s="1112">
        <v>103165</v>
      </c>
      <c r="AK115" s="1112">
        <v>144441</v>
      </c>
      <c r="AL115" s="275">
        <v>0</v>
      </c>
      <c r="AM115" s="275">
        <v>0</v>
      </c>
      <c r="AN115" s="1112">
        <v>119207</v>
      </c>
      <c r="AO115" s="275">
        <v>0</v>
      </c>
      <c r="AP115" s="1112">
        <v>21424</v>
      </c>
      <c r="AQ115" s="275">
        <v>0</v>
      </c>
      <c r="AR115" s="1112">
        <v>142906</v>
      </c>
      <c r="AS115" s="1112">
        <v>98547</v>
      </c>
      <c r="AT115" s="275">
        <v>0</v>
      </c>
      <c r="AU115" s="1112">
        <v>2432</v>
      </c>
      <c r="AV115" s="275">
        <v>0</v>
      </c>
      <c r="AW115" s="1112">
        <v>56858</v>
      </c>
      <c r="AX115" s="275">
        <v>178</v>
      </c>
      <c r="AY115" s="1112">
        <v>94118</v>
      </c>
      <c r="AZ115" s="275">
        <v>0</v>
      </c>
      <c r="BA115" s="275">
        <v>0</v>
      </c>
      <c r="BB115" s="275">
        <v>0</v>
      </c>
      <c r="BC115" s="1112">
        <v>36231</v>
      </c>
      <c r="BD115" s="275">
        <v>0</v>
      </c>
      <c r="BE115" s="275">
        <v>400</v>
      </c>
      <c r="BF115" s="1112">
        <v>1270175</v>
      </c>
      <c r="BG115" s="275">
        <v>0</v>
      </c>
      <c r="BH115" s="1112">
        <v>2689</v>
      </c>
      <c r="BI115" s="1112">
        <v>437180</v>
      </c>
      <c r="BJ115" s="1112">
        <v>7191</v>
      </c>
      <c r="BK115" s="1112">
        <v>6657</v>
      </c>
      <c r="BL115" s="275">
        <v>0</v>
      </c>
      <c r="BM115" s="275">
        <v>0</v>
      </c>
      <c r="BN115" s="1112">
        <v>57583</v>
      </c>
      <c r="BO115" s="1112">
        <v>4267</v>
      </c>
      <c r="BP115" s="1112">
        <v>50737</v>
      </c>
      <c r="BQ115" s="1112">
        <v>1428022</v>
      </c>
      <c r="BR115" s="1112">
        <v>10993</v>
      </c>
      <c r="BS115" s="275">
        <v>0</v>
      </c>
    </row>
    <row r="116" spans="1:71" x14ac:dyDescent="0.3">
      <c r="A116" s="275">
        <v>352</v>
      </c>
      <c r="B116" s="275">
        <v>352</v>
      </c>
      <c r="C116" s="275" t="s">
        <v>234</v>
      </c>
      <c r="D116" s="275" t="s">
        <v>433</v>
      </c>
      <c r="E116" s="275">
        <v>0</v>
      </c>
      <c r="F116" s="275">
        <v>0</v>
      </c>
      <c r="G116" s="275">
        <v>0</v>
      </c>
      <c r="H116" s="275">
        <v>0</v>
      </c>
      <c r="I116" s="275">
        <v>0</v>
      </c>
      <c r="J116" s="275">
        <v>0</v>
      </c>
      <c r="K116" s="275">
        <v>0</v>
      </c>
      <c r="L116" s="275">
        <v>0</v>
      </c>
      <c r="M116" s="275">
        <v>0</v>
      </c>
      <c r="N116" s="275">
        <v>0</v>
      </c>
      <c r="O116" s="275">
        <v>0</v>
      </c>
      <c r="P116" s="275">
        <v>0</v>
      </c>
      <c r="Q116" s="275">
        <v>0</v>
      </c>
      <c r="R116" s="275">
        <v>0</v>
      </c>
      <c r="S116" s="275">
        <v>0</v>
      </c>
      <c r="T116" s="275">
        <v>0</v>
      </c>
      <c r="U116" s="275">
        <v>0</v>
      </c>
      <c r="V116" s="275">
        <v>0</v>
      </c>
      <c r="W116" s="275">
        <v>0</v>
      </c>
      <c r="X116" s="275">
        <v>0</v>
      </c>
      <c r="Y116" s="275">
        <v>0</v>
      </c>
      <c r="Z116" s="275">
        <v>0</v>
      </c>
      <c r="AA116" s="275">
        <v>0</v>
      </c>
      <c r="AB116" s="275">
        <v>0</v>
      </c>
      <c r="AC116" s="275">
        <v>0</v>
      </c>
      <c r="AD116" s="275">
        <v>0</v>
      </c>
      <c r="AE116" s="275">
        <v>0</v>
      </c>
      <c r="AF116" s="275">
        <v>0</v>
      </c>
      <c r="AG116" s="275">
        <v>0</v>
      </c>
      <c r="AH116" s="275">
        <v>0</v>
      </c>
      <c r="AI116" s="1112">
        <v>150000</v>
      </c>
      <c r="AJ116" s="275">
        <v>0</v>
      </c>
      <c r="AK116" s="275">
        <v>0</v>
      </c>
      <c r="AL116" s="275">
        <v>0</v>
      </c>
      <c r="AM116" s="275">
        <v>0</v>
      </c>
      <c r="AN116" s="275">
        <v>0</v>
      </c>
      <c r="AO116" s="275">
        <v>0</v>
      </c>
      <c r="AP116" s="275">
        <v>0</v>
      </c>
      <c r="AQ116" s="275">
        <v>0</v>
      </c>
      <c r="AR116" s="275">
        <v>0</v>
      </c>
      <c r="AS116" s="275">
        <v>0</v>
      </c>
      <c r="AT116" s="275">
        <v>0</v>
      </c>
      <c r="AU116" s="1112">
        <v>43697</v>
      </c>
      <c r="AV116" s="275">
        <v>0</v>
      </c>
      <c r="AW116" s="275">
        <v>0</v>
      </c>
      <c r="AX116" s="275">
        <v>0</v>
      </c>
      <c r="AY116" s="275">
        <v>0</v>
      </c>
      <c r="AZ116" s="275">
        <v>0</v>
      </c>
      <c r="BA116" s="275">
        <v>0</v>
      </c>
      <c r="BB116" s="275">
        <v>0</v>
      </c>
      <c r="BC116" s="275">
        <v>0</v>
      </c>
      <c r="BD116" s="275">
        <v>0</v>
      </c>
      <c r="BE116" s="275">
        <v>0</v>
      </c>
      <c r="BF116" s="275">
        <v>0</v>
      </c>
      <c r="BG116" s="275">
        <v>0</v>
      </c>
      <c r="BH116" s="275">
        <v>0</v>
      </c>
      <c r="BI116" s="1112">
        <v>200000</v>
      </c>
      <c r="BJ116" s="275">
        <v>0</v>
      </c>
      <c r="BK116" s="275">
        <v>0</v>
      </c>
      <c r="BL116" s="275">
        <v>0</v>
      </c>
      <c r="BM116" s="1112">
        <v>7036</v>
      </c>
      <c r="BN116" s="1112">
        <v>254136</v>
      </c>
      <c r="BO116" s="275">
        <v>0</v>
      </c>
      <c r="BP116" s="275">
        <v>0</v>
      </c>
      <c r="BQ116" s="275">
        <v>0</v>
      </c>
      <c r="BR116" s="275">
        <v>0</v>
      </c>
      <c r="BS116" s="275">
        <v>0</v>
      </c>
    </row>
    <row r="117" spans="1:71" x14ac:dyDescent="0.3">
      <c r="A117" s="275">
        <v>353</v>
      </c>
      <c r="B117" s="275">
        <v>353</v>
      </c>
      <c r="C117" s="275" t="s">
        <v>235</v>
      </c>
      <c r="D117" s="275" t="s">
        <v>434</v>
      </c>
      <c r="E117" s="275">
        <v>0</v>
      </c>
      <c r="F117" s="1112">
        <v>282733</v>
      </c>
      <c r="G117" s="1112">
        <v>6883</v>
      </c>
      <c r="H117" s="1112">
        <v>606360</v>
      </c>
      <c r="I117" s="275">
        <v>0</v>
      </c>
      <c r="J117" s="275">
        <v>0</v>
      </c>
      <c r="K117" s="1112">
        <v>110429</v>
      </c>
      <c r="L117" s="1112">
        <v>42064</v>
      </c>
      <c r="M117" s="275">
        <v>0</v>
      </c>
      <c r="N117" s="275">
        <v>0</v>
      </c>
      <c r="O117" s="275">
        <v>0</v>
      </c>
      <c r="P117" s="275">
        <v>0</v>
      </c>
      <c r="Q117" s="275">
        <v>0</v>
      </c>
      <c r="R117" s="275">
        <v>0</v>
      </c>
      <c r="S117" s="275">
        <v>0</v>
      </c>
      <c r="T117" s="275">
        <v>0</v>
      </c>
      <c r="U117" s="1112">
        <v>211158</v>
      </c>
      <c r="V117" s="275">
        <v>0</v>
      </c>
      <c r="W117" s="275">
        <v>0</v>
      </c>
      <c r="X117" s="275">
        <v>0</v>
      </c>
      <c r="Y117" s="275">
        <v>0</v>
      </c>
      <c r="Z117" s="275">
        <v>0</v>
      </c>
      <c r="AA117" s="275">
        <v>0</v>
      </c>
      <c r="AB117" s="275">
        <v>0</v>
      </c>
      <c r="AC117" s="275">
        <v>0</v>
      </c>
      <c r="AD117" s="275">
        <v>0</v>
      </c>
      <c r="AE117" s="275">
        <v>0</v>
      </c>
      <c r="AF117" s="275">
        <v>0</v>
      </c>
      <c r="AG117" s="275">
        <v>0</v>
      </c>
      <c r="AH117" s="1112">
        <v>2874516</v>
      </c>
      <c r="AI117" s="275">
        <v>0</v>
      </c>
      <c r="AJ117" s="275">
        <v>0</v>
      </c>
      <c r="AK117" s="275">
        <v>0</v>
      </c>
      <c r="AL117" s="275">
        <v>0</v>
      </c>
      <c r="AM117" s="275">
        <v>0</v>
      </c>
      <c r="AN117" s="275">
        <v>0</v>
      </c>
      <c r="AO117" s="275">
        <v>0</v>
      </c>
      <c r="AP117" s="275">
        <v>0</v>
      </c>
      <c r="AQ117" s="275">
        <v>0</v>
      </c>
      <c r="AR117" s="275">
        <v>0</v>
      </c>
      <c r="AS117" s="275">
        <v>0</v>
      </c>
      <c r="AT117" s="275">
        <v>0</v>
      </c>
      <c r="AU117" s="1112">
        <v>40000</v>
      </c>
      <c r="AV117" s="275">
        <v>0</v>
      </c>
      <c r="AW117" s="275">
        <v>0</v>
      </c>
      <c r="AX117" s="275">
        <v>0</v>
      </c>
      <c r="AY117" s="275">
        <v>0</v>
      </c>
      <c r="AZ117" s="275">
        <v>0</v>
      </c>
      <c r="BA117" s="275">
        <v>0</v>
      </c>
      <c r="BB117" s="275">
        <v>0</v>
      </c>
      <c r="BC117" s="275">
        <v>0</v>
      </c>
      <c r="BD117" s="275">
        <v>0</v>
      </c>
      <c r="BE117" s="275">
        <v>0</v>
      </c>
      <c r="BF117" s="1112">
        <v>143453</v>
      </c>
      <c r="BG117" s="275">
        <v>0</v>
      </c>
      <c r="BH117" s="1112">
        <v>5000</v>
      </c>
      <c r="BI117" s="275">
        <v>0</v>
      </c>
      <c r="BJ117" s="1112">
        <v>79443</v>
      </c>
      <c r="BK117" s="275">
        <v>0</v>
      </c>
      <c r="BL117" s="275">
        <v>0</v>
      </c>
      <c r="BM117" s="275">
        <v>0</v>
      </c>
      <c r="BN117" s="275">
        <v>0</v>
      </c>
      <c r="BO117" s="275">
        <v>0</v>
      </c>
      <c r="BP117" s="275">
        <v>0</v>
      </c>
      <c r="BQ117" s="1112">
        <v>771926</v>
      </c>
      <c r="BR117" s="275">
        <v>0</v>
      </c>
      <c r="BS117" s="275">
        <v>0</v>
      </c>
    </row>
    <row r="118" spans="1:71" x14ac:dyDescent="0.3">
      <c r="A118" s="275">
        <v>356</v>
      </c>
      <c r="B118" s="275">
        <v>356</v>
      </c>
      <c r="C118" s="275" t="s">
        <v>552</v>
      </c>
      <c r="D118" s="275" t="s">
        <v>435</v>
      </c>
      <c r="E118" s="275">
        <v>0</v>
      </c>
      <c r="F118" s="275">
        <v>0</v>
      </c>
      <c r="G118" s="275">
        <v>0</v>
      </c>
      <c r="H118" s="1112">
        <v>28766757</v>
      </c>
      <c r="I118" s="275">
        <v>0</v>
      </c>
      <c r="J118" s="275">
        <v>0</v>
      </c>
      <c r="K118" s="275">
        <v>0</v>
      </c>
      <c r="L118" s="275">
        <v>0</v>
      </c>
      <c r="M118" s="1112">
        <v>65531418</v>
      </c>
      <c r="N118" s="275">
        <v>0</v>
      </c>
      <c r="O118" s="275">
        <v>0</v>
      </c>
      <c r="P118" s="275">
        <v>0</v>
      </c>
      <c r="Q118" s="275">
        <v>0</v>
      </c>
      <c r="R118" s="275">
        <v>0</v>
      </c>
      <c r="S118" s="275">
        <v>0</v>
      </c>
      <c r="T118" s="275">
        <v>0</v>
      </c>
      <c r="U118" s="275">
        <v>0</v>
      </c>
      <c r="V118" s="275">
        <v>0</v>
      </c>
      <c r="W118" s="275">
        <v>0</v>
      </c>
      <c r="X118" s="275">
        <v>0</v>
      </c>
      <c r="Y118" s="1112">
        <v>12050614</v>
      </c>
      <c r="Z118" s="275">
        <v>0</v>
      </c>
      <c r="AA118" s="275">
        <v>0</v>
      </c>
      <c r="AB118" s="275">
        <v>0</v>
      </c>
      <c r="AC118" s="275">
        <v>0</v>
      </c>
      <c r="AD118" s="275">
        <v>0</v>
      </c>
      <c r="AE118" s="275">
        <v>0</v>
      </c>
      <c r="AF118" s="275">
        <v>0</v>
      </c>
      <c r="AG118" s="275">
        <v>0</v>
      </c>
      <c r="AH118" s="275">
        <v>0</v>
      </c>
      <c r="AI118" s="275">
        <v>0</v>
      </c>
      <c r="AJ118" s="1112">
        <v>957402</v>
      </c>
      <c r="AK118" s="275">
        <v>0</v>
      </c>
      <c r="AL118" s="275">
        <v>0</v>
      </c>
      <c r="AM118" s="275">
        <v>0</v>
      </c>
      <c r="AN118" s="1112">
        <v>2987250</v>
      </c>
      <c r="AO118" s="275">
        <v>0</v>
      </c>
      <c r="AP118" s="275">
        <v>0</v>
      </c>
      <c r="AQ118" s="275">
        <v>0</v>
      </c>
      <c r="AR118" s="275">
        <v>0</v>
      </c>
      <c r="AS118" s="275">
        <v>0</v>
      </c>
      <c r="AT118" s="275">
        <v>0</v>
      </c>
      <c r="AU118" s="275">
        <v>0</v>
      </c>
      <c r="AV118" s="275">
        <v>0</v>
      </c>
      <c r="AW118" s="275">
        <v>0</v>
      </c>
      <c r="AX118" s="275">
        <v>0</v>
      </c>
      <c r="AY118" s="275">
        <v>0</v>
      </c>
      <c r="AZ118" s="275">
        <v>0</v>
      </c>
      <c r="BA118" s="275">
        <v>0</v>
      </c>
      <c r="BB118" s="275">
        <v>0</v>
      </c>
      <c r="BC118" s="275">
        <v>0</v>
      </c>
      <c r="BD118" s="275">
        <v>0</v>
      </c>
      <c r="BE118" s="275">
        <v>0</v>
      </c>
      <c r="BF118" s="275">
        <v>0</v>
      </c>
      <c r="BG118" s="275">
        <v>0</v>
      </c>
      <c r="BH118" s="1112">
        <v>730047</v>
      </c>
      <c r="BI118" s="275">
        <v>0</v>
      </c>
      <c r="BJ118" s="275">
        <v>0</v>
      </c>
      <c r="BK118" s="275">
        <v>0</v>
      </c>
      <c r="BL118" s="275">
        <v>0</v>
      </c>
      <c r="BM118" s="275">
        <v>0</v>
      </c>
      <c r="BN118" s="275">
        <v>0</v>
      </c>
      <c r="BO118" s="275">
        <v>0</v>
      </c>
      <c r="BP118" s="275">
        <v>0</v>
      </c>
      <c r="BQ118" s="275">
        <v>0</v>
      </c>
      <c r="BR118" s="275">
        <v>0</v>
      </c>
      <c r="BS118" s="275">
        <v>0</v>
      </c>
    </row>
    <row r="119" spans="1:71" x14ac:dyDescent="0.3">
      <c r="A119" s="275">
        <v>357</v>
      </c>
      <c r="B119" s="275">
        <v>357</v>
      </c>
      <c r="C119" s="275" t="s">
        <v>553</v>
      </c>
      <c r="D119" s="275" t="s">
        <v>436</v>
      </c>
      <c r="E119" s="275">
        <v>0</v>
      </c>
      <c r="F119" s="275">
        <v>0</v>
      </c>
      <c r="G119" s="275">
        <v>0</v>
      </c>
      <c r="H119" s="1112">
        <v>19818865</v>
      </c>
      <c r="I119" s="275">
        <v>0</v>
      </c>
      <c r="J119" s="275">
        <v>0</v>
      </c>
      <c r="K119" s="275">
        <v>0</v>
      </c>
      <c r="L119" s="275">
        <v>0</v>
      </c>
      <c r="M119" s="1112">
        <v>28674700</v>
      </c>
      <c r="N119" s="275">
        <v>0</v>
      </c>
      <c r="O119" s="275">
        <v>0</v>
      </c>
      <c r="P119" s="275">
        <v>0</v>
      </c>
      <c r="Q119" s="275">
        <v>0</v>
      </c>
      <c r="R119" s="275">
        <v>0</v>
      </c>
      <c r="S119" s="275">
        <v>0</v>
      </c>
      <c r="T119" s="275">
        <v>0</v>
      </c>
      <c r="U119" s="275">
        <v>0</v>
      </c>
      <c r="V119" s="275">
        <v>0</v>
      </c>
      <c r="W119" s="275">
        <v>0</v>
      </c>
      <c r="X119" s="275">
        <v>0</v>
      </c>
      <c r="Y119" s="1112">
        <v>7893826</v>
      </c>
      <c r="Z119" s="275">
        <v>0</v>
      </c>
      <c r="AA119" s="275">
        <v>0</v>
      </c>
      <c r="AB119" s="275">
        <v>0</v>
      </c>
      <c r="AC119" s="275">
        <v>0</v>
      </c>
      <c r="AD119" s="275">
        <v>0</v>
      </c>
      <c r="AE119" s="275">
        <v>0</v>
      </c>
      <c r="AF119" s="275">
        <v>0</v>
      </c>
      <c r="AG119" s="275">
        <v>0</v>
      </c>
      <c r="AH119" s="275">
        <v>0</v>
      </c>
      <c r="AI119" s="275">
        <v>0</v>
      </c>
      <c r="AJ119" s="1112">
        <v>793697</v>
      </c>
      <c r="AK119" s="275">
        <v>0</v>
      </c>
      <c r="AL119" s="275">
        <v>0</v>
      </c>
      <c r="AM119" s="275">
        <v>0</v>
      </c>
      <c r="AN119" s="1112">
        <v>2398938</v>
      </c>
      <c r="AO119" s="275">
        <v>0</v>
      </c>
      <c r="AP119" s="275">
        <v>0</v>
      </c>
      <c r="AQ119" s="275">
        <v>0</v>
      </c>
      <c r="AR119" s="275">
        <v>0</v>
      </c>
      <c r="AS119" s="275">
        <v>0</v>
      </c>
      <c r="AT119" s="275">
        <v>0</v>
      </c>
      <c r="AU119" s="275">
        <v>0</v>
      </c>
      <c r="AV119" s="275">
        <v>0</v>
      </c>
      <c r="AW119" s="275">
        <v>0</v>
      </c>
      <c r="AX119" s="275">
        <v>0</v>
      </c>
      <c r="AY119" s="275">
        <v>0</v>
      </c>
      <c r="AZ119" s="275">
        <v>0</v>
      </c>
      <c r="BA119" s="275">
        <v>0</v>
      </c>
      <c r="BB119" s="275">
        <v>0</v>
      </c>
      <c r="BC119" s="275">
        <v>0</v>
      </c>
      <c r="BD119" s="275">
        <v>0</v>
      </c>
      <c r="BE119" s="275">
        <v>0</v>
      </c>
      <c r="BF119" s="275">
        <v>0</v>
      </c>
      <c r="BG119" s="275">
        <v>0</v>
      </c>
      <c r="BH119" s="1112">
        <v>456182</v>
      </c>
      <c r="BI119" s="275">
        <v>0</v>
      </c>
      <c r="BJ119" s="275">
        <v>0</v>
      </c>
      <c r="BK119" s="275">
        <v>0</v>
      </c>
      <c r="BL119" s="275">
        <v>0</v>
      </c>
      <c r="BM119" s="275">
        <v>0</v>
      </c>
      <c r="BN119" s="275">
        <v>0</v>
      </c>
      <c r="BO119" s="275">
        <v>0</v>
      </c>
      <c r="BP119" s="275">
        <v>0</v>
      </c>
      <c r="BQ119" s="275">
        <v>0</v>
      </c>
      <c r="BR119" s="275">
        <v>0</v>
      </c>
      <c r="BS119" s="275">
        <v>0</v>
      </c>
    </row>
    <row r="120" spans="1:71" x14ac:dyDescent="0.3">
      <c r="A120" s="275">
        <v>359</v>
      </c>
      <c r="B120" s="275">
        <v>359</v>
      </c>
      <c r="C120" s="275" t="s">
        <v>256</v>
      </c>
      <c r="D120" s="275" t="s">
        <v>437</v>
      </c>
      <c r="E120" s="275">
        <v>0</v>
      </c>
      <c r="F120" s="275">
        <v>0</v>
      </c>
      <c r="G120" s="275">
        <v>0</v>
      </c>
      <c r="H120" s="1112">
        <v>622468</v>
      </c>
      <c r="I120" s="275">
        <v>0</v>
      </c>
      <c r="J120" s="275">
        <v>0</v>
      </c>
      <c r="K120" s="275">
        <v>0</v>
      </c>
      <c r="L120" s="275">
        <v>0</v>
      </c>
      <c r="M120" s="1112">
        <v>2877000</v>
      </c>
      <c r="N120" s="275">
        <v>0</v>
      </c>
      <c r="O120" s="275">
        <v>0</v>
      </c>
      <c r="P120" s="275">
        <v>0</v>
      </c>
      <c r="Q120" s="275">
        <v>0</v>
      </c>
      <c r="R120" s="275">
        <v>0</v>
      </c>
      <c r="S120" s="275">
        <v>0</v>
      </c>
      <c r="T120" s="275">
        <v>0</v>
      </c>
      <c r="U120" s="275">
        <v>0</v>
      </c>
      <c r="V120" s="275">
        <v>0</v>
      </c>
      <c r="W120" s="275">
        <v>0</v>
      </c>
      <c r="X120" s="275">
        <v>0</v>
      </c>
      <c r="Y120" s="1112">
        <v>2059905</v>
      </c>
      <c r="Z120" s="275">
        <v>0</v>
      </c>
      <c r="AA120" s="275">
        <v>0</v>
      </c>
      <c r="AB120" s="275">
        <v>0</v>
      </c>
      <c r="AC120" s="275">
        <v>0</v>
      </c>
      <c r="AD120" s="275">
        <v>0</v>
      </c>
      <c r="AE120" s="275">
        <v>0</v>
      </c>
      <c r="AF120" s="275">
        <v>0</v>
      </c>
      <c r="AG120" s="275">
        <v>0</v>
      </c>
      <c r="AH120" s="275">
        <v>0</v>
      </c>
      <c r="AI120" s="275">
        <v>0</v>
      </c>
      <c r="AJ120" s="275">
        <v>0</v>
      </c>
      <c r="AK120" s="275">
        <v>0</v>
      </c>
      <c r="AL120" s="275">
        <v>0</v>
      </c>
      <c r="AM120" s="275">
        <v>0</v>
      </c>
      <c r="AN120" s="1112">
        <v>180582</v>
      </c>
      <c r="AO120" s="275">
        <v>0</v>
      </c>
      <c r="AP120" s="275">
        <v>0</v>
      </c>
      <c r="AQ120" s="275">
        <v>0</v>
      </c>
      <c r="AR120" s="275">
        <v>0</v>
      </c>
      <c r="AS120" s="275">
        <v>0</v>
      </c>
      <c r="AT120" s="275">
        <v>0</v>
      </c>
      <c r="AU120" s="275">
        <v>0</v>
      </c>
      <c r="AV120" s="275">
        <v>0</v>
      </c>
      <c r="AW120" s="275">
        <v>0</v>
      </c>
      <c r="AX120" s="275">
        <v>0</v>
      </c>
      <c r="AY120" s="275">
        <v>0</v>
      </c>
      <c r="AZ120" s="275">
        <v>0</v>
      </c>
      <c r="BA120" s="275">
        <v>0</v>
      </c>
      <c r="BB120" s="275">
        <v>0</v>
      </c>
      <c r="BC120" s="275">
        <v>0</v>
      </c>
      <c r="BD120" s="275">
        <v>0</v>
      </c>
      <c r="BE120" s="275">
        <v>0</v>
      </c>
      <c r="BF120" s="275">
        <v>0</v>
      </c>
      <c r="BG120" s="275">
        <v>0</v>
      </c>
      <c r="BH120" s="275">
        <v>0</v>
      </c>
      <c r="BI120" s="275">
        <v>0</v>
      </c>
      <c r="BJ120" s="275">
        <v>0</v>
      </c>
      <c r="BK120" s="275">
        <v>0</v>
      </c>
      <c r="BL120" s="275">
        <v>0</v>
      </c>
      <c r="BM120" s="275">
        <v>0</v>
      </c>
      <c r="BN120" s="275">
        <v>0</v>
      </c>
      <c r="BO120" s="275">
        <v>0</v>
      </c>
      <c r="BP120" s="275">
        <v>0</v>
      </c>
      <c r="BQ120" s="275">
        <v>0</v>
      </c>
      <c r="BR120" s="275">
        <v>0</v>
      </c>
      <c r="BS120" s="275">
        <v>0</v>
      </c>
    </row>
    <row r="121" spans="1:71" x14ac:dyDescent="0.3">
      <c r="A121" s="275">
        <v>360</v>
      </c>
      <c r="B121" s="275">
        <v>360</v>
      </c>
      <c r="C121" s="275" t="s">
        <v>125</v>
      </c>
      <c r="D121" s="275" t="s">
        <v>438</v>
      </c>
      <c r="E121" s="275">
        <v>0</v>
      </c>
      <c r="F121" s="275">
        <v>0</v>
      </c>
      <c r="G121" s="275">
        <v>0</v>
      </c>
      <c r="H121" s="1112">
        <v>6499172</v>
      </c>
      <c r="I121" s="275">
        <v>0</v>
      </c>
      <c r="J121" s="275">
        <v>0</v>
      </c>
      <c r="K121" s="275">
        <v>0</v>
      </c>
      <c r="L121" s="275">
        <v>0</v>
      </c>
      <c r="M121" s="1112">
        <v>11048743</v>
      </c>
      <c r="N121" s="275">
        <v>0</v>
      </c>
      <c r="O121" s="275">
        <v>0</v>
      </c>
      <c r="P121" s="275">
        <v>0</v>
      </c>
      <c r="Q121" s="275">
        <v>0</v>
      </c>
      <c r="R121" s="275">
        <v>0</v>
      </c>
      <c r="S121" s="275">
        <v>0</v>
      </c>
      <c r="T121" s="275">
        <v>0</v>
      </c>
      <c r="U121" s="275">
        <v>0</v>
      </c>
      <c r="V121" s="275">
        <v>0</v>
      </c>
      <c r="W121" s="275">
        <v>0</v>
      </c>
      <c r="X121" s="275">
        <v>0</v>
      </c>
      <c r="Y121" s="1112">
        <v>3798498</v>
      </c>
      <c r="Z121" s="275">
        <v>0</v>
      </c>
      <c r="AA121" s="275">
        <v>0</v>
      </c>
      <c r="AB121" s="275">
        <v>0</v>
      </c>
      <c r="AC121" s="275">
        <v>0</v>
      </c>
      <c r="AD121" s="275">
        <v>0</v>
      </c>
      <c r="AE121" s="275">
        <v>0</v>
      </c>
      <c r="AF121" s="275">
        <v>0</v>
      </c>
      <c r="AG121" s="275">
        <v>0</v>
      </c>
      <c r="AH121" s="275">
        <v>0</v>
      </c>
      <c r="AI121" s="275">
        <v>0</v>
      </c>
      <c r="AJ121" s="1112">
        <v>284105</v>
      </c>
      <c r="AK121" s="275">
        <v>0</v>
      </c>
      <c r="AL121" s="275">
        <v>0</v>
      </c>
      <c r="AM121" s="275">
        <v>0</v>
      </c>
      <c r="AN121" s="1112">
        <v>937520</v>
      </c>
      <c r="AO121" s="275">
        <v>0</v>
      </c>
      <c r="AP121" s="275">
        <v>0</v>
      </c>
      <c r="AQ121" s="275">
        <v>0</v>
      </c>
      <c r="AR121" s="275">
        <v>0</v>
      </c>
      <c r="AS121" s="275">
        <v>0</v>
      </c>
      <c r="AT121" s="275">
        <v>0</v>
      </c>
      <c r="AU121" s="275">
        <v>0</v>
      </c>
      <c r="AV121" s="275">
        <v>0</v>
      </c>
      <c r="AW121" s="275">
        <v>0</v>
      </c>
      <c r="AX121" s="275">
        <v>0</v>
      </c>
      <c r="AY121" s="275">
        <v>0</v>
      </c>
      <c r="AZ121" s="275">
        <v>0</v>
      </c>
      <c r="BA121" s="275">
        <v>0</v>
      </c>
      <c r="BB121" s="275">
        <v>0</v>
      </c>
      <c r="BC121" s="275">
        <v>0</v>
      </c>
      <c r="BD121" s="275">
        <v>0</v>
      </c>
      <c r="BE121" s="275">
        <v>0</v>
      </c>
      <c r="BF121" s="275">
        <v>0</v>
      </c>
      <c r="BG121" s="275">
        <v>0</v>
      </c>
      <c r="BH121" s="1112">
        <v>55674</v>
      </c>
      <c r="BI121" s="275">
        <v>0</v>
      </c>
      <c r="BJ121" s="275">
        <v>0</v>
      </c>
      <c r="BK121" s="275">
        <v>0</v>
      </c>
      <c r="BL121" s="275">
        <v>0</v>
      </c>
      <c r="BM121" s="275">
        <v>0</v>
      </c>
      <c r="BN121" s="275">
        <v>0</v>
      </c>
      <c r="BO121" s="275">
        <v>0</v>
      </c>
      <c r="BP121" s="275">
        <v>0</v>
      </c>
      <c r="BQ121" s="275">
        <v>0</v>
      </c>
      <c r="BR121" s="275">
        <v>0</v>
      </c>
      <c r="BS121" s="275">
        <v>0</v>
      </c>
    </row>
    <row r="122" spans="1:71" x14ac:dyDescent="0.3">
      <c r="A122" s="275">
        <v>361</v>
      </c>
      <c r="B122" s="275">
        <v>361</v>
      </c>
      <c r="C122" s="275" t="s">
        <v>106</v>
      </c>
      <c r="D122" s="275" t="s">
        <v>439</v>
      </c>
      <c r="E122" s="275" t="s">
        <v>1750</v>
      </c>
      <c r="F122" s="275" t="s">
        <v>1750</v>
      </c>
      <c r="G122" s="275" t="s">
        <v>1750</v>
      </c>
      <c r="H122" s="1112">
        <v>6431912</v>
      </c>
      <c r="I122" s="275" t="s">
        <v>1750</v>
      </c>
      <c r="J122" s="275" t="s">
        <v>1750</v>
      </c>
      <c r="K122" s="275" t="s">
        <v>1750</v>
      </c>
      <c r="L122" s="275" t="s">
        <v>1750</v>
      </c>
      <c r="M122" s="1112">
        <v>11143898</v>
      </c>
      <c r="N122" s="275" t="s">
        <v>1750</v>
      </c>
      <c r="O122" s="275" t="s">
        <v>1750</v>
      </c>
      <c r="P122" s="275" t="s">
        <v>1750</v>
      </c>
      <c r="Q122" s="275" t="s">
        <v>1750</v>
      </c>
      <c r="R122" s="275" t="s">
        <v>1750</v>
      </c>
      <c r="S122" s="275" t="s">
        <v>1750</v>
      </c>
      <c r="T122" s="275" t="s">
        <v>1750</v>
      </c>
      <c r="U122" s="275" t="s">
        <v>1750</v>
      </c>
      <c r="V122" s="275" t="s">
        <v>1750</v>
      </c>
      <c r="W122" s="275" t="s">
        <v>1750</v>
      </c>
      <c r="X122" s="275" t="s">
        <v>1750</v>
      </c>
      <c r="Y122" s="1112">
        <v>6619320</v>
      </c>
      <c r="Z122" s="275" t="s">
        <v>1750</v>
      </c>
      <c r="AA122" s="275" t="s">
        <v>1750</v>
      </c>
      <c r="AB122" s="275" t="s">
        <v>1750</v>
      </c>
      <c r="AC122" s="275" t="s">
        <v>1750</v>
      </c>
      <c r="AD122" s="275" t="s">
        <v>1750</v>
      </c>
      <c r="AE122" s="275" t="s">
        <v>1750</v>
      </c>
      <c r="AF122" s="275" t="s">
        <v>1750</v>
      </c>
      <c r="AG122" s="275" t="s">
        <v>1750</v>
      </c>
      <c r="AH122" s="275" t="s">
        <v>1750</v>
      </c>
      <c r="AI122" s="275" t="s">
        <v>1750</v>
      </c>
      <c r="AJ122" s="1112">
        <v>691266</v>
      </c>
      <c r="AK122" s="275" t="s">
        <v>1750</v>
      </c>
      <c r="AL122" s="275" t="s">
        <v>1750</v>
      </c>
      <c r="AM122" s="275" t="s">
        <v>1750</v>
      </c>
      <c r="AN122" s="1112">
        <v>793468</v>
      </c>
      <c r="AO122" s="275" t="s">
        <v>1750</v>
      </c>
      <c r="AP122" s="275" t="s">
        <v>1750</v>
      </c>
      <c r="AQ122" s="275" t="s">
        <v>1750</v>
      </c>
      <c r="AR122" s="275" t="s">
        <v>1750</v>
      </c>
      <c r="AS122" s="275" t="s">
        <v>1750</v>
      </c>
      <c r="AT122" s="275" t="s">
        <v>1750</v>
      </c>
      <c r="AU122" s="275" t="s">
        <v>1750</v>
      </c>
      <c r="AV122" s="275" t="s">
        <v>1750</v>
      </c>
      <c r="AW122" s="275" t="s">
        <v>1750</v>
      </c>
      <c r="AX122" s="275" t="s">
        <v>1750</v>
      </c>
      <c r="AY122" s="275" t="s">
        <v>1750</v>
      </c>
      <c r="AZ122" s="275" t="s">
        <v>1750</v>
      </c>
      <c r="BA122" s="275" t="s">
        <v>1750</v>
      </c>
      <c r="BB122" s="275" t="s">
        <v>1750</v>
      </c>
      <c r="BC122" s="275" t="s">
        <v>1750</v>
      </c>
      <c r="BD122" s="275" t="s">
        <v>1750</v>
      </c>
      <c r="BE122" s="275" t="s">
        <v>1750</v>
      </c>
      <c r="BF122" s="275" t="s">
        <v>1750</v>
      </c>
      <c r="BG122" s="275" t="s">
        <v>1750</v>
      </c>
      <c r="BH122" s="1112">
        <v>1346094</v>
      </c>
      <c r="BI122" s="275" t="s">
        <v>1750</v>
      </c>
      <c r="BJ122" s="275" t="s">
        <v>1750</v>
      </c>
      <c r="BK122" s="275" t="s">
        <v>1750</v>
      </c>
      <c r="BL122" s="275" t="s">
        <v>1750</v>
      </c>
      <c r="BM122" s="275" t="s">
        <v>1750</v>
      </c>
      <c r="BN122" s="275" t="s">
        <v>1750</v>
      </c>
      <c r="BO122" s="275" t="s">
        <v>1750</v>
      </c>
      <c r="BP122" s="275" t="s">
        <v>1751</v>
      </c>
      <c r="BQ122" s="275" t="s">
        <v>1750</v>
      </c>
      <c r="BR122" s="275" t="s">
        <v>1750</v>
      </c>
      <c r="BS122" s="275" t="s">
        <v>1750</v>
      </c>
    </row>
    <row r="123" spans="1:71" x14ac:dyDescent="0.3">
      <c r="A123" s="275">
        <v>362</v>
      </c>
      <c r="B123" s="275">
        <v>362</v>
      </c>
      <c r="C123" s="275" t="s">
        <v>107</v>
      </c>
      <c r="D123" s="275" t="s">
        <v>440</v>
      </c>
      <c r="E123" s="275">
        <v>0</v>
      </c>
      <c r="F123" s="275">
        <v>0</v>
      </c>
      <c r="G123" s="275">
        <v>0</v>
      </c>
      <c r="H123" s="1112">
        <v>17240176</v>
      </c>
      <c r="I123" s="275">
        <v>0</v>
      </c>
      <c r="J123" s="275">
        <v>0</v>
      </c>
      <c r="K123" s="275">
        <v>0</v>
      </c>
      <c r="L123" s="275">
        <v>0</v>
      </c>
      <c r="M123" s="1112">
        <v>48483339</v>
      </c>
      <c r="N123" s="275">
        <v>0</v>
      </c>
      <c r="O123" s="275">
        <v>0</v>
      </c>
      <c r="P123" s="275">
        <v>0</v>
      </c>
      <c r="Q123" s="275">
        <v>0</v>
      </c>
      <c r="R123" s="275">
        <v>0</v>
      </c>
      <c r="S123" s="275">
        <v>0</v>
      </c>
      <c r="T123" s="275">
        <v>0</v>
      </c>
      <c r="U123" s="275">
        <v>0</v>
      </c>
      <c r="V123" s="275">
        <v>0</v>
      </c>
      <c r="W123" s="275">
        <v>0</v>
      </c>
      <c r="X123" s="275">
        <v>0</v>
      </c>
      <c r="Y123" s="1112">
        <v>9213227</v>
      </c>
      <c r="Z123" s="275">
        <v>0</v>
      </c>
      <c r="AA123" s="275">
        <v>0</v>
      </c>
      <c r="AB123" s="275">
        <v>0</v>
      </c>
      <c r="AC123" s="275">
        <v>0</v>
      </c>
      <c r="AD123" s="275">
        <v>0</v>
      </c>
      <c r="AE123" s="275">
        <v>0</v>
      </c>
      <c r="AF123" s="275">
        <v>0</v>
      </c>
      <c r="AG123" s="275">
        <v>0</v>
      </c>
      <c r="AH123" s="275">
        <v>0</v>
      </c>
      <c r="AI123" s="275">
        <v>0</v>
      </c>
      <c r="AJ123" s="1112">
        <v>878700</v>
      </c>
      <c r="AK123" s="275">
        <v>0</v>
      </c>
      <c r="AL123" s="275">
        <v>0</v>
      </c>
      <c r="AM123" s="275">
        <v>0</v>
      </c>
      <c r="AN123" s="1112">
        <v>1218843</v>
      </c>
      <c r="AO123" s="275">
        <v>0</v>
      </c>
      <c r="AP123" s="275">
        <v>0</v>
      </c>
      <c r="AQ123" s="275">
        <v>0</v>
      </c>
      <c r="AR123" s="275">
        <v>0</v>
      </c>
      <c r="AS123" s="275">
        <v>0</v>
      </c>
      <c r="AT123" s="275">
        <v>0</v>
      </c>
      <c r="AU123" s="275">
        <v>0</v>
      </c>
      <c r="AV123" s="275">
        <v>0</v>
      </c>
      <c r="AW123" s="275">
        <v>0</v>
      </c>
      <c r="AX123" s="275">
        <v>0</v>
      </c>
      <c r="AY123" s="275">
        <v>0</v>
      </c>
      <c r="AZ123" s="275">
        <v>0</v>
      </c>
      <c r="BA123" s="275">
        <v>0</v>
      </c>
      <c r="BB123" s="275">
        <v>0</v>
      </c>
      <c r="BC123" s="275">
        <v>0</v>
      </c>
      <c r="BD123" s="275">
        <v>0</v>
      </c>
      <c r="BE123" s="275">
        <v>0</v>
      </c>
      <c r="BF123" s="275">
        <v>0</v>
      </c>
      <c r="BG123" s="275">
        <v>0</v>
      </c>
      <c r="BH123" s="1112">
        <v>1619959</v>
      </c>
      <c r="BI123" s="275">
        <v>0</v>
      </c>
      <c r="BJ123" s="275">
        <v>0</v>
      </c>
      <c r="BK123" s="275">
        <v>0</v>
      </c>
      <c r="BL123" s="275">
        <v>0</v>
      </c>
      <c r="BM123" s="275">
        <v>0</v>
      </c>
      <c r="BN123" s="275">
        <v>0</v>
      </c>
      <c r="BO123" s="275">
        <v>0</v>
      </c>
      <c r="BP123" s="275">
        <v>0</v>
      </c>
      <c r="BQ123" s="275">
        <v>0</v>
      </c>
      <c r="BR123" s="275">
        <v>0</v>
      </c>
      <c r="BS123" s="275">
        <v>0</v>
      </c>
    </row>
    <row r="124" spans="1:71" x14ac:dyDescent="0.3">
      <c r="A124" s="275">
        <v>363</v>
      </c>
      <c r="B124" s="275">
        <v>363</v>
      </c>
      <c r="C124" s="275" t="s">
        <v>242</v>
      </c>
      <c r="D124" s="275" t="s">
        <v>441</v>
      </c>
      <c r="E124" s="275">
        <v>0</v>
      </c>
      <c r="F124" s="275">
        <v>0</v>
      </c>
      <c r="G124" s="275">
        <v>0</v>
      </c>
      <c r="H124" s="1112">
        <v>223272</v>
      </c>
      <c r="I124" s="275">
        <v>0</v>
      </c>
      <c r="J124" s="275">
        <v>0</v>
      </c>
      <c r="K124" s="275">
        <v>0</v>
      </c>
      <c r="L124" s="275">
        <v>0</v>
      </c>
      <c r="M124" s="1112">
        <v>190305</v>
      </c>
      <c r="N124" s="275">
        <v>0</v>
      </c>
      <c r="O124" s="275">
        <v>0</v>
      </c>
      <c r="P124" s="275">
        <v>0</v>
      </c>
      <c r="Q124" s="275">
        <v>0</v>
      </c>
      <c r="R124" s="275">
        <v>0</v>
      </c>
      <c r="S124" s="275">
        <v>0</v>
      </c>
      <c r="T124" s="275">
        <v>0</v>
      </c>
      <c r="U124" s="275">
        <v>0</v>
      </c>
      <c r="V124" s="275">
        <v>0</v>
      </c>
      <c r="W124" s="275">
        <v>0</v>
      </c>
      <c r="X124" s="275">
        <v>0</v>
      </c>
      <c r="Y124" s="1112">
        <v>139054</v>
      </c>
      <c r="Z124" s="275">
        <v>0</v>
      </c>
      <c r="AA124" s="275">
        <v>0</v>
      </c>
      <c r="AB124" s="275">
        <v>0</v>
      </c>
      <c r="AC124" s="275">
        <v>0</v>
      </c>
      <c r="AD124" s="275">
        <v>0</v>
      </c>
      <c r="AE124" s="275">
        <v>0</v>
      </c>
      <c r="AF124" s="275">
        <v>0</v>
      </c>
      <c r="AG124" s="275">
        <v>0</v>
      </c>
      <c r="AH124" s="275">
        <v>0</v>
      </c>
      <c r="AI124" s="275">
        <v>0</v>
      </c>
      <c r="AJ124" s="275">
        <v>0</v>
      </c>
      <c r="AK124" s="275">
        <v>0</v>
      </c>
      <c r="AL124" s="275">
        <v>0</v>
      </c>
      <c r="AM124" s="275">
        <v>0</v>
      </c>
      <c r="AN124" s="1112">
        <v>3597</v>
      </c>
      <c r="AO124" s="275">
        <v>0</v>
      </c>
      <c r="AP124" s="275">
        <v>0</v>
      </c>
      <c r="AQ124" s="275">
        <v>0</v>
      </c>
      <c r="AR124" s="275">
        <v>0</v>
      </c>
      <c r="AS124" s="275">
        <v>0</v>
      </c>
      <c r="AT124" s="275">
        <v>0</v>
      </c>
      <c r="AU124" s="275">
        <v>0</v>
      </c>
      <c r="AV124" s="275">
        <v>0</v>
      </c>
      <c r="AW124" s="275">
        <v>0</v>
      </c>
      <c r="AX124" s="275">
        <v>0</v>
      </c>
      <c r="AY124" s="275">
        <v>0</v>
      </c>
      <c r="AZ124" s="275">
        <v>0</v>
      </c>
      <c r="BA124" s="275">
        <v>0</v>
      </c>
      <c r="BB124" s="275">
        <v>0</v>
      </c>
      <c r="BC124" s="275">
        <v>0</v>
      </c>
      <c r="BD124" s="275">
        <v>0</v>
      </c>
      <c r="BE124" s="275">
        <v>0</v>
      </c>
      <c r="BF124" s="275">
        <v>0</v>
      </c>
      <c r="BG124" s="275">
        <v>0</v>
      </c>
      <c r="BH124" s="1112">
        <v>9520</v>
      </c>
      <c r="BI124" s="275">
        <v>0</v>
      </c>
      <c r="BJ124" s="275">
        <v>0</v>
      </c>
      <c r="BK124" s="275">
        <v>0</v>
      </c>
      <c r="BL124" s="275">
        <v>0</v>
      </c>
      <c r="BM124" s="275">
        <v>0</v>
      </c>
      <c r="BN124" s="275">
        <v>0</v>
      </c>
      <c r="BO124" s="275">
        <v>0</v>
      </c>
      <c r="BP124" s="275">
        <v>0</v>
      </c>
      <c r="BQ124" s="275">
        <v>0</v>
      </c>
      <c r="BR124" s="275">
        <v>0</v>
      </c>
      <c r="BS124" s="275">
        <v>0</v>
      </c>
    </row>
    <row r="125" spans="1:71" x14ac:dyDescent="0.3">
      <c r="A125" s="275">
        <v>364</v>
      </c>
      <c r="B125" s="275">
        <v>364</v>
      </c>
      <c r="C125" s="275" t="s">
        <v>243</v>
      </c>
      <c r="D125" s="275" t="s">
        <v>442</v>
      </c>
      <c r="E125" s="275">
        <v>0</v>
      </c>
      <c r="F125" s="275">
        <v>0</v>
      </c>
      <c r="G125" s="275">
        <v>0</v>
      </c>
      <c r="H125" s="1112">
        <v>12151</v>
      </c>
      <c r="I125" s="275">
        <v>0</v>
      </c>
      <c r="J125" s="275">
        <v>0</v>
      </c>
      <c r="K125" s="275">
        <v>0</v>
      </c>
      <c r="L125" s="275">
        <v>0</v>
      </c>
      <c r="M125" s="1112">
        <v>120453</v>
      </c>
      <c r="N125" s="275">
        <v>0</v>
      </c>
      <c r="O125" s="275">
        <v>0</v>
      </c>
      <c r="P125" s="275">
        <v>0</v>
      </c>
      <c r="Q125" s="275">
        <v>0</v>
      </c>
      <c r="R125" s="275">
        <v>0</v>
      </c>
      <c r="S125" s="275">
        <v>0</v>
      </c>
      <c r="T125" s="275">
        <v>0</v>
      </c>
      <c r="U125" s="275">
        <v>0</v>
      </c>
      <c r="V125" s="275">
        <v>0</v>
      </c>
      <c r="W125" s="275">
        <v>0</v>
      </c>
      <c r="X125" s="275">
        <v>0</v>
      </c>
      <c r="Y125" s="1112">
        <v>53685</v>
      </c>
      <c r="Z125" s="275">
        <v>0</v>
      </c>
      <c r="AA125" s="275">
        <v>0</v>
      </c>
      <c r="AB125" s="275">
        <v>0</v>
      </c>
      <c r="AC125" s="275">
        <v>0</v>
      </c>
      <c r="AD125" s="275">
        <v>0</v>
      </c>
      <c r="AE125" s="275">
        <v>0</v>
      </c>
      <c r="AF125" s="275">
        <v>0</v>
      </c>
      <c r="AG125" s="275">
        <v>0</v>
      </c>
      <c r="AH125" s="275">
        <v>0</v>
      </c>
      <c r="AI125" s="275">
        <v>0</v>
      </c>
      <c r="AJ125" s="275">
        <v>0</v>
      </c>
      <c r="AK125" s="275">
        <v>0</v>
      </c>
      <c r="AL125" s="275">
        <v>0</v>
      </c>
      <c r="AM125" s="275">
        <v>0</v>
      </c>
      <c r="AN125" s="275">
        <v>0</v>
      </c>
      <c r="AO125" s="275">
        <v>0</v>
      </c>
      <c r="AP125" s="275">
        <v>0</v>
      </c>
      <c r="AQ125" s="275">
        <v>0</v>
      </c>
      <c r="AR125" s="275">
        <v>0</v>
      </c>
      <c r="AS125" s="275">
        <v>0</v>
      </c>
      <c r="AT125" s="275">
        <v>0</v>
      </c>
      <c r="AU125" s="275">
        <v>0</v>
      </c>
      <c r="AV125" s="275">
        <v>0</v>
      </c>
      <c r="AW125" s="275">
        <v>0</v>
      </c>
      <c r="AX125" s="275">
        <v>0</v>
      </c>
      <c r="AY125" s="275">
        <v>0</v>
      </c>
      <c r="AZ125" s="275">
        <v>0</v>
      </c>
      <c r="BA125" s="275">
        <v>0</v>
      </c>
      <c r="BB125" s="275">
        <v>0</v>
      </c>
      <c r="BC125" s="275">
        <v>0</v>
      </c>
      <c r="BD125" s="275">
        <v>0</v>
      </c>
      <c r="BE125" s="275">
        <v>0</v>
      </c>
      <c r="BF125" s="275">
        <v>0</v>
      </c>
      <c r="BG125" s="275">
        <v>0</v>
      </c>
      <c r="BH125" s="275">
        <v>0</v>
      </c>
      <c r="BI125" s="275">
        <v>0</v>
      </c>
      <c r="BJ125" s="275">
        <v>0</v>
      </c>
      <c r="BK125" s="275">
        <v>0</v>
      </c>
      <c r="BL125" s="275">
        <v>0</v>
      </c>
      <c r="BM125" s="275">
        <v>0</v>
      </c>
      <c r="BN125" s="275">
        <v>0</v>
      </c>
      <c r="BO125" s="275">
        <v>0</v>
      </c>
      <c r="BP125" s="275">
        <v>0</v>
      </c>
      <c r="BQ125" s="275">
        <v>0</v>
      </c>
      <c r="BR125" s="275">
        <v>0</v>
      </c>
      <c r="BS125" s="275">
        <v>0</v>
      </c>
    </row>
    <row r="126" spans="1:71" x14ac:dyDescent="0.3">
      <c r="A126" s="275">
        <v>365</v>
      </c>
      <c r="B126" s="275">
        <v>365</v>
      </c>
      <c r="C126" s="275" t="s">
        <v>245</v>
      </c>
      <c r="D126" s="275" t="s">
        <v>443</v>
      </c>
      <c r="E126" s="275">
        <v>0</v>
      </c>
      <c r="F126" s="275">
        <v>0</v>
      </c>
      <c r="G126" s="275">
        <v>0</v>
      </c>
      <c r="H126" s="1112">
        <v>25000</v>
      </c>
      <c r="I126" s="275">
        <v>0</v>
      </c>
      <c r="J126" s="275">
        <v>0</v>
      </c>
      <c r="K126" s="275">
        <v>0</v>
      </c>
      <c r="L126" s="275">
        <v>0</v>
      </c>
      <c r="M126" s="275">
        <v>0</v>
      </c>
      <c r="N126" s="275">
        <v>0</v>
      </c>
      <c r="O126" s="275">
        <v>0</v>
      </c>
      <c r="P126" s="275">
        <v>0</v>
      </c>
      <c r="Q126" s="275">
        <v>0</v>
      </c>
      <c r="R126" s="275">
        <v>0</v>
      </c>
      <c r="S126" s="275">
        <v>0</v>
      </c>
      <c r="T126" s="275">
        <v>0</v>
      </c>
      <c r="U126" s="275">
        <v>0</v>
      </c>
      <c r="V126" s="275">
        <v>0</v>
      </c>
      <c r="W126" s="275">
        <v>0</v>
      </c>
      <c r="X126" s="275">
        <v>0</v>
      </c>
      <c r="Y126" s="275">
        <v>0</v>
      </c>
      <c r="Z126" s="275">
        <v>0</v>
      </c>
      <c r="AA126" s="275">
        <v>0</v>
      </c>
      <c r="AB126" s="275">
        <v>0</v>
      </c>
      <c r="AC126" s="275">
        <v>0</v>
      </c>
      <c r="AD126" s="275">
        <v>0</v>
      </c>
      <c r="AE126" s="275">
        <v>0</v>
      </c>
      <c r="AF126" s="275">
        <v>0</v>
      </c>
      <c r="AG126" s="275">
        <v>0</v>
      </c>
      <c r="AH126" s="275">
        <v>0</v>
      </c>
      <c r="AI126" s="275">
        <v>0</v>
      </c>
      <c r="AJ126" s="275">
        <v>0</v>
      </c>
      <c r="AK126" s="275">
        <v>0</v>
      </c>
      <c r="AL126" s="275">
        <v>0</v>
      </c>
      <c r="AM126" s="275">
        <v>0</v>
      </c>
      <c r="AN126" s="275">
        <v>0</v>
      </c>
      <c r="AO126" s="275">
        <v>0</v>
      </c>
      <c r="AP126" s="275">
        <v>0</v>
      </c>
      <c r="AQ126" s="275">
        <v>0</v>
      </c>
      <c r="AR126" s="275">
        <v>0</v>
      </c>
      <c r="AS126" s="275">
        <v>0</v>
      </c>
      <c r="AT126" s="275">
        <v>0</v>
      </c>
      <c r="AU126" s="275">
        <v>0</v>
      </c>
      <c r="AV126" s="275">
        <v>0</v>
      </c>
      <c r="AW126" s="275">
        <v>0</v>
      </c>
      <c r="AX126" s="275">
        <v>0</v>
      </c>
      <c r="AY126" s="275">
        <v>0</v>
      </c>
      <c r="AZ126" s="275">
        <v>0</v>
      </c>
      <c r="BA126" s="275">
        <v>0</v>
      </c>
      <c r="BB126" s="275">
        <v>0</v>
      </c>
      <c r="BC126" s="275">
        <v>0</v>
      </c>
      <c r="BD126" s="275">
        <v>0</v>
      </c>
      <c r="BE126" s="275">
        <v>0</v>
      </c>
      <c r="BF126" s="275">
        <v>0</v>
      </c>
      <c r="BG126" s="275">
        <v>0</v>
      </c>
      <c r="BH126" s="275">
        <v>0</v>
      </c>
      <c r="BI126" s="275">
        <v>0</v>
      </c>
      <c r="BJ126" s="275">
        <v>0</v>
      </c>
      <c r="BK126" s="275">
        <v>0</v>
      </c>
      <c r="BL126" s="275">
        <v>0</v>
      </c>
      <c r="BM126" s="275">
        <v>0</v>
      </c>
      <c r="BN126" s="275">
        <v>0</v>
      </c>
      <c r="BO126" s="275">
        <v>0</v>
      </c>
      <c r="BP126" s="275">
        <v>0</v>
      </c>
      <c r="BQ126" s="275">
        <v>0</v>
      </c>
      <c r="BR126" s="275">
        <v>0</v>
      </c>
      <c r="BS126" s="275">
        <v>0</v>
      </c>
    </row>
    <row r="127" spans="1:71" x14ac:dyDescent="0.3">
      <c r="A127" s="275">
        <v>366</v>
      </c>
      <c r="B127" s="275">
        <v>366</v>
      </c>
      <c r="C127" s="275" t="s">
        <v>536</v>
      </c>
      <c r="D127" s="275" t="s">
        <v>444</v>
      </c>
      <c r="E127" s="275">
        <v>0</v>
      </c>
      <c r="F127" s="275">
        <v>0</v>
      </c>
      <c r="G127" s="275">
        <v>0</v>
      </c>
      <c r="H127" s="1112">
        <v>862000</v>
      </c>
      <c r="I127" s="275">
        <v>0</v>
      </c>
      <c r="J127" s="275">
        <v>0</v>
      </c>
      <c r="K127" s="275">
        <v>0</v>
      </c>
      <c r="L127" s="275">
        <v>0</v>
      </c>
      <c r="M127" s="275">
        <v>0</v>
      </c>
      <c r="N127" s="275">
        <v>0</v>
      </c>
      <c r="O127" s="275">
        <v>0</v>
      </c>
      <c r="P127" s="275">
        <v>0</v>
      </c>
      <c r="Q127" s="275">
        <v>0</v>
      </c>
      <c r="R127" s="275">
        <v>0</v>
      </c>
      <c r="S127" s="275">
        <v>0</v>
      </c>
      <c r="T127" s="275">
        <v>0</v>
      </c>
      <c r="U127" s="275">
        <v>0</v>
      </c>
      <c r="V127" s="275">
        <v>0</v>
      </c>
      <c r="W127" s="275">
        <v>0</v>
      </c>
      <c r="X127" s="275">
        <v>0</v>
      </c>
      <c r="Y127" s="1112">
        <v>631154</v>
      </c>
      <c r="Z127" s="275">
        <v>0</v>
      </c>
      <c r="AA127" s="275">
        <v>0</v>
      </c>
      <c r="AB127" s="275">
        <v>0</v>
      </c>
      <c r="AC127" s="275">
        <v>0</v>
      </c>
      <c r="AD127" s="275">
        <v>0</v>
      </c>
      <c r="AE127" s="275">
        <v>0</v>
      </c>
      <c r="AF127" s="275">
        <v>0</v>
      </c>
      <c r="AG127" s="275">
        <v>0</v>
      </c>
      <c r="AH127" s="275">
        <v>0</v>
      </c>
      <c r="AI127" s="275">
        <v>0</v>
      </c>
      <c r="AJ127" s="275">
        <v>0</v>
      </c>
      <c r="AK127" s="275">
        <v>0</v>
      </c>
      <c r="AL127" s="275">
        <v>0</v>
      </c>
      <c r="AM127" s="275">
        <v>0</v>
      </c>
      <c r="AN127" s="275">
        <v>0</v>
      </c>
      <c r="AO127" s="275">
        <v>0</v>
      </c>
      <c r="AP127" s="275">
        <v>0</v>
      </c>
      <c r="AQ127" s="275">
        <v>0</v>
      </c>
      <c r="AR127" s="275">
        <v>0</v>
      </c>
      <c r="AS127" s="275">
        <v>0</v>
      </c>
      <c r="AT127" s="275">
        <v>0</v>
      </c>
      <c r="AU127" s="275">
        <v>0</v>
      </c>
      <c r="AV127" s="275">
        <v>0</v>
      </c>
      <c r="AW127" s="275">
        <v>0</v>
      </c>
      <c r="AX127" s="275">
        <v>0</v>
      </c>
      <c r="AY127" s="275">
        <v>0</v>
      </c>
      <c r="AZ127" s="275">
        <v>0</v>
      </c>
      <c r="BA127" s="275">
        <v>0</v>
      </c>
      <c r="BB127" s="275">
        <v>0</v>
      </c>
      <c r="BC127" s="275">
        <v>0</v>
      </c>
      <c r="BD127" s="275">
        <v>0</v>
      </c>
      <c r="BE127" s="275">
        <v>0</v>
      </c>
      <c r="BF127" s="275">
        <v>0</v>
      </c>
      <c r="BG127" s="275">
        <v>0</v>
      </c>
      <c r="BH127" s="1112">
        <v>8000</v>
      </c>
      <c r="BI127" s="275">
        <v>0</v>
      </c>
      <c r="BJ127" s="275">
        <v>0</v>
      </c>
      <c r="BK127" s="275">
        <v>0</v>
      </c>
      <c r="BL127" s="275">
        <v>0</v>
      </c>
      <c r="BM127" s="275">
        <v>0</v>
      </c>
      <c r="BN127" s="275">
        <v>0</v>
      </c>
      <c r="BO127" s="275">
        <v>0</v>
      </c>
      <c r="BP127" s="275">
        <v>0</v>
      </c>
      <c r="BQ127" s="275">
        <v>0</v>
      </c>
      <c r="BR127" s="275">
        <v>0</v>
      </c>
      <c r="BS127" s="275">
        <v>0</v>
      </c>
    </row>
    <row r="128" spans="1:71" x14ac:dyDescent="0.3">
      <c r="A128" s="275"/>
      <c r="B128" s="275">
        <v>367</v>
      </c>
      <c r="C128" s="275" t="s">
        <v>642</v>
      </c>
      <c r="D128" s="275" t="s">
        <v>445</v>
      </c>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s="275"/>
      <c r="AG128" s="275"/>
      <c r="AH128" s="275"/>
      <c r="AI128" s="275"/>
      <c r="AJ128" s="275"/>
      <c r="AK128" s="275"/>
      <c r="AL128" s="275"/>
      <c r="AM128" s="275"/>
      <c r="AN128" s="275"/>
      <c r="AO128" s="275"/>
      <c r="AP128" s="275"/>
      <c r="AQ128" s="275"/>
      <c r="AR128" s="275"/>
      <c r="AS128" s="275"/>
      <c r="AT128" s="275"/>
      <c r="AU128" s="275"/>
      <c r="AV128" s="275"/>
      <c r="AW128" s="275"/>
      <c r="AX128" s="275"/>
      <c r="AY128" s="275"/>
      <c r="AZ128" s="275"/>
      <c r="BA128" s="275"/>
      <c r="BB128" s="275"/>
      <c r="BC128" s="275"/>
      <c r="BD128" s="275"/>
      <c r="BE128" s="275"/>
      <c r="BF128" s="275"/>
      <c r="BG128" s="275"/>
      <c r="BH128" s="275"/>
      <c r="BI128" s="275"/>
      <c r="BJ128" s="275"/>
      <c r="BK128" s="275"/>
      <c r="BL128" s="275"/>
      <c r="BM128" s="275"/>
      <c r="BN128" s="275"/>
      <c r="BO128" s="275"/>
      <c r="BP128" s="275"/>
      <c r="BQ128" s="275"/>
      <c r="BR128" s="275"/>
      <c r="BS128" s="275"/>
    </row>
    <row r="129" spans="1:71" x14ac:dyDescent="0.3">
      <c r="A129" s="275">
        <v>368</v>
      </c>
      <c r="B129" s="275">
        <v>368</v>
      </c>
      <c r="C129" s="275" t="s">
        <v>200</v>
      </c>
      <c r="D129" s="275" t="s">
        <v>446</v>
      </c>
      <c r="E129" s="275">
        <v>0</v>
      </c>
      <c r="F129" s="275">
        <v>0</v>
      </c>
      <c r="G129" s="275">
        <v>0</v>
      </c>
      <c r="H129" s="1112">
        <v>12450</v>
      </c>
      <c r="I129" s="275">
        <v>0</v>
      </c>
      <c r="J129" s="275">
        <v>0</v>
      </c>
      <c r="K129" s="275">
        <v>0</v>
      </c>
      <c r="L129" s="275">
        <v>0</v>
      </c>
      <c r="M129" s="275">
        <v>0</v>
      </c>
      <c r="N129" s="275">
        <v>0</v>
      </c>
      <c r="O129" s="1112">
        <v>117107</v>
      </c>
      <c r="P129" s="275">
        <v>0</v>
      </c>
      <c r="Q129" s="275">
        <v>0</v>
      </c>
      <c r="R129" s="275">
        <v>0</v>
      </c>
      <c r="S129" s="275">
        <v>0</v>
      </c>
      <c r="T129" s="275">
        <v>0</v>
      </c>
      <c r="U129" s="275">
        <v>0</v>
      </c>
      <c r="V129" s="275">
        <v>0</v>
      </c>
      <c r="W129" s="275">
        <v>0</v>
      </c>
      <c r="X129" s="275">
        <v>0</v>
      </c>
      <c r="Y129" s="275">
        <v>0</v>
      </c>
      <c r="Z129" s="1112">
        <v>80762</v>
      </c>
      <c r="AA129" s="275">
        <v>933</v>
      </c>
      <c r="AB129" s="275">
        <v>0</v>
      </c>
      <c r="AC129" s="1112">
        <v>34470</v>
      </c>
      <c r="AD129" s="275">
        <v>0</v>
      </c>
      <c r="AE129" s="275">
        <v>0</v>
      </c>
      <c r="AF129" s="1112">
        <v>16523</v>
      </c>
      <c r="AG129" s="275">
        <v>0</v>
      </c>
      <c r="AH129" s="275">
        <v>0</v>
      </c>
      <c r="AI129" s="275">
        <v>0</v>
      </c>
      <c r="AJ129" s="275">
        <v>0</v>
      </c>
      <c r="AK129" s="1112">
        <v>1359162</v>
      </c>
      <c r="AL129" s="275">
        <v>0</v>
      </c>
      <c r="AM129" s="275">
        <v>0</v>
      </c>
      <c r="AN129" s="275">
        <v>0</v>
      </c>
      <c r="AO129" s="275">
        <v>0</v>
      </c>
      <c r="AP129" s="275">
        <v>0</v>
      </c>
      <c r="AQ129" s="275">
        <v>0</v>
      </c>
      <c r="AR129" s="275">
        <v>0</v>
      </c>
      <c r="AS129" s="275">
        <v>0</v>
      </c>
      <c r="AT129" s="275">
        <v>0</v>
      </c>
      <c r="AU129" s="275">
        <v>0</v>
      </c>
      <c r="AV129" s="275">
        <v>0</v>
      </c>
      <c r="AW129" s="1112">
        <v>158220</v>
      </c>
      <c r="AX129" s="275">
        <v>0</v>
      </c>
      <c r="AY129" s="1112">
        <v>11595</v>
      </c>
      <c r="AZ129" s="275">
        <v>0</v>
      </c>
      <c r="BA129" s="275">
        <v>0</v>
      </c>
      <c r="BB129" s="275">
        <v>0</v>
      </c>
      <c r="BC129" s="275">
        <v>0</v>
      </c>
      <c r="BD129" s="275">
        <v>0</v>
      </c>
      <c r="BE129" s="275">
        <v>0</v>
      </c>
      <c r="BF129" s="275">
        <v>0</v>
      </c>
      <c r="BG129" s="275">
        <v>0</v>
      </c>
      <c r="BH129" s="275">
        <v>0</v>
      </c>
      <c r="BI129" s="1112">
        <v>35119</v>
      </c>
      <c r="BJ129" s="275">
        <v>0</v>
      </c>
      <c r="BK129" s="275">
        <v>0</v>
      </c>
      <c r="BL129" s="275">
        <v>0</v>
      </c>
      <c r="BM129" s="275">
        <v>0</v>
      </c>
      <c r="BN129" s="275">
        <v>0</v>
      </c>
      <c r="BO129" s="275">
        <v>0</v>
      </c>
      <c r="BP129" s="275">
        <v>0</v>
      </c>
      <c r="BQ129" s="275">
        <v>0</v>
      </c>
      <c r="BR129" s="275">
        <v>0</v>
      </c>
      <c r="BS129" s="1112">
        <v>1425</v>
      </c>
    </row>
    <row r="130" spans="1:71" x14ac:dyDescent="0.3">
      <c r="A130" s="275">
        <v>369</v>
      </c>
      <c r="B130" s="275">
        <v>369</v>
      </c>
      <c r="C130" s="275" t="s">
        <v>205</v>
      </c>
      <c r="D130" s="275" t="s">
        <v>447</v>
      </c>
      <c r="E130" s="1112">
        <v>3656242</v>
      </c>
      <c r="F130" s="1112">
        <v>580863</v>
      </c>
      <c r="G130" s="1112">
        <v>74940</v>
      </c>
      <c r="H130" s="1112">
        <v>6433970</v>
      </c>
      <c r="I130" s="1112">
        <v>65283</v>
      </c>
      <c r="J130" s="1112">
        <v>774619</v>
      </c>
      <c r="K130" s="1112">
        <v>1474397</v>
      </c>
      <c r="L130" s="1112">
        <v>189271</v>
      </c>
      <c r="M130" s="1112">
        <v>6126105</v>
      </c>
      <c r="N130" s="1112">
        <v>20478</v>
      </c>
      <c r="O130" s="1112">
        <v>4100791</v>
      </c>
      <c r="P130" s="1112">
        <v>565959</v>
      </c>
      <c r="Q130" s="1112">
        <v>10866929</v>
      </c>
      <c r="R130" s="1112">
        <v>11554577</v>
      </c>
      <c r="S130" s="275">
        <v>0</v>
      </c>
      <c r="T130" s="1112">
        <v>393465</v>
      </c>
      <c r="U130" s="1112">
        <v>2952239</v>
      </c>
      <c r="V130" s="1112">
        <v>327367</v>
      </c>
      <c r="W130" s="1112">
        <v>288332</v>
      </c>
      <c r="X130" s="1112">
        <v>81123</v>
      </c>
      <c r="Y130" s="1112">
        <v>840935</v>
      </c>
      <c r="Z130" s="1112">
        <v>607324</v>
      </c>
      <c r="AA130" s="1112">
        <v>315531</v>
      </c>
      <c r="AB130" s="1112">
        <v>543893</v>
      </c>
      <c r="AC130" s="1112">
        <v>2518685</v>
      </c>
      <c r="AD130" s="1112">
        <v>779046</v>
      </c>
      <c r="AE130" s="1112">
        <v>7791</v>
      </c>
      <c r="AF130" s="1112">
        <v>134884</v>
      </c>
      <c r="AG130" s="1112">
        <v>14424</v>
      </c>
      <c r="AH130" s="1112">
        <v>1268633</v>
      </c>
      <c r="AI130" s="1112">
        <v>2143624</v>
      </c>
      <c r="AJ130" s="1112">
        <v>218880</v>
      </c>
      <c r="AK130" s="1112">
        <v>3884771</v>
      </c>
      <c r="AL130" s="275">
        <v>0</v>
      </c>
      <c r="AM130" s="1112">
        <v>66347</v>
      </c>
      <c r="AN130" s="1112">
        <v>487369</v>
      </c>
      <c r="AO130" s="1112">
        <v>431916</v>
      </c>
      <c r="AP130" s="1112">
        <v>1549738</v>
      </c>
      <c r="AQ130" s="1112">
        <v>110194</v>
      </c>
      <c r="AR130" s="1112">
        <v>514655</v>
      </c>
      <c r="AS130" s="1112">
        <v>508718</v>
      </c>
      <c r="AT130" s="1112">
        <v>1353746</v>
      </c>
      <c r="AU130" s="1112">
        <v>809240</v>
      </c>
      <c r="AV130" s="275">
        <v>0</v>
      </c>
      <c r="AW130" s="1112">
        <v>1180508</v>
      </c>
      <c r="AX130" s="1112">
        <v>465706</v>
      </c>
      <c r="AY130" s="1112">
        <v>2434146</v>
      </c>
      <c r="AZ130" s="1112">
        <v>49109</v>
      </c>
      <c r="BA130" s="1112">
        <v>199906</v>
      </c>
      <c r="BB130" s="1112">
        <v>4638975</v>
      </c>
      <c r="BC130" s="1112">
        <v>460197</v>
      </c>
      <c r="BD130" s="1112">
        <v>67830</v>
      </c>
      <c r="BE130" s="1112">
        <v>252519</v>
      </c>
      <c r="BF130" s="1112">
        <v>2584198</v>
      </c>
      <c r="BG130" s="1112">
        <v>362162</v>
      </c>
      <c r="BH130" s="1112">
        <v>57674</v>
      </c>
      <c r="BI130" s="1112">
        <v>1098998</v>
      </c>
      <c r="BJ130" s="1112">
        <v>398027</v>
      </c>
      <c r="BK130" s="1112">
        <v>206768</v>
      </c>
      <c r="BL130" s="1112">
        <v>134147</v>
      </c>
      <c r="BM130" s="1112">
        <v>342237</v>
      </c>
      <c r="BN130" s="1112">
        <v>513212</v>
      </c>
      <c r="BO130" s="1112">
        <v>214829</v>
      </c>
      <c r="BP130" s="1112">
        <v>1672399</v>
      </c>
      <c r="BQ130" s="1112">
        <v>8265782</v>
      </c>
      <c r="BR130" s="1112">
        <v>1015965</v>
      </c>
      <c r="BS130" s="1112">
        <v>4091444</v>
      </c>
    </row>
    <row r="131" spans="1:71" x14ac:dyDescent="0.3">
      <c r="A131" s="275">
        <v>370</v>
      </c>
      <c r="B131" s="275">
        <v>370</v>
      </c>
      <c r="C131" s="275" t="s">
        <v>207</v>
      </c>
      <c r="D131" s="275" t="s">
        <v>448</v>
      </c>
      <c r="E131" s="1112">
        <v>514475</v>
      </c>
      <c r="F131" s="1112">
        <v>912489</v>
      </c>
      <c r="G131" s="275">
        <v>0</v>
      </c>
      <c r="H131" s="1112">
        <v>715835</v>
      </c>
      <c r="I131" s="275">
        <v>0</v>
      </c>
      <c r="J131" s="1112">
        <v>36273</v>
      </c>
      <c r="K131" s="1112">
        <v>140761</v>
      </c>
      <c r="L131" s="275">
        <v>0</v>
      </c>
      <c r="M131" s="1112">
        <v>4569865</v>
      </c>
      <c r="N131" s="275">
        <v>0</v>
      </c>
      <c r="O131" s="1112">
        <v>1436923</v>
      </c>
      <c r="P131" s="1112">
        <v>43563</v>
      </c>
      <c r="Q131" s="1112">
        <v>699041</v>
      </c>
      <c r="R131" s="1112">
        <v>8664296</v>
      </c>
      <c r="S131" s="275">
        <v>0</v>
      </c>
      <c r="T131" s="1112">
        <v>55737</v>
      </c>
      <c r="U131" s="1112">
        <v>338017</v>
      </c>
      <c r="V131" s="1112">
        <v>23568</v>
      </c>
      <c r="W131" s="275">
        <v>0</v>
      </c>
      <c r="X131" s="275">
        <v>0</v>
      </c>
      <c r="Y131" s="1112">
        <v>220740</v>
      </c>
      <c r="Z131" s="275">
        <v>0</v>
      </c>
      <c r="AA131" s="1112">
        <v>20576</v>
      </c>
      <c r="AB131" s="1112">
        <v>24956</v>
      </c>
      <c r="AC131" s="1112">
        <v>4015364</v>
      </c>
      <c r="AD131" s="1112">
        <v>67757</v>
      </c>
      <c r="AE131" s="275">
        <v>0</v>
      </c>
      <c r="AF131" s="1112">
        <v>20515</v>
      </c>
      <c r="AG131" s="275">
        <v>0</v>
      </c>
      <c r="AH131" s="1112">
        <v>536975</v>
      </c>
      <c r="AI131" s="1112">
        <v>227210</v>
      </c>
      <c r="AJ131" s="1112">
        <v>7632</v>
      </c>
      <c r="AK131" s="1112">
        <v>1388511</v>
      </c>
      <c r="AL131" s="275">
        <v>0</v>
      </c>
      <c r="AM131" s="275">
        <v>0</v>
      </c>
      <c r="AN131" s="1112">
        <v>113644</v>
      </c>
      <c r="AO131" s="275">
        <v>0</v>
      </c>
      <c r="AP131" s="1112">
        <v>391645</v>
      </c>
      <c r="AQ131" s="275">
        <v>0</v>
      </c>
      <c r="AR131" s="1112">
        <v>40905</v>
      </c>
      <c r="AS131" s="1112">
        <v>20244</v>
      </c>
      <c r="AT131" s="1112">
        <v>105020</v>
      </c>
      <c r="AU131" s="275">
        <v>0</v>
      </c>
      <c r="AV131" s="275">
        <v>0</v>
      </c>
      <c r="AW131" s="1112">
        <v>236989</v>
      </c>
      <c r="AX131" s="1112">
        <v>99470</v>
      </c>
      <c r="AY131" s="1112">
        <v>1249984</v>
      </c>
      <c r="AZ131" s="275">
        <v>0</v>
      </c>
      <c r="BA131" s="275">
        <v>0</v>
      </c>
      <c r="BB131" s="1112">
        <v>135474</v>
      </c>
      <c r="BC131" s="1112">
        <v>59538</v>
      </c>
      <c r="BD131" s="275">
        <v>0</v>
      </c>
      <c r="BE131" s="275">
        <v>0</v>
      </c>
      <c r="BF131" s="1112">
        <v>382300</v>
      </c>
      <c r="BG131" s="275">
        <v>0</v>
      </c>
      <c r="BH131" s="1112">
        <v>52818</v>
      </c>
      <c r="BI131" s="1112">
        <v>127453</v>
      </c>
      <c r="BJ131" s="275">
        <v>0</v>
      </c>
      <c r="BK131" s="1112">
        <v>28428</v>
      </c>
      <c r="BL131" s="275">
        <v>0</v>
      </c>
      <c r="BM131" s="275">
        <v>0</v>
      </c>
      <c r="BN131" s="275">
        <v>0</v>
      </c>
      <c r="BO131" s="275">
        <v>0</v>
      </c>
      <c r="BP131" s="1112">
        <v>86380</v>
      </c>
      <c r="BQ131" s="1112">
        <v>2675117</v>
      </c>
      <c r="BR131" s="1112">
        <v>197906</v>
      </c>
      <c r="BS131" s="1112">
        <v>434760</v>
      </c>
    </row>
    <row r="132" spans="1:71" x14ac:dyDescent="0.3">
      <c r="A132" s="275">
        <v>371</v>
      </c>
      <c r="B132" s="275">
        <v>371</v>
      </c>
      <c r="C132" s="275" t="s">
        <v>262</v>
      </c>
      <c r="D132" s="275" t="s">
        <v>449</v>
      </c>
      <c r="E132" s="275">
        <v>0</v>
      </c>
      <c r="F132" s="275">
        <v>0</v>
      </c>
      <c r="G132" s="275">
        <v>0</v>
      </c>
      <c r="H132" s="275">
        <v>0</v>
      </c>
      <c r="I132" s="275">
        <v>0</v>
      </c>
      <c r="J132" s="275">
        <v>0</v>
      </c>
      <c r="K132" s="275">
        <v>0</v>
      </c>
      <c r="L132" s="275">
        <v>0</v>
      </c>
      <c r="M132" s="275">
        <v>0</v>
      </c>
      <c r="N132" s="275">
        <v>0</v>
      </c>
      <c r="O132" s="275">
        <v>0</v>
      </c>
      <c r="P132" s="275">
        <v>0</v>
      </c>
      <c r="Q132" s="275">
        <v>0</v>
      </c>
      <c r="R132" s="275">
        <v>0</v>
      </c>
      <c r="S132" s="275">
        <v>0</v>
      </c>
      <c r="T132" s="275">
        <v>0</v>
      </c>
      <c r="U132" s="275">
        <v>0</v>
      </c>
      <c r="V132" s="275">
        <v>0</v>
      </c>
      <c r="W132" s="275">
        <v>0</v>
      </c>
      <c r="X132" s="275">
        <v>0</v>
      </c>
      <c r="Y132" s="275">
        <v>0</v>
      </c>
      <c r="Z132" s="275">
        <v>0</v>
      </c>
      <c r="AA132" s="275">
        <v>0</v>
      </c>
      <c r="AB132" s="275">
        <v>0</v>
      </c>
      <c r="AC132" s="275">
        <v>0</v>
      </c>
      <c r="AD132" s="275">
        <v>0</v>
      </c>
      <c r="AE132" s="275">
        <v>0</v>
      </c>
      <c r="AF132" s="275">
        <v>0</v>
      </c>
      <c r="AG132" s="275">
        <v>0</v>
      </c>
      <c r="AH132" s="275">
        <v>0</v>
      </c>
      <c r="AI132" s="275">
        <v>0</v>
      </c>
      <c r="AJ132" s="275">
        <v>0</v>
      </c>
      <c r="AK132" s="275">
        <v>0</v>
      </c>
      <c r="AL132" s="275">
        <v>0</v>
      </c>
      <c r="AM132" s="275">
        <v>0</v>
      </c>
      <c r="AN132" s="275">
        <v>0</v>
      </c>
      <c r="AO132" s="275">
        <v>0</v>
      </c>
      <c r="AP132" s="275">
        <v>0</v>
      </c>
      <c r="AQ132" s="275">
        <v>0</v>
      </c>
      <c r="AR132" s="275">
        <v>0</v>
      </c>
      <c r="AS132" s="275">
        <v>0</v>
      </c>
      <c r="AT132" s="275">
        <v>0</v>
      </c>
      <c r="AU132" s="275">
        <v>0</v>
      </c>
      <c r="AV132" s="275">
        <v>0</v>
      </c>
      <c r="AW132" s="275">
        <v>0</v>
      </c>
      <c r="AX132" s="275">
        <v>0</v>
      </c>
      <c r="AY132" s="275">
        <v>0</v>
      </c>
      <c r="AZ132" s="275">
        <v>0</v>
      </c>
      <c r="BA132" s="275">
        <v>0</v>
      </c>
      <c r="BB132" s="275">
        <v>0</v>
      </c>
      <c r="BC132" s="275">
        <v>0</v>
      </c>
      <c r="BD132" s="275">
        <v>0</v>
      </c>
      <c r="BE132" s="275">
        <v>0</v>
      </c>
      <c r="BF132" s="275">
        <v>0</v>
      </c>
      <c r="BG132" s="275">
        <v>0</v>
      </c>
      <c r="BH132" s="275">
        <v>0</v>
      </c>
      <c r="BI132" s="275">
        <v>0</v>
      </c>
      <c r="BJ132" s="275">
        <v>0</v>
      </c>
      <c r="BK132" s="275">
        <v>0</v>
      </c>
      <c r="BL132" s="275">
        <v>0</v>
      </c>
      <c r="BM132" s="275">
        <v>0</v>
      </c>
      <c r="BN132" s="275">
        <v>0</v>
      </c>
      <c r="BO132" s="275">
        <v>0</v>
      </c>
      <c r="BP132" s="275">
        <v>0</v>
      </c>
      <c r="BQ132" s="275">
        <v>0</v>
      </c>
      <c r="BR132" s="275">
        <v>0</v>
      </c>
      <c r="BS132" s="275">
        <v>0</v>
      </c>
    </row>
    <row r="133" spans="1:71" x14ac:dyDescent="0.3">
      <c r="A133" s="275">
        <v>373</v>
      </c>
      <c r="B133" s="275">
        <v>373</v>
      </c>
      <c r="C133" s="275" t="s">
        <v>549</v>
      </c>
      <c r="D133" s="275" t="s">
        <v>450</v>
      </c>
      <c r="E133" s="1112">
        <v>10011136</v>
      </c>
      <c r="F133" s="1112">
        <v>11883938</v>
      </c>
      <c r="G133" s="1112">
        <v>246675</v>
      </c>
      <c r="H133" s="1112">
        <v>14526461</v>
      </c>
      <c r="I133" s="1112">
        <v>54486</v>
      </c>
      <c r="J133" s="1112">
        <v>2307347</v>
      </c>
      <c r="K133" s="1112">
        <v>3441471</v>
      </c>
      <c r="L133" s="1112">
        <v>265242</v>
      </c>
      <c r="M133" s="1112">
        <v>150179032</v>
      </c>
      <c r="N133" s="1112">
        <v>23969</v>
      </c>
      <c r="O133" s="1112">
        <v>6098501</v>
      </c>
      <c r="P133" s="1112">
        <v>183033</v>
      </c>
      <c r="Q133" s="1112">
        <v>43430229</v>
      </c>
      <c r="R133" s="1112">
        <v>292012078</v>
      </c>
      <c r="S133" s="275">
        <v>0</v>
      </c>
      <c r="T133" s="1112">
        <v>1170453</v>
      </c>
      <c r="U133" s="1112">
        <v>3875915</v>
      </c>
      <c r="V133" s="1112">
        <v>1818255</v>
      </c>
      <c r="W133" s="1112">
        <v>894125</v>
      </c>
      <c r="X133" s="1112">
        <v>441223</v>
      </c>
      <c r="Y133" s="1112">
        <v>5541271</v>
      </c>
      <c r="Z133" s="1112">
        <v>989646</v>
      </c>
      <c r="AA133" s="1112">
        <v>586295</v>
      </c>
      <c r="AB133" s="1112">
        <v>1984728</v>
      </c>
      <c r="AC133" s="1112">
        <v>4589569</v>
      </c>
      <c r="AD133" s="1112">
        <v>1589119</v>
      </c>
      <c r="AE133" s="1112">
        <v>248405</v>
      </c>
      <c r="AF133" s="1112">
        <v>316448</v>
      </c>
      <c r="AG133" s="1112">
        <v>38405</v>
      </c>
      <c r="AH133" s="1112">
        <v>4351116</v>
      </c>
      <c r="AI133" s="1112">
        <v>7500762</v>
      </c>
      <c r="AJ133" s="1112">
        <v>3440867</v>
      </c>
      <c r="AK133" s="1112">
        <v>10256614</v>
      </c>
      <c r="AL133" s="275">
        <v>0</v>
      </c>
      <c r="AM133" s="1112">
        <v>1237355</v>
      </c>
      <c r="AN133" s="1112">
        <v>4227579</v>
      </c>
      <c r="AO133" s="1112">
        <v>3256644</v>
      </c>
      <c r="AP133" s="1112">
        <v>6223289</v>
      </c>
      <c r="AQ133" s="1112">
        <v>684531</v>
      </c>
      <c r="AR133" s="1112">
        <v>1263823</v>
      </c>
      <c r="AS133" s="1112">
        <v>1449236</v>
      </c>
      <c r="AT133" s="1112">
        <v>2660862</v>
      </c>
      <c r="AU133" s="1112">
        <v>3751362</v>
      </c>
      <c r="AV133" s="275">
        <v>0</v>
      </c>
      <c r="AW133" s="1112">
        <v>7378778</v>
      </c>
      <c r="AX133" s="1112">
        <v>1788721</v>
      </c>
      <c r="AY133" s="1112">
        <v>8503693</v>
      </c>
      <c r="AZ133" s="1112">
        <v>5264</v>
      </c>
      <c r="BA133" s="1112">
        <v>87067</v>
      </c>
      <c r="BB133" s="1112">
        <v>3166398</v>
      </c>
      <c r="BC133" s="1112">
        <v>1472504</v>
      </c>
      <c r="BD133" s="275">
        <v>0</v>
      </c>
      <c r="BE133" s="1112">
        <v>400737</v>
      </c>
      <c r="BF133" s="1112">
        <v>15673548</v>
      </c>
      <c r="BG133" s="1112">
        <v>552116</v>
      </c>
      <c r="BH133" s="1112">
        <v>1034778</v>
      </c>
      <c r="BI133" s="1112">
        <v>9321041</v>
      </c>
      <c r="BJ133" s="1112">
        <v>508427</v>
      </c>
      <c r="BK133" s="1112">
        <v>672521</v>
      </c>
      <c r="BL133" s="1112">
        <v>406366</v>
      </c>
      <c r="BM133" s="1112">
        <v>195315</v>
      </c>
      <c r="BN133" s="1112">
        <v>3264973</v>
      </c>
      <c r="BO133" s="1112">
        <v>196310</v>
      </c>
      <c r="BP133" s="1112">
        <v>5352745</v>
      </c>
      <c r="BQ133" s="1112">
        <v>64288818</v>
      </c>
      <c r="BR133" s="1112">
        <v>3506219</v>
      </c>
      <c r="BS133" s="1112">
        <v>5711792</v>
      </c>
    </row>
    <row r="134" spans="1:71" x14ac:dyDescent="0.3">
      <c r="A134" s="275">
        <v>375</v>
      </c>
      <c r="B134" s="275">
        <v>375</v>
      </c>
      <c r="C134" s="275" t="s">
        <v>222</v>
      </c>
      <c r="D134" s="275" t="s">
        <v>451</v>
      </c>
      <c r="E134" s="1112">
        <v>1626930</v>
      </c>
      <c r="F134" s="1112">
        <v>-511031</v>
      </c>
      <c r="G134" s="1112">
        <v>332909</v>
      </c>
      <c r="H134" s="1112">
        <v>2330142</v>
      </c>
      <c r="I134" s="275" t="s">
        <v>1750</v>
      </c>
      <c r="J134" s="1112">
        <v>93546</v>
      </c>
      <c r="K134" s="1112">
        <v>4238897</v>
      </c>
      <c r="L134" s="1112">
        <v>1150914</v>
      </c>
      <c r="M134" s="1112">
        <v>49871504</v>
      </c>
      <c r="N134" s="275" t="s">
        <v>1750</v>
      </c>
      <c r="O134" s="1112">
        <v>7363125</v>
      </c>
      <c r="P134" s="275" t="s">
        <v>1750</v>
      </c>
      <c r="Q134" s="1112">
        <v>10352433</v>
      </c>
      <c r="R134" s="1112">
        <v>62984102</v>
      </c>
      <c r="S134" s="275" t="s">
        <v>1750</v>
      </c>
      <c r="T134" s="1112">
        <v>149600</v>
      </c>
      <c r="U134" s="1112">
        <v>1346283</v>
      </c>
      <c r="V134" s="1112">
        <v>397780</v>
      </c>
      <c r="W134" s="1112">
        <v>111127</v>
      </c>
      <c r="X134" s="1112">
        <v>32395</v>
      </c>
      <c r="Y134" s="1112">
        <v>1038053</v>
      </c>
      <c r="Z134" s="275" t="s">
        <v>1750</v>
      </c>
      <c r="AA134" s="1112">
        <v>376123</v>
      </c>
      <c r="AB134" s="1112">
        <v>90499</v>
      </c>
      <c r="AC134" s="1112">
        <v>2041356</v>
      </c>
      <c r="AD134" s="1112">
        <v>1359834</v>
      </c>
      <c r="AE134" s="1112">
        <v>-164746</v>
      </c>
      <c r="AF134" s="275" t="s">
        <v>1750</v>
      </c>
      <c r="AG134" s="275" t="s">
        <v>1750</v>
      </c>
      <c r="AH134" s="1112">
        <v>1796503</v>
      </c>
      <c r="AI134" s="1112">
        <v>1269487</v>
      </c>
      <c r="AJ134" s="1112">
        <v>-56862</v>
      </c>
      <c r="AK134" s="1112">
        <v>10661807</v>
      </c>
      <c r="AL134" s="275" t="s">
        <v>1750</v>
      </c>
      <c r="AM134" s="275" t="s">
        <v>1750</v>
      </c>
      <c r="AN134" s="1112">
        <v>677075</v>
      </c>
      <c r="AO134" s="1112">
        <v>1635532</v>
      </c>
      <c r="AP134" s="1112">
        <v>2297951</v>
      </c>
      <c r="AQ134" s="275" t="s">
        <v>1750</v>
      </c>
      <c r="AR134" s="1112">
        <v>-29135</v>
      </c>
      <c r="AS134" s="1112">
        <v>832472</v>
      </c>
      <c r="AT134" s="1112">
        <v>254064</v>
      </c>
      <c r="AU134" s="1112">
        <v>1575287</v>
      </c>
      <c r="AV134" s="275" t="s">
        <v>1750</v>
      </c>
      <c r="AW134" s="1112">
        <v>748964</v>
      </c>
      <c r="AX134" s="1112">
        <v>318458</v>
      </c>
      <c r="AY134" s="1112">
        <v>1733521</v>
      </c>
      <c r="AZ134" s="1112">
        <v>89681</v>
      </c>
      <c r="BA134" s="275" t="s">
        <v>1750</v>
      </c>
      <c r="BB134" s="275" t="s">
        <v>1750</v>
      </c>
      <c r="BC134" s="1112">
        <v>570887</v>
      </c>
      <c r="BD134" s="275" t="s">
        <v>1750</v>
      </c>
      <c r="BE134" s="1112">
        <v>4684</v>
      </c>
      <c r="BF134" s="1112">
        <v>18369827</v>
      </c>
      <c r="BG134" s="1112">
        <v>453021</v>
      </c>
      <c r="BH134" s="1112">
        <v>689637</v>
      </c>
      <c r="BI134" s="1112">
        <v>772042</v>
      </c>
      <c r="BJ134" s="1112">
        <v>124426</v>
      </c>
      <c r="BK134" s="1112">
        <v>572480</v>
      </c>
      <c r="BL134" s="275" t="s">
        <v>1750</v>
      </c>
      <c r="BM134" s="1112">
        <v>170326</v>
      </c>
      <c r="BN134" s="1112">
        <v>917538</v>
      </c>
      <c r="BO134" s="1112">
        <v>998305</v>
      </c>
      <c r="BP134" s="1112">
        <v>2432097</v>
      </c>
      <c r="BQ134" s="1112">
        <v>42808351</v>
      </c>
      <c r="BR134" s="1112">
        <v>-1254247</v>
      </c>
      <c r="BS134" s="275" t="s">
        <v>1750</v>
      </c>
    </row>
    <row r="135" spans="1:71" x14ac:dyDescent="0.3">
      <c r="A135" s="275">
        <v>376</v>
      </c>
      <c r="B135" s="275">
        <v>376</v>
      </c>
      <c r="C135" s="275" t="s">
        <v>108</v>
      </c>
      <c r="D135" s="275" t="s">
        <v>452</v>
      </c>
      <c r="E135" s="275">
        <v>0</v>
      </c>
      <c r="F135" s="275">
        <v>0</v>
      </c>
      <c r="G135" s="275">
        <v>0</v>
      </c>
      <c r="H135" s="1112">
        <v>223574</v>
      </c>
      <c r="I135" s="1112">
        <v>50100</v>
      </c>
      <c r="J135" s="275">
        <v>0</v>
      </c>
      <c r="K135" s="275">
        <v>0</v>
      </c>
      <c r="L135" s="275">
        <v>0</v>
      </c>
      <c r="M135" s="1112">
        <v>-624411</v>
      </c>
      <c r="N135" s="275">
        <v>0</v>
      </c>
      <c r="O135" s="275">
        <v>0</v>
      </c>
      <c r="P135" s="275">
        <v>0</v>
      </c>
      <c r="Q135" s="275">
        <v>0</v>
      </c>
      <c r="R135" s="275">
        <v>0</v>
      </c>
      <c r="S135" s="275">
        <v>0</v>
      </c>
      <c r="T135" s="275">
        <v>0</v>
      </c>
      <c r="U135" s="275">
        <v>0</v>
      </c>
      <c r="V135" s="275">
        <v>0</v>
      </c>
      <c r="W135" s="275">
        <v>0</v>
      </c>
      <c r="X135" s="275">
        <v>0</v>
      </c>
      <c r="Y135" s="275" t="s">
        <v>1751</v>
      </c>
      <c r="Z135" s="275">
        <v>0</v>
      </c>
      <c r="AA135" s="275">
        <v>0</v>
      </c>
      <c r="AB135" s="275">
        <v>20</v>
      </c>
      <c r="AC135" s="275">
        <v>0</v>
      </c>
      <c r="AD135" s="275">
        <v>0</v>
      </c>
      <c r="AE135" s="1112">
        <v>4751</v>
      </c>
      <c r="AF135" s="275">
        <v>0</v>
      </c>
      <c r="AG135" s="275">
        <v>0</v>
      </c>
      <c r="AH135" s="275">
        <v>0</v>
      </c>
      <c r="AI135" s="275">
        <v>0</v>
      </c>
      <c r="AJ135" s="1112">
        <v>-200921</v>
      </c>
      <c r="AK135" s="275" t="s">
        <v>1750</v>
      </c>
      <c r="AL135" s="275">
        <v>0</v>
      </c>
      <c r="AM135" s="275">
        <v>0</v>
      </c>
      <c r="AN135" s="275">
        <v>0</v>
      </c>
      <c r="AO135" s="275">
        <v>-1</v>
      </c>
      <c r="AP135" s="275">
        <v>0</v>
      </c>
      <c r="AQ135" s="275">
        <v>0</v>
      </c>
      <c r="AR135" s="275">
        <v>0</v>
      </c>
      <c r="AS135" s="275">
        <v>0</v>
      </c>
      <c r="AT135" s="275">
        <v>0</v>
      </c>
      <c r="AU135" s="275">
        <v>0</v>
      </c>
      <c r="AV135" s="275">
        <v>0</v>
      </c>
      <c r="AW135" s="1112">
        <v>84763</v>
      </c>
      <c r="AX135" s="275" t="s">
        <v>1750</v>
      </c>
      <c r="AY135" s="1112">
        <v>-4986837</v>
      </c>
      <c r="AZ135" s="275">
        <v>0</v>
      </c>
      <c r="BA135" s="275">
        <v>0</v>
      </c>
      <c r="BB135" s="275">
        <v>0</v>
      </c>
      <c r="BC135" s="275">
        <v>0</v>
      </c>
      <c r="BD135" s="275">
        <v>0</v>
      </c>
      <c r="BE135" s="275">
        <v>0</v>
      </c>
      <c r="BF135" s="275">
        <v>0</v>
      </c>
      <c r="BG135" s="275">
        <v>0</v>
      </c>
      <c r="BH135" s="275">
        <v>0</v>
      </c>
      <c r="BI135" s="275">
        <v>0</v>
      </c>
      <c r="BJ135" s="275">
        <v>0</v>
      </c>
      <c r="BK135" s="275">
        <v>0</v>
      </c>
      <c r="BL135" s="275">
        <v>0</v>
      </c>
      <c r="BM135" s="275">
        <v>0</v>
      </c>
      <c r="BN135" s="275">
        <v>0</v>
      </c>
      <c r="BO135" s="275">
        <v>0</v>
      </c>
      <c r="BP135" s="275" t="s">
        <v>1751</v>
      </c>
      <c r="BQ135" s="1112">
        <v>-4514677</v>
      </c>
      <c r="BR135" s="1112">
        <v>12083</v>
      </c>
      <c r="BS135" s="1112">
        <v>-1345127</v>
      </c>
    </row>
    <row r="136" spans="1:71" x14ac:dyDescent="0.3">
      <c r="A136" s="275">
        <v>377</v>
      </c>
      <c r="B136" s="275">
        <v>377</v>
      </c>
      <c r="C136" s="275" t="s">
        <v>109</v>
      </c>
      <c r="D136" s="275" t="s">
        <v>453</v>
      </c>
      <c r="E136" s="275" t="s">
        <v>1750</v>
      </c>
      <c r="F136" s="275" t="s">
        <v>1750</v>
      </c>
      <c r="G136" s="275" t="s">
        <v>1750</v>
      </c>
      <c r="H136" s="275" t="s">
        <v>1750</v>
      </c>
      <c r="I136" s="275" t="s">
        <v>1750</v>
      </c>
      <c r="J136" s="275" t="s">
        <v>1750</v>
      </c>
      <c r="K136" s="275" t="s">
        <v>1750</v>
      </c>
      <c r="L136" s="275" t="s">
        <v>1750</v>
      </c>
      <c r="M136" s="1112">
        <v>-63881</v>
      </c>
      <c r="N136" s="275" t="s">
        <v>1750</v>
      </c>
      <c r="O136" s="275" t="s">
        <v>1750</v>
      </c>
      <c r="P136" s="275" t="s">
        <v>1750</v>
      </c>
      <c r="Q136" s="275" t="s">
        <v>1750</v>
      </c>
      <c r="R136" s="275" t="s">
        <v>1750</v>
      </c>
      <c r="S136" s="275" t="s">
        <v>1750</v>
      </c>
      <c r="T136" s="275" t="s">
        <v>1750</v>
      </c>
      <c r="U136" s="275" t="s">
        <v>1750</v>
      </c>
      <c r="V136" s="275" t="s">
        <v>1750</v>
      </c>
      <c r="W136" s="275" t="s">
        <v>1750</v>
      </c>
      <c r="X136" s="275" t="s">
        <v>1750</v>
      </c>
      <c r="Y136" s="1112">
        <v>89509</v>
      </c>
      <c r="Z136" s="275" t="s">
        <v>1750</v>
      </c>
      <c r="AA136" s="275" t="s">
        <v>1750</v>
      </c>
      <c r="AB136" s="275" t="s">
        <v>1750</v>
      </c>
      <c r="AC136" s="275" t="s">
        <v>1750</v>
      </c>
      <c r="AD136" s="275" t="s">
        <v>1750</v>
      </c>
      <c r="AE136" s="1112">
        <v>40112</v>
      </c>
      <c r="AF136" s="275" t="s">
        <v>1750</v>
      </c>
      <c r="AG136" s="275" t="s">
        <v>1750</v>
      </c>
      <c r="AH136" s="275" t="s">
        <v>1750</v>
      </c>
      <c r="AI136" s="275" t="s">
        <v>1750</v>
      </c>
      <c r="AJ136" s="1112">
        <v>-35388</v>
      </c>
      <c r="AK136" s="1112">
        <v>4885232</v>
      </c>
      <c r="AL136" s="275" t="s">
        <v>1750</v>
      </c>
      <c r="AM136" s="275" t="s">
        <v>1750</v>
      </c>
      <c r="AN136" s="275" t="s">
        <v>1750</v>
      </c>
      <c r="AO136" s="275" t="s">
        <v>1750</v>
      </c>
      <c r="AP136" s="275" t="s">
        <v>1750</v>
      </c>
      <c r="AQ136" s="275" t="s">
        <v>1750</v>
      </c>
      <c r="AR136" s="275" t="s">
        <v>1750</v>
      </c>
      <c r="AS136" s="275" t="s">
        <v>1750</v>
      </c>
      <c r="AT136" s="275" t="s">
        <v>1750</v>
      </c>
      <c r="AU136" s="275" t="s">
        <v>1750</v>
      </c>
      <c r="AV136" s="275" t="s">
        <v>1750</v>
      </c>
      <c r="AW136" s="275" t="s">
        <v>1750</v>
      </c>
      <c r="AX136" s="275" t="s">
        <v>1750</v>
      </c>
      <c r="AY136" s="1112">
        <v>-978738</v>
      </c>
      <c r="AZ136" s="275" t="s">
        <v>1750</v>
      </c>
      <c r="BA136" s="275" t="s">
        <v>1750</v>
      </c>
      <c r="BB136" s="275" t="s">
        <v>1750</v>
      </c>
      <c r="BC136" s="275" t="s">
        <v>1750</v>
      </c>
      <c r="BD136" s="275" t="s">
        <v>1750</v>
      </c>
      <c r="BE136" s="275" t="s">
        <v>1750</v>
      </c>
      <c r="BF136" s="275" t="s">
        <v>1750</v>
      </c>
      <c r="BG136" s="275" t="s">
        <v>1750</v>
      </c>
      <c r="BH136" s="275" t="s">
        <v>1750</v>
      </c>
      <c r="BI136" s="275" t="s">
        <v>1750</v>
      </c>
      <c r="BJ136" s="275" t="s">
        <v>1750</v>
      </c>
      <c r="BK136" s="275" t="s">
        <v>1750</v>
      </c>
      <c r="BL136" s="275" t="s">
        <v>1750</v>
      </c>
      <c r="BM136" s="275" t="s">
        <v>1750</v>
      </c>
      <c r="BN136" s="275" t="s">
        <v>1750</v>
      </c>
      <c r="BO136" s="275" t="s">
        <v>1750</v>
      </c>
      <c r="BP136" s="275" t="s">
        <v>1751</v>
      </c>
      <c r="BQ136" s="275" t="s">
        <v>1750</v>
      </c>
      <c r="BR136" s="1112">
        <v>34796</v>
      </c>
      <c r="BS136" s="275" t="s">
        <v>1750</v>
      </c>
    </row>
    <row r="137" spans="1:71" x14ac:dyDescent="0.3">
      <c r="A137" s="275">
        <v>378</v>
      </c>
      <c r="B137" s="275">
        <v>378</v>
      </c>
      <c r="C137" s="275" t="s">
        <v>110</v>
      </c>
      <c r="D137" s="275" t="s">
        <v>454</v>
      </c>
      <c r="E137" s="275" t="s">
        <v>1750</v>
      </c>
      <c r="F137" s="275" t="s">
        <v>1750</v>
      </c>
      <c r="G137" s="275" t="s">
        <v>1750</v>
      </c>
      <c r="H137" s="275" t="s">
        <v>1750</v>
      </c>
      <c r="I137" s="275" t="s">
        <v>1750</v>
      </c>
      <c r="J137" s="275" t="s">
        <v>1750</v>
      </c>
      <c r="K137" s="275" t="s">
        <v>1750</v>
      </c>
      <c r="L137" s="275" t="s">
        <v>1750</v>
      </c>
      <c r="M137" s="1112">
        <v>-58901</v>
      </c>
      <c r="N137" s="275" t="s">
        <v>1750</v>
      </c>
      <c r="O137" s="275" t="s">
        <v>1750</v>
      </c>
      <c r="P137" s="275" t="s">
        <v>1750</v>
      </c>
      <c r="Q137" s="275" t="s">
        <v>1750</v>
      </c>
      <c r="R137" s="275" t="s">
        <v>1750</v>
      </c>
      <c r="S137" s="275" t="s">
        <v>1750</v>
      </c>
      <c r="T137" s="275" t="s">
        <v>1750</v>
      </c>
      <c r="U137" s="275" t="s">
        <v>1750</v>
      </c>
      <c r="V137" s="275" t="s">
        <v>1750</v>
      </c>
      <c r="W137" s="275" t="s">
        <v>1750</v>
      </c>
      <c r="X137" s="275" t="s">
        <v>1750</v>
      </c>
      <c r="Y137" s="275" t="s">
        <v>1751</v>
      </c>
      <c r="Z137" s="275" t="s">
        <v>1750</v>
      </c>
      <c r="AA137" s="275" t="s">
        <v>1750</v>
      </c>
      <c r="AB137" s="275" t="s">
        <v>1750</v>
      </c>
      <c r="AC137" s="275" t="s">
        <v>1750</v>
      </c>
      <c r="AD137" s="275" t="s">
        <v>1750</v>
      </c>
      <c r="AE137" s="275" t="s">
        <v>1750</v>
      </c>
      <c r="AF137" s="275" t="s">
        <v>1750</v>
      </c>
      <c r="AG137" s="275" t="s">
        <v>1750</v>
      </c>
      <c r="AH137" s="275" t="s">
        <v>1750</v>
      </c>
      <c r="AI137" s="275" t="s">
        <v>1750</v>
      </c>
      <c r="AJ137" s="1112">
        <v>-32861</v>
      </c>
      <c r="AK137" s="275" t="s">
        <v>1750</v>
      </c>
      <c r="AL137" s="275" t="s">
        <v>1750</v>
      </c>
      <c r="AM137" s="275" t="s">
        <v>1750</v>
      </c>
      <c r="AN137" s="275" t="s">
        <v>1750</v>
      </c>
      <c r="AO137" s="275" t="s">
        <v>1750</v>
      </c>
      <c r="AP137" s="275" t="s">
        <v>1750</v>
      </c>
      <c r="AQ137" s="275" t="s">
        <v>1750</v>
      </c>
      <c r="AR137" s="275" t="s">
        <v>1750</v>
      </c>
      <c r="AS137" s="275" t="s">
        <v>1750</v>
      </c>
      <c r="AT137" s="275" t="s">
        <v>1750</v>
      </c>
      <c r="AU137" s="275" t="s">
        <v>1750</v>
      </c>
      <c r="AV137" s="275" t="s">
        <v>1750</v>
      </c>
      <c r="AW137" s="275" t="s">
        <v>1750</v>
      </c>
      <c r="AX137" s="275" t="s">
        <v>1750</v>
      </c>
      <c r="AY137" s="275" t="s">
        <v>1750</v>
      </c>
      <c r="AZ137" s="275" t="s">
        <v>1750</v>
      </c>
      <c r="BA137" s="275" t="s">
        <v>1750</v>
      </c>
      <c r="BB137" s="275" t="s">
        <v>1750</v>
      </c>
      <c r="BC137" s="275" t="s">
        <v>1750</v>
      </c>
      <c r="BD137" s="275" t="s">
        <v>1750</v>
      </c>
      <c r="BE137" s="275" t="s">
        <v>1750</v>
      </c>
      <c r="BF137" s="275" t="s">
        <v>1750</v>
      </c>
      <c r="BG137" s="275" t="s">
        <v>1750</v>
      </c>
      <c r="BH137" s="275" t="s">
        <v>1750</v>
      </c>
      <c r="BI137" s="275" t="s">
        <v>1750</v>
      </c>
      <c r="BJ137" s="275" t="s">
        <v>1750</v>
      </c>
      <c r="BK137" s="275" t="s">
        <v>1750</v>
      </c>
      <c r="BL137" s="275" t="s">
        <v>1750</v>
      </c>
      <c r="BM137" s="275" t="s">
        <v>1750</v>
      </c>
      <c r="BN137" s="275" t="s">
        <v>1750</v>
      </c>
      <c r="BO137" s="275" t="s">
        <v>1750</v>
      </c>
      <c r="BP137" s="275" t="s">
        <v>1751</v>
      </c>
      <c r="BQ137" s="275" t="s">
        <v>1750</v>
      </c>
      <c r="BR137" s="275" t="s">
        <v>1750</v>
      </c>
      <c r="BS137" s="275" t="s">
        <v>1750</v>
      </c>
    </row>
    <row r="138" spans="1:71" x14ac:dyDescent="0.3">
      <c r="A138" s="275">
        <v>379</v>
      </c>
      <c r="B138" s="275">
        <v>379</v>
      </c>
      <c r="C138" s="275" t="s">
        <v>118</v>
      </c>
      <c r="D138" s="275" t="s">
        <v>455</v>
      </c>
      <c r="E138" s="1112">
        <v>4669655</v>
      </c>
      <c r="F138" s="1112">
        <v>2019993</v>
      </c>
      <c r="G138" s="1112">
        <v>2418118</v>
      </c>
      <c r="H138" s="1112">
        <v>8698190</v>
      </c>
      <c r="I138" s="1112">
        <v>486559</v>
      </c>
      <c r="J138" s="1112">
        <v>1389422</v>
      </c>
      <c r="K138" s="1112">
        <v>4820607</v>
      </c>
      <c r="L138" s="1112">
        <v>440584</v>
      </c>
      <c r="M138" s="1112">
        <v>45521599</v>
      </c>
      <c r="N138" s="1112">
        <v>85027</v>
      </c>
      <c r="O138" s="1112">
        <v>10498906</v>
      </c>
      <c r="P138" s="1112">
        <v>1096794</v>
      </c>
      <c r="Q138" s="1112">
        <v>25820981</v>
      </c>
      <c r="R138" s="1112">
        <v>90981308</v>
      </c>
      <c r="S138" s="275">
        <v>0</v>
      </c>
      <c r="T138" s="1112">
        <v>719232</v>
      </c>
      <c r="U138" s="1112">
        <v>4676562</v>
      </c>
      <c r="V138" s="1112">
        <v>1240508</v>
      </c>
      <c r="W138" s="1112">
        <v>411688</v>
      </c>
      <c r="X138" s="1112">
        <v>327715</v>
      </c>
      <c r="Y138" s="1112">
        <v>2790145</v>
      </c>
      <c r="Z138" s="1112">
        <v>624916</v>
      </c>
      <c r="AA138" s="1112">
        <v>955393</v>
      </c>
      <c r="AB138" s="1112">
        <v>746565</v>
      </c>
      <c r="AC138" s="1112">
        <v>7494125</v>
      </c>
      <c r="AD138" s="1112">
        <v>2381095</v>
      </c>
      <c r="AE138" s="1112">
        <v>330876</v>
      </c>
      <c r="AF138" s="1112">
        <v>261046</v>
      </c>
      <c r="AG138" s="1112">
        <v>172411</v>
      </c>
      <c r="AH138" s="1112">
        <v>5484852</v>
      </c>
      <c r="AI138" s="1112">
        <v>8838804</v>
      </c>
      <c r="AJ138" s="1112">
        <v>1478860</v>
      </c>
      <c r="AK138" s="1112">
        <v>6740512</v>
      </c>
      <c r="AL138" s="275">
        <v>0</v>
      </c>
      <c r="AM138" s="1112">
        <v>86152</v>
      </c>
      <c r="AN138" s="1112">
        <v>2340999</v>
      </c>
      <c r="AO138" s="1112">
        <v>2777890</v>
      </c>
      <c r="AP138" s="1112">
        <v>2673062</v>
      </c>
      <c r="AQ138" s="1112">
        <v>428028</v>
      </c>
      <c r="AR138" s="1112">
        <v>1632560</v>
      </c>
      <c r="AS138" s="1112">
        <v>1179184</v>
      </c>
      <c r="AT138" s="1112">
        <v>3750625</v>
      </c>
      <c r="AU138" s="1112">
        <v>2556451</v>
      </c>
      <c r="AV138" s="275">
        <v>0</v>
      </c>
      <c r="AW138" s="1112">
        <v>4959377</v>
      </c>
      <c r="AX138" s="1112">
        <v>991174</v>
      </c>
      <c r="AY138" s="1112">
        <v>6712612</v>
      </c>
      <c r="AZ138" s="1112">
        <v>52153</v>
      </c>
      <c r="BA138" s="1112">
        <v>501678</v>
      </c>
      <c r="BB138" s="1112">
        <v>4446454</v>
      </c>
      <c r="BC138" s="1112">
        <v>1739600</v>
      </c>
      <c r="BD138" s="1112">
        <v>848266</v>
      </c>
      <c r="BE138" s="1112">
        <v>408591</v>
      </c>
      <c r="BF138" s="1112">
        <v>14038476</v>
      </c>
      <c r="BG138" s="1112">
        <v>750019</v>
      </c>
      <c r="BH138" s="1112">
        <v>314895</v>
      </c>
      <c r="BI138" s="1112">
        <v>5590910</v>
      </c>
      <c r="BJ138" s="1112">
        <v>636494</v>
      </c>
      <c r="BK138" s="1112">
        <v>1183553</v>
      </c>
      <c r="BL138" s="1112">
        <v>675451</v>
      </c>
      <c r="BM138" s="1112">
        <v>1167542</v>
      </c>
      <c r="BN138" s="1112">
        <v>2618707</v>
      </c>
      <c r="BO138" s="1112">
        <v>840130</v>
      </c>
      <c r="BP138" s="1112">
        <v>4039592</v>
      </c>
      <c r="BQ138" s="1112">
        <v>40983378</v>
      </c>
      <c r="BR138" s="1112">
        <v>1565334</v>
      </c>
      <c r="BS138" s="1112">
        <v>8185115</v>
      </c>
    </row>
    <row r="139" spans="1:71" x14ac:dyDescent="0.3">
      <c r="A139" s="275">
        <v>380</v>
      </c>
      <c r="B139" s="275">
        <v>380</v>
      </c>
      <c r="C139" s="275" t="s">
        <v>121</v>
      </c>
      <c r="D139" s="275" t="s">
        <v>456</v>
      </c>
      <c r="E139" s="1112">
        <v>125445</v>
      </c>
      <c r="F139" s="1112">
        <v>197109</v>
      </c>
      <c r="G139" s="1112">
        <v>4583</v>
      </c>
      <c r="H139" s="1112">
        <v>448494</v>
      </c>
      <c r="I139" s="1112">
        <v>3342</v>
      </c>
      <c r="J139" s="1112">
        <v>64811</v>
      </c>
      <c r="K139" s="1112">
        <v>13366</v>
      </c>
      <c r="L139" s="1112">
        <v>64023</v>
      </c>
      <c r="M139" s="1112">
        <v>64520</v>
      </c>
      <c r="N139" s="275">
        <v>0</v>
      </c>
      <c r="O139" s="1112">
        <v>34427</v>
      </c>
      <c r="P139" s="1112">
        <v>2993</v>
      </c>
      <c r="Q139" s="1112">
        <v>899161</v>
      </c>
      <c r="R139" s="1112">
        <v>49456</v>
      </c>
      <c r="S139" s="275">
        <v>0</v>
      </c>
      <c r="T139" s="1112">
        <v>3449</v>
      </c>
      <c r="U139" s="1112">
        <v>4159</v>
      </c>
      <c r="V139" s="1112">
        <v>18484</v>
      </c>
      <c r="W139" s="1112">
        <v>10520</v>
      </c>
      <c r="X139" s="1112">
        <v>1323</v>
      </c>
      <c r="Y139" s="1112">
        <v>54598</v>
      </c>
      <c r="Z139" s="1112">
        <v>42651</v>
      </c>
      <c r="AA139" s="1112">
        <v>16290</v>
      </c>
      <c r="AB139" s="1112">
        <v>14174</v>
      </c>
      <c r="AC139" s="1112">
        <v>44373</v>
      </c>
      <c r="AD139" s="1112">
        <v>16118</v>
      </c>
      <c r="AE139" s="1112">
        <v>3071</v>
      </c>
      <c r="AF139" s="1112">
        <v>25257</v>
      </c>
      <c r="AG139" s="275">
        <v>216</v>
      </c>
      <c r="AH139" s="1112">
        <v>372016</v>
      </c>
      <c r="AI139" s="1112">
        <v>238189</v>
      </c>
      <c r="AJ139" s="1112">
        <v>56545</v>
      </c>
      <c r="AK139" s="1112">
        <v>117016</v>
      </c>
      <c r="AL139" s="275">
        <v>0</v>
      </c>
      <c r="AM139" s="1112">
        <v>1102</v>
      </c>
      <c r="AN139" s="1112">
        <v>14953</v>
      </c>
      <c r="AO139" s="1112">
        <v>6932</v>
      </c>
      <c r="AP139" s="1112">
        <v>310528</v>
      </c>
      <c r="AQ139" s="275">
        <v>843</v>
      </c>
      <c r="AR139" s="1112">
        <v>17292</v>
      </c>
      <c r="AS139" s="1112">
        <v>63399</v>
      </c>
      <c r="AT139" s="1112">
        <v>1600</v>
      </c>
      <c r="AU139" s="1112">
        <v>17743</v>
      </c>
      <c r="AV139" s="275">
        <v>0</v>
      </c>
      <c r="AW139" s="1112">
        <v>6623</v>
      </c>
      <c r="AX139" s="1112">
        <v>87498</v>
      </c>
      <c r="AY139" s="1112">
        <v>102230</v>
      </c>
      <c r="AZ139" s="275">
        <v>429</v>
      </c>
      <c r="BA139" s="1112">
        <v>3919</v>
      </c>
      <c r="BB139" s="1112">
        <v>56417</v>
      </c>
      <c r="BC139" s="1112">
        <v>12583</v>
      </c>
      <c r="BD139" s="1112">
        <v>1554</v>
      </c>
      <c r="BE139" s="1112">
        <v>69366</v>
      </c>
      <c r="BF139" s="1112">
        <v>38247</v>
      </c>
      <c r="BG139" s="1112">
        <v>34941</v>
      </c>
      <c r="BH139" s="1112">
        <v>7551</v>
      </c>
      <c r="BI139" s="1112">
        <v>6112</v>
      </c>
      <c r="BJ139" s="1112">
        <v>11866</v>
      </c>
      <c r="BK139" s="1112">
        <v>15844</v>
      </c>
      <c r="BL139" s="1112">
        <v>23041</v>
      </c>
      <c r="BM139" s="1112">
        <v>3466</v>
      </c>
      <c r="BN139" s="1112">
        <v>9708</v>
      </c>
      <c r="BO139" s="1112">
        <v>9634</v>
      </c>
      <c r="BP139" s="1112">
        <v>34457</v>
      </c>
      <c r="BQ139" s="1112">
        <v>803641</v>
      </c>
      <c r="BR139" s="1112">
        <v>31985</v>
      </c>
      <c r="BS139" s="1112">
        <v>92312</v>
      </c>
    </row>
    <row r="140" spans="1:71" x14ac:dyDescent="0.3">
      <c r="A140" s="275">
        <v>381</v>
      </c>
      <c r="B140" s="275">
        <v>381</v>
      </c>
      <c r="C140" s="275" t="s">
        <v>113</v>
      </c>
      <c r="D140" s="275" t="s">
        <v>457</v>
      </c>
      <c r="E140" s="1112">
        <v>11451656</v>
      </c>
      <c r="F140" s="1112">
        <v>27401525</v>
      </c>
      <c r="G140" s="1112">
        <v>4605370</v>
      </c>
      <c r="H140" s="1112">
        <v>56996667</v>
      </c>
      <c r="I140" s="275">
        <v>0</v>
      </c>
      <c r="J140" s="1112">
        <v>9547171</v>
      </c>
      <c r="K140" s="1112">
        <v>15836850</v>
      </c>
      <c r="L140" s="1112">
        <v>1854583</v>
      </c>
      <c r="M140" s="1112">
        <v>310265076</v>
      </c>
      <c r="N140" s="275">
        <v>0</v>
      </c>
      <c r="O140" s="1112">
        <v>32600182</v>
      </c>
      <c r="P140" s="275">
        <v>0</v>
      </c>
      <c r="Q140" s="1112">
        <v>60741280</v>
      </c>
      <c r="R140" s="1112">
        <v>302285888</v>
      </c>
      <c r="S140" s="275">
        <v>0</v>
      </c>
      <c r="T140" s="1112">
        <v>2003106</v>
      </c>
      <c r="U140" s="1112">
        <v>4283142</v>
      </c>
      <c r="V140" s="1112">
        <v>5167124</v>
      </c>
      <c r="W140" s="1112">
        <v>569906</v>
      </c>
      <c r="X140" s="1112">
        <v>280539</v>
      </c>
      <c r="Y140" s="1112">
        <v>14237672</v>
      </c>
      <c r="Z140" s="275">
        <v>0</v>
      </c>
      <c r="AA140" s="1112">
        <v>2871014</v>
      </c>
      <c r="AB140" s="1112">
        <v>4267211</v>
      </c>
      <c r="AC140" s="1112">
        <v>13992550</v>
      </c>
      <c r="AD140" s="1112">
        <v>4280714</v>
      </c>
      <c r="AE140" s="1112">
        <v>4283656</v>
      </c>
      <c r="AF140" s="275">
        <v>0</v>
      </c>
      <c r="AG140" s="275">
        <v>0</v>
      </c>
      <c r="AH140" s="1112">
        <v>32385074</v>
      </c>
      <c r="AI140" s="1112">
        <v>15568942</v>
      </c>
      <c r="AJ140" s="1112">
        <v>7921634</v>
      </c>
      <c r="AK140" s="1112">
        <v>54126972</v>
      </c>
      <c r="AL140" s="275">
        <v>0</v>
      </c>
      <c r="AM140" s="275">
        <v>0</v>
      </c>
      <c r="AN140" s="1112">
        <v>15843579</v>
      </c>
      <c r="AO140" s="1112">
        <v>3672535</v>
      </c>
      <c r="AP140" s="1112">
        <v>20285719</v>
      </c>
      <c r="AQ140" s="275">
        <v>0</v>
      </c>
      <c r="AR140" s="1112">
        <v>16354519</v>
      </c>
      <c r="AS140" s="1112">
        <v>8278168</v>
      </c>
      <c r="AT140" s="1112">
        <v>2736822</v>
      </c>
      <c r="AU140" s="1112">
        <v>7372202</v>
      </c>
      <c r="AV140" s="275">
        <v>0</v>
      </c>
      <c r="AW140" s="1112">
        <v>8858128</v>
      </c>
      <c r="AX140" s="1112">
        <v>7492451</v>
      </c>
      <c r="AY140" s="1112">
        <v>17746929</v>
      </c>
      <c r="AZ140" s="1112">
        <v>1282784</v>
      </c>
      <c r="BA140" s="275">
        <v>0</v>
      </c>
      <c r="BB140" s="1112">
        <v>375000</v>
      </c>
      <c r="BC140" s="1112">
        <v>6071417</v>
      </c>
      <c r="BD140" s="275">
        <v>0</v>
      </c>
      <c r="BE140" s="1112">
        <v>5260668</v>
      </c>
      <c r="BF140" s="1112">
        <v>83803589</v>
      </c>
      <c r="BG140" s="1112">
        <v>4222901</v>
      </c>
      <c r="BH140" s="1112">
        <v>1618844</v>
      </c>
      <c r="BI140" s="1112">
        <v>38246918</v>
      </c>
      <c r="BJ140" s="1112">
        <v>985959</v>
      </c>
      <c r="BK140" s="1112">
        <v>2148838</v>
      </c>
      <c r="BL140" s="275">
        <v>0</v>
      </c>
      <c r="BM140" s="1112">
        <v>2361903</v>
      </c>
      <c r="BN140" s="1112">
        <v>9768258</v>
      </c>
      <c r="BO140" s="1112">
        <v>4045625</v>
      </c>
      <c r="BP140" s="1112">
        <v>22162663</v>
      </c>
      <c r="BQ140" s="1112">
        <v>226091253</v>
      </c>
      <c r="BR140" s="1112">
        <v>12204768</v>
      </c>
      <c r="BS140" s="275">
        <v>0</v>
      </c>
    </row>
    <row r="141" spans="1:71" x14ac:dyDescent="0.3">
      <c r="A141" s="275">
        <v>382</v>
      </c>
      <c r="B141" s="275">
        <v>382</v>
      </c>
      <c r="C141" s="275" t="s">
        <v>114</v>
      </c>
      <c r="D141" s="275" t="s">
        <v>458</v>
      </c>
      <c r="E141" s="275">
        <v>0</v>
      </c>
      <c r="F141" s="275">
        <v>0</v>
      </c>
      <c r="G141" s="275">
        <v>0</v>
      </c>
      <c r="H141" s="1112">
        <v>23739348</v>
      </c>
      <c r="I141" s="275">
        <v>0</v>
      </c>
      <c r="J141" s="275">
        <v>0</v>
      </c>
      <c r="K141" s="275">
        <v>0</v>
      </c>
      <c r="L141" s="275">
        <v>0</v>
      </c>
      <c r="M141" s="1112">
        <v>59532082</v>
      </c>
      <c r="N141" s="275">
        <v>0</v>
      </c>
      <c r="O141" s="275">
        <v>0</v>
      </c>
      <c r="P141" s="275">
        <v>0</v>
      </c>
      <c r="Q141" s="275">
        <v>0</v>
      </c>
      <c r="R141" s="275">
        <v>0</v>
      </c>
      <c r="S141" s="275">
        <v>0</v>
      </c>
      <c r="T141" s="275">
        <v>0</v>
      </c>
      <c r="U141" s="275">
        <v>0</v>
      </c>
      <c r="V141" s="275">
        <v>0</v>
      </c>
      <c r="W141" s="275">
        <v>0</v>
      </c>
      <c r="X141" s="275">
        <v>0</v>
      </c>
      <c r="Y141" s="1112">
        <v>13011725</v>
      </c>
      <c r="Z141" s="275">
        <v>0</v>
      </c>
      <c r="AA141" s="275">
        <v>0</v>
      </c>
      <c r="AB141" s="275">
        <v>0</v>
      </c>
      <c r="AC141" s="275">
        <v>0</v>
      </c>
      <c r="AD141" s="275">
        <v>0</v>
      </c>
      <c r="AE141" s="275">
        <v>0</v>
      </c>
      <c r="AF141" s="275">
        <v>0</v>
      </c>
      <c r="AG141" s="275">
        <v>0</v>
      </c>
      <c r="AH141" s="275">
        <v>0</v>
      </c>
      <c r="AI141" s="275">
        <v>0</v>
      </c>
      <c r="AJ141" s="1112">
        <v>1162805</v>
      </c>
      <c r="AK141" s="275">
        <v>0</v>
      </c>
      <c r="AL141" s="275">
        <v>0</v>
      </c>
      <c r="AM141" s="275">
        <v>0</v>
      </c>
      <c r="AN141" s="1112">
        <v>2156363</v>
      </c>
      <c r="AO141" s="275">
        <v>0</v>
      </c>
      <c r="AP141" s="275">
        <v>0</v>
      </c>
      <c r="AQ141" s="275">
        <v>0</v>
      </c>
      <c r="AR141" s="275">
        <v>0</v>
      </c>
      <c r="AS141" s="275">
        <v>0</v>
      </c>
      <c r="AT141" s="275">
        <v>0</v>
      </c>
      <c r="AU141" s="275">
        <v>0</v>
      </c>
      <c r="AV141" s="275">
        <v>0</v>
      </c>
      <c r="AW141" s="275">
        <v>0</v>
      </c>
      <c r="AX141" s="275">
        <v>0</v>
      </c>
      <c r="AY141" s="275">
        <v>0</v>
      </c>
      <c r="AZ141" s="275">
        <v>0</v>
      </c>
      <c r="BA141" s="275">
        <v>0</v>
      </c>
      <c r="BB141" s="275">
        <v>0</v>
      </c>
      <c r="BC141" s="275">
        <v>0</v>
      </c>
      <c r="BD141" s="275">
        <v>0</v>
      </c>
      <c r="BE141" s="275">
        <v>0</v>
      </c>
      <c r="BF141" s="275">
        <v>0</v>
      </c>
      <c r="BG141" s="275">
        <v>0</v>
      </c>
      <c r="BH141" s="1112">
        <v>1675633</v>
      </c>
      <c r="BI141" s="275">
        <v>0</v>
      </c>
      <c r="BJ141" s="275">
        <v>0</v>
      </c>
      <c r="BK141" s="275">
        <v>0</v>
      </c>
      <c r="BL141" s="275">
        <v>0</v>
      </c>
      <c r="BM141" s="275">
        <v>0</v>
      </c>
      <c r="BN141" s="275">
        <v>0</v>
      </c>
      <c r="BO141" s="275">
        <v>0</v>
      </c>
      <c r="BP141" s="275">
        <v>0</v>
      </c>
      <c r="BQ141" s="275">
        <v>0</v>
      </c>
      <c r="BR141" s="275">
        <v>0</v>
      </c>
      <c r="BS141" s="275">
        <v>0</v>
      </c>
    </row>
    <row r="142" spans="1:71" x14ac:dyDescent="0.3">
      <c r="A142" s="275">
        <v>383</v>
      </c>
      <c r="B142" s="275">
        <v>383</v>
      </c>
      <c r="C142" s="275" t="s">
        <v>221</v>
      </c>
      <c r="D142" s="275" t="s">
        <v>459</v>
      </c>
      <c r="E142" s="275">
        <v>0</v>
      </c>
      <c r="F142" s="275">
        <v>0</v>
      </c>
      <c r="G142" s="275">
        <v>0</v>
      </c>
      <c r="H142" s="275">
        <v>0</v>
      </c>
      <c r="I142" s="275">
        <v>0</v>
      </c>
      <c r="J142" s="275">
        <v>0</v>
      </c>
      <c r="K142" s="275">
        <v>0</v>
      </c>
      <c r="L142" s="275">
        <v>0</v>
      </c>
      <c r="M142" s="275">
        <v>0</v>
      </c>
      <c r="N142" s="275">
        <v>0</v>
      </c>
      <c r="O142" s="275">
        <v>0</v>
      </c>
      <c r="P142" s="275">
        <v>0</v>
      </c>
      <c r="Q142" s="1112">
        <v>124603</v>
      </c>
      <c r="R142" s="1112">
        <v>395267</v>
      </c>
      <c r="S142" s="275">
        <v>0</v>
      </c>
      <c r="T142" s="275">
        <v>0</v>
      </c>
      <c r="U142" s="275">
        <v>0</v>
      </c>
      <c r="V142" s="275">
        <v>0</v>
      </c>
      <c r="W142" s="275">
        <v>0</v>
      </c>
      <c r="X142" s="275">
        <v>0</v>
      </c>
      <c r="Y142" s="275">
        <v>0</v>
      </c>
      <c r="Z142" s="275">
        <v>0</v>
      </c>
      <c r="AA142" s="275">
        <v>0</v>
      </c>
      <c r="AB142" s="275">
        <v>0</v>
      </c>
      <c r="AC142" s="275">
        <v>0</v>
      </c>
      <c r="AD142" s="275">
        <v>0</v>
      </c>
      <c r="AE142" s="275">
        <v>0</v>
      </c>
      <c r="AF142" s="275">
        <v>0</v>
      </c>
      <c r="AG142" s="275">
        <v>0</v>
      </c>
      <c r="AH142" s="275">
        <v>0</v>
      </c>
      <c r="AI142" s="275">
        <v>0</v>
      </c>
      <c r="AJ142" s="275">
        <v>0</v>
      </c>
      <c r="AK142" s="275">
        <v>0</v>
      </c>
      <c r="AL142" s="275">
        <v>0</v>
      </c>
      <c r="AM142" s="275">
        <v>0</v>
      </c>
      <c r="AN142" s="275">
        <v>0</v>
      </c>
      <c r="AO142" s="275">
        <v>0</v>
      </c>
      <c r="AP142" s="275">
        <v>0</v>
      </c>
      <c r="AQ142" s="275">
        <v>0</v>
      </c>
      <c r="AR142" s="1112">
        <v>2827</v>
      </c>
      <c r="AS142" s="275">
        <v>0</v>
      </c>
      <c r="AT142" s="275">
        <v>0</v>
      </c>
      <c r="AU142" s="275">
        <v>0</v>
      </c>
      <c r="AV142" s="275">
        <v>0</v>
      </c>
      <c r="AW142" s="275">
        <v>0</v>
      </c>
      <c r="AX142" s="275">
        <v>0</v>
      </c>
      <c r="AY142" s="275">
        <v>0</v>
      </c>
      <c r="AZ142" s="275">
        <v>0</v>
      </c>
      <c r="BA142" s="275">
        <v>0</v>
      </c>
      <c r="BB142" s="275">
        <v>0</v>
      </c>
      <c r="BC142" s="275">
        <v>0</v>
      </c>
      <c r="BD142" s="275">
        <v>0</v>
      </c>
      <c r="BE142" s="275">
        <v>0</v>
      </c>
      <c r="BF142" s="275">
        <v>0</v>
      </c>
      <c r="BG142" s="275">
        <v>0</v>
      </c>
      <c r="BH142" s="275">
        <v>0</v>
      </c>
      <c r="BI142" s="275">
        <v>0</v>
      </c>
      <c r="BJ142" s="1112">
        <v>18669</v>
      </c>
      <c r="BK142" s="275">
        <v>0</v>
      </c>
      <c r="BL142" s="275">
        <v>0</v>
      </c>
      <c r="BM142" s="275">
        <v>0</v>
      </c>
      <c r="BN142" s="275">
        <v>0</v>
      </c>
      <c r="BO142" s="275">
        <v>0</v>
      </c>
      <c r="BP142" s="275">
        <v>0</v>
      </c>
      <c r="BQ142" s="275">
        <v>0</v>
      </c>
      <c r="BR142" s="1112">
        <v>92987</v>
      </c>
      <c r="BS142" s="275">
        <v>0</v>
      </c>
    </row>
    <row r="143" spans="1:71" x14ac:dyDescent="0.3">
      <c r="A143" s="275">
        <v>384</v>
      </c>
      <c r="B143" s="275">
        <v>384</v>
      </c>
      <c r="C143" s="275" t="s">
        <v>124</v>
      </c>
      <c r="D143" s="275" t="s">
        <v>460</v>
      </c>
      <c r="E143" s="275">
        <v>0</v>
      </c>
      <c r="F143" s="275">
        <v>0</v>
      </c>
      <c r="G143" s="275">
        <v>0</v>
      </c>
      <c r="H143" s="275">
        <v>0</v>
      </c>
      <c r="I143" s="275">
        <v>0</v>
      </c>
      <c r="J143" s="275">
        <v>0</v>
      </c>
      <c r="K143" s="275">
        <v>0</v>
      </c>
      <c r="L143" s="275">
        <v>0</v>
      </c>
      <c r="M143" s="275">
        <v>0</v>
      </c>
      <c r="N143" s="275">
        <v>0</v>
      </c>
      <c r="O143" s="275">
        <v>0</v>
      </c>
      <c r="P143" s="275">
        <v>0</v>
      </c>
      <c r="Q143" s="275">
        <v>0</v>
      </c>
      <c r="R143" s="275">
        <v>0</v>
      </c>
      <c r="S143" s="275">
        <v>0</v>
      </c>
      <c r="T143" s="275">
        <v>0</v>
      </c>
      <c r="U143" s="275">
        <v>0</v>
      </c>
      <c r="V143" s="275">
        <v>0</v>
      </c>
      <c r="W143" s="275">
        <v>0</v>
      </c>
      <c r="X143" s="275">
        <v>0</v>
      </c>
      <c r="Y143" s="275">
        <v>0</v>
      </c>
      <c r="Z143" s="275">
        <v>0</v>
      </c>
      <c r="AA143" s="275">
        <v>0</v>
      </c>
      <c r="AB143" s="275">
        <v>0</v>
      </c>
      <c r="AC143" s="275">
        <v>0</v>
      </c>
      <c r="AD143" s="275">
        <v>0</v>
      </c>
      <c r="AE143" s="275">
        <v>0</v>
      </c>
      <c r="AF143" s="275">
        <v>0</v>
      </c>
      <c r="AG143" s="275">
        <v>0</v>
      </c>
      <c r="AH143" s="275">
        <v>0</v>
      </c>
      <c r="AI143" s="275">
        <v>0</v>
      </c>
      <c r="AJ143" s="275">
        <v>0</v>
      </c>
      <c r="AK143" s="275">
        <v>0</v>
      </c>
      <c r="AL143" s="275">
        <v>0</v>
      </c>
      <c r="AM143" s="275">
        <v>0</v>
      </c>
      <c r="AN143" s="275">
        <v>0</v>
      </c>
      <c r="AO143" s="275">
        <v>0</v>
      </c>
      <c r="AP143" s="275">
        <v>0</v>
      </c>
      <c r="AQ143" s="275">
        <v>0</v>
      </c>
      <c r="AR143" s="275">
        <v>0</v>
      </c>
      <c r="AS143" s="275">
        <v>0</v>
      </c>
      <c r="AT143" s="275">
        <v>0</v>
      </c>
      <c r="AU143" s="275">
        <v>0</v>
      </c>
      <c r="AV143" s="275">
        <v>0</v>
      </c>
      <c r="AW143" s="275">
        <v>0</v>
      </c>
      <c r="AX143" s="275">
        <v>0</v>
      </c>
      <c r="AY143" s="275">
        <v>0</v>
      </c>
      <c r="AZ143" s="275">
        <v>0</v>
      </c>
      <c r="BA143" s="275">
        <v>0</v>
      </c>
      <c r="BB143" s="275">
        <v>0</v>
      </c>
      <c r="BC143" s="275">
        <v>0</v>
      </c>
      <c r="BD143" s="275">
        <v>0</v>
      </c>
      <c r="BE143" s="275">
        <v>0</v>
      </c>
      <c r="BF143" s="275">
        <v>0</v>
      </c>
      <c r="BG143" s="275">
        <v>0</v>
      </c>
      <c r="BH143" s="275">
        <v>0</v>
      </c>
      <c r="BI143" s="275">
        <v>0</v>
      </c>
      <c r="BJ143" s="275">
        <v>0</v>
      </c>
      <c r="BK143" s="275">
        <v>0</v>
      </c>
      <c r="BL143" s="275">
        <v>0</v>
      </c>
      <c r="BM143" s="275">
        <v>0</v>
      </c>
      <c r="BN143" s="275">
        <v>0</v>
      </c>
      <c r="BO143" s="275">
        <v>0</v>
      </c>
      <c r="BP143" s="275">
        <v>0</v>
      </c>
      <c r="BQ143" s="275">
        <v>0</v>
      </c>
      <c r="BR143" s="275">
        <v>0</v>
      </c>
      <c r="BS143" s="275">
        <v>0</v>
      </c>
    </row>
    <row r="144" spans="1:71" x14ac:dyDescent="0.3">
      <c r="A144" s="275">
        <v>385</v>
      </c>
      <c r="B144" s="275">
        <v>385</v>
      </c>
      <c r="C144" s="275" t="s">
        <v>115</v>
      </c>
      <c r="D144" s="275" t="s">
        <v>461</v>
      </c>
      <c r="E144" s="1112">
        <v>15886203</v>
      </c>
      <c r="F144" s="1112">
        <v>13915424</v>
      </c>
      <c r="G144" s="1112">
        <v>3404385</v>
      </c>
      <c r="H144" s="1112">
        <v>34465819</v>
      </c>
      <c r="I144" s="1112">
        <v>582378</v>
      </c>
      <c r="J144" s="1112">
        <v>2503663</v>
      </c>
      <c r="K144" s="1112">
        <v>10190240</v>
      </c>
      <c r="L144" s="1112">
        <v>925823</v>
      </c>
      <c r="M144" s="1112">
        <v>569531629</v>
      </c>
      <c r="N144" s="1112">
        <v>94293</v>
      </c>
      <c r="O144" s="1112">
        <v>29215434</v>
      </c>
      <c r="P144" s="1112">
        <v>3749218</v>
      </c>
      <c r="Q144" s="1112">
        <v>60023754</v>
      </c>
      <c r="R144" s="1112">
        <v>352811423</v>
      </c>
      <c r="S144" s="275">
        <v>0</v>
      </c>
      <c r="T144" s="1112">
        <v>1018362</v>
      </c>
      <c r="U144" s="1112">
        <v>16812438</v>
      </c>
      <c r="V144" s="1112">
        <v>1860177</v>
      </c>
      <c r="W144" s="1112">
        <v>1337747</v>
      </c>
      <c r="X144" s="1112">
        <v>644257</v>
      </c>
      <c r="Y144" s="1112">
        <v>9020532</v>
      </c>
      <c r="Z144" s="1112">
        <v>1563474</v>
      </c>
      <c r="AA144" s="1112">
        <v>2181446</v>
      </c>
      <c r="AB144" s="1112">
        <v>2602022</v>
      </c>
      <c r="AC144" s="1112">
        <v>38068753</v>
      </c>
      <c r="AD144" s="1112">
        <v>8437564</v>
      </c>
      <c r="AE144" s="1112">
        <v>693093</v>
      </c>
      <c r="AF144" s="1112">
        <v>643055</v>
      </c>
      <c r="AG144" s="1112">
        <v>196941</v>
      </c>
      <c r="AH144" s="1112">
        <v>21365101</v>
      </c>
      <c r="AI144" s="1112">
        <v>15698469</v>
      </c>
      <c r="AJ144" s="1112">
        <v>6889345</v>
      </c>
      <c r="AK144" s="1112">
        <v>27172911</v>
      </c>
      <c r="AL144" s="275">
        <v>0</v>
      </c>
      <c r="AM144" s="1112">
        <v>290306</v>
      </c>
      <c r="AN144" s="1112">
        <v>11479292</v>
      </c>
      <c r="AO144" s="1112">
        <v>7139403</v>
      </c>
      <c r="AP144" s="1112">
        <v>14455343</v>
      </c>
      <c r="AQ144" s="1112">
        <v>814893</v>
      </c>
      <c r="AR144" s="1112">
        <v>2837752</v>
      </c>
      <c r="AS144" s="1112">
        <v>4383319</v>
      </c>
      <c r="AT144" s="1112">
        <v>9229443</v>
      </c>
      <c r="AU144" s="1112">
        <v>4154510</v>
      </c>
      <c r="AV144" s="275">
        <v>0</v>
      </c>
      <c r="AW144" s="1112">
        <v>21813633</v>
      </c>
      <c r="AX144" s="1112">
        <v>4256751</v>
      </c>
      <c r="AY144" s="1112">
        <v>32385789</v>
      </c>
      <c r="AZ144" s="1112">
        <v>140505</v>
      </c>
      <c r="BA144" s="1112">
        <v>753084</v>
      </c>
      <c r="BB144" s="1112">
        <v>9149316</v>
      </c>
      <c r="BC144" s="1112">
        <v>5438931</v>
      </c>
      <c r="BD144" s="1112">
        <v>848661</v>
      </c>
      <c r="BE144" s="1112">
        <v>733924</v>
      </c>
      <c r="BF144" s="1112">
        <v>34577968</v>
      </c>
      <c r="BG144" s="1112">
        <v>1265863</v>
      </c>
      <c r="BH144" s="1112">
        <v>1686961</v>
      </c>
      <c r="BI144" s="1112">
        <v>15789948</v>
      </c>
      <c r="BJ144" s="1112">
        <v>849534</v>
      </c>
      <c r="BK144" s="1112">
        <v>2590270</v>
      </c>
      <c r="BL144" s="1112">
        <v>1078771</v>
      </c>
      <c r="BM144" s="1112">
        <v>1470253</v>
      </c>
      <c r="BN144" s="1112">
        <v>6278833</v>
      </c>
      <c r="BO144" s="1112">
        <v>1139654</v>
      </c>
      <c r="BP144" s="1112">
        <v>7791980</v>
      </c>
      <c r="BQ144" s="1112">
        <v>150137976</v>
      </c>
      <c r="BR144" s="1112">
        <v>4458450</v>
      </c>
      <c r="BS144" s="1112">
        <v>37329781</v>
      </c>
    </row>
    <row r="145" spans="1:71" x14ac:dyDescent="0.3">
      <c r="A145" s="275">
        <v>386</v>
      </c>
      <c r="B145" s="275">
        <v>386</v>
      </c>
      <c r="C145" s="275" t="s">
        <v>194</v>
      </c>
      <c r="D145" s="275" t="s">
        <v>462</v>
      </c>
      <c r="E145" s="275">
        <v>0</v>
      </c>
      <c r="F145" s="1112">
        <v>282733</v>
      </c>
      <c r="G145" s="1112">
        <v>6883</v>
      </c>
      <c r="H145" s="1112">
        <v>2833824</v>
      </c>
      <c r="I145" s="275">
        <v>0</v>
      </c>
      <c r="J145" s="275">
        <v>0</v>
      </c>
      <c r="K145" s="1112">
        <v>110429</v>
      </c>
      <c r="L145" s="1112">
        <v>42064</v>
      </c>
      <c r="M145" s="275">
        <v>0</v>
      </c>
      <c r="N145" s="275">
        <v>0</v>
      </c>
      <c r="O145" s="275">
        <v>0</v>
      </c>
      <c r="P145" s="275">
        <v>0</v>
      </c>
      <c r="Q145" s="275">
        <v>0</v>
      </c>
      <c r="R145" s="275">
        <v>0</v>
      </c>
      <c r="S145" s="275">
        <v>0</v>
      </c>
      <c r="T145" s="275">
        <v>0</v>
      </c>
      <c r="U145" s="1112">
        <v>211158</v>
      </c>
      <c r="V145" s="275">
        <v>0</v>
      </c>
      <c r="W145" s="275">
        <v>0</v>
      </c>
      <c r="X145" s="275">
        <v>0</v>
      </c>
      <c r="Y145" s="1112">
        <v>596154</v>
      </c>
      <c r="Z145" s="275">
        <v>0</v>
      </c>
      <c r="AA145" s="275">
        <v>0</v>
      </c>
      <c r="AB145" s="275">
        <v>0</v>
      </c>
      <c r="AC145" s="275">
        <v>0</v>
      </c>
      <c r="AD145" s="275">
        <v>0</v>
      </c>
      <c r="AE145" s="275">
        <v>0</v>
      </c>
      <c r="AF145" s="275">
        <v>0</v>
      </c>
      <c r="AG145" s="275">
        <v>0</v>
      </c>
      <c r="AH145" s="1112">
        <v>2874516</v>
      </c>
      <c r="AI145" s="275">
        <v>0</v>
      </c>
      <c r="AJ145" s="275">
        <v>0</v>
      </c>
      <c r="AK145" s="275">
        <v>0</v>
      </c>
      <c r="AL145" s="275">
        <v>0</v>
      </c>
      <c r="AM145" s="275">
        <v>0</v>
      </c>
      <c r="AN145" s="275">
        <v>0</v>
      </c>
      <c r="AO145" s="275">
        <v>0</v>
      </c>
      <c r="AP145" s="1112">
        <v>402122</v>
      </c>
      <c r="AQ145" s="275">
        <v>0</v>
      </c>
      <c r="AR145" s="275">
        <v>0</v>
      </c>
      <c r="AS145" s="275">
        <v>0</v>
      </c>
      <c r="AT145" s="275">
        <v>0</v>
      </c>
      <c r="AU145" s="275">
        <v>0</v>
      </c>
      <c r="AV145" s="275">
        <v>0</v>
      </c>
      <c r="AW145" s="275">
        <v>0</v>
      </c>
      <c r="AX145" s="275">
        <v>0</v>
      </c>
      <c r="AY145" s="275">
        <v>0</v>
      </c>
      <c r="AZ145" s="275">
        <v>0</v>
      </c>
      <c r="BA145" s="275">
        <v>0</v>
      </c>
      <c r="BB145" s="275">
        <v>0</v>
      </c>
      <c r="BC145" s="275">
        <v>0</v>
      </c>
      <c r="BD145" s="275">
        <v>0</v>
      </c>
      <c r="BE145" s="275">
        <v>0</v>
      </c>
      <c r="BF145" s="1112">
        <v>143453</v>
      </c>
      <c r="BG145" s="275">
        <v>0</v>
      </c>
      <c r="BH145" s="1112">
        <v>13000</v>
      </c>
      <c r="BI145" s="275">
        <v>0</v>
      </c>
      <c r="BJ145" s="1112">
        <v>79443</v>
      </c>
      <c r="BK145" s="275">
        <v>0</v>
      </c>
      <c r="BL145" s="275">
        <v>0</v>
      </c>
      <c r="BM145" s="275">
        <v>0</v>
      </c>
      <c r="BN145" s="275">
        <v>0</v>
      </c>
      <c r="BO145" s="275">
        <v>0</v>
      </c>
      <c r="BP145" s="275">
        <v>0</v>
      </c>
      <c r="BQ145" s="1112">
        <v>1469373</v>
      </c>
      <c r="BR145" s="275">
        <v>0</v>
      </c>
      <c r="BS145" s="275">
        <v>0</v>
      </c>
    </row>
    <row r="146" spans="1:71" x14ac:dyDescent="0.3">
      <c r="A146" s="275">
        <v>387</v>
      </c>
      <c r="B146" s="275">
        <v>387</v>
      </c>
      <c r="C146" s="275" t="s">
        <v>195</v>
      </c>
      <c r="D146" s="275" t="s">
        <v>463</v>
      </c>
      <c r="E146" s="275">
        <v>0</v>
      </c>
      <c r="F146" s="275">
        <v>0</v>
      </c>
      <c r="G146" s="275">
        <v>0</v>
      </c>
      <c r="H146" s="1112">
        <v>1331345</v>
      </c>
      <c r="I146" s="275">
        <v>0</v>
      </c>
      <c r="J146" s="275">
        <v>0</v>
      </c>
      <c r="K146" s="275">
        <v>0</v>
      </c>
      <c r="L146" s="275">
        <v>0</v>
      </c>
      <c r="M146" s="275">
        <v>0</v>
      </c>
      <c r="N146" s="275">
        <v>0</v>
      </c>
      <c r="O146" s="275">
        <v>0</v>
      </c>
      <c r="P146" s="275">
        <v>0</v>
      </c>
      <c r="Q146" s="275">
        <v>0</v>
      </c>
      <c r="R146" s="1112">
        <v>4728227</v>
      </c>
      <c r="S146" s="275">
        <v>0</v>
      </c>
      <c r="T146" s="275">
        <v>0</v>
      </c>
      <c r="U146" s="275">
        <v>0</v>
      </c>
      <c r="V146" s="275">
        <v>0</v>
      </c>
      <c r="W146" s="275">
        <v>0</v>
      </c>
      <c r="X146" s="275">
        <v>0</v>
      </c>
      <c r="Y146" s="275">
        <v>0</v>
      </c>
      <c r="Z146" s="275">
        <v>0</v>
      </c>
      <c r="AA146" s="275">
        <v>0</v>
      </c>
      <c r="AB146" s="275">
        <v>0</v>
      </c>
      <c r="AC146" s="275">
        <v>0</v>
      </c>
      <c r="AD146" s="275">
        <v>0</v>
      </c>
      <c r="AE146" s="275">
        <v>0</v>
      </c>
      <c r="AF146" s="275">
        <v>0</v>
      </c>
      <c r="AG146" s="275">
        <v>0</v>
      </c>
      <c r="AH146" s="275">
        <v>0</v>
      </c>
      <c r="AI146" s="1112">
        <v>150000</v>
      </c>
      <c r="AJ146" s="275">
        <v>0</v>
      </c>
      <c r="AK146" s="275">
        <v>0</v>
      </c>
      <c r="AL146" s="275">
        <v>0</v>
      </c>
      <c r="AM146" s="275">
        <v>0</v>
      </c>
      <c r="AN146" s="275">
        <v>0</v>
      </c>
      <c r="AO146" s="275">
        <v>0</v>
      </c>
      <c r="AP146" s="275">
        <v>0</v>
      </c>
      <c r="AQ146" s="275">
        <v>0</v>
      </c>
      <c r="AR146" s="275">
        <v>0</v>
      </c>
      <c r="AS146" s="275">
        <v>0</v>
      </c>
      <c r="AT146" s="275">
        <v>0</v>
      </c>
      <c r="AU146" s="1112">
        <v>3697</v>
      </c>
      <c r="AV146" s="275">
        <v>0</v>
      </c>
      <c r="AW146" s="1112">
        <v>125000</v>
      </c>
      <c r="AX146" s="275">
        <v>0</v>
      </c>
      <c r="AY146" s="275">
        <v>0</v>
      </c>
      <c r="AZ146" s="275">
        <v>0</v>
      </c>
      <c r="BA146" s="275">
        <v>0</v>
      </c>
      <c r="BB146" s="275">
        <v>0</v>
      </c>
      <c r="BC146" s="275">
        <v>0</v>
      </c>
      <c r="BD146" s="275">
        <v>0</v>
      </c>
      <c r="BE146" s="275">
        <v>0</v>
      </c>
      <c r="BF146" s="275">
        <v>0</v>
      </c>
      <c r="BG146" s="275">
        <v>0</v>
      </c>
      <c r="BH146" s="275">
        <v>0</v>
      </c>
      <c r="BI146" s="1112">
        <v>200000</v>
      </c>
      <c r="BJ146" s="275">
        <v>0</v>
      </c>
      <c r="BK146" s="275">
        <v>0</v>
      </c>
      <c r="BL146" s="275">
        <v>0</v>
      </c>
      <c r="BM146" s="1112">
        <v>7036</v>
      </c>
      <c r="BN146" s="1112">
        <v>254136</v>
      </c>
      <c r="BO146" s="275">
        <v>0</v>
      </c>
      <c r="BP146" s="275">
        <v>0</v>
      </c>
      <c r="BQ146" s="275">
        <v>0</v>
      </c>
      <c r="BR146" s="275">
        <v>0</v>
      </c>
      <c r="BS146" s="275">
        <v>0</v>
      </c>
    </row>
    <row r="147" spans="1:71" x14ac:dyDescent="0.3">
      <c r="A147" s="275">
        <v>388</v>
      </c>
      <c r="B147" s="275">
        <v>388</v>
      </c>
      <c r="C147" s="275" t="s">
        <v>189</v>
      </c>
      <c r="D147" s="275" t="s">
        <v>464</v>
      </c>
      <c r="E147" s="1112">
        <v>8858601</v>
      </c>
      <c r="F147" s="1112">
        <v>5894093</v>
      </c>
      <c r="G147" s="1112">
        <v>357473</v>
      </c>
      <c r="H147" s="1112">
        <v>15197339</v>
      </c>
      <c r="I147" s="1112">
        <v>116779</v>
      </c>
      <c r="J147" s="1112">
        <v>1230321</v>
      </c>
      <c r="K147" s="1112">
        <v>3763893</v>
      </c>
      <c r="L147" s="1112">
        <v>426010</v>
      </c>
      <c r="M147" s="1112">
        <v>63801024</v>
      </c>
      <c r="N147" s="1112">
        <v>25147</v>
      </c>
      <c r="O147" s="1112">
        <v>7217634</v>
      </c>
      <c r="P147" s="1112">
        <v>916917</v>
      </c>
      <c r="Q147" s="1112">
        <v>28530135</v>
      </c>
      <c r="R147" s="1112">
        <v>118260738</v>
      </c>
      <c r="S147" s="275">
        <v>0</v>
      </c>
      <c r="T147" s="1112">
        <v>474044</v>
      </c>
      <c r="U147" s="1112">
        <v>6711448</v>
      </c>
      <c r="V147" s="1112">
        <v>656069</v>
      </c>
      <c r="W147" s="1112">
        <v>441866</v>
      </c>
      <c r="X147" s="1112">
        <v>203670</v>
      </c>
      <c r="Y147" s="1112">
        <v>5944448</v>
      </c>
      <c r="Z147" s="1112">
        <v>786135</v>
      </c>
      <c r="AA147" s="1112">
        <v>501193</v>
      </c>
      <c r="AB147" s="1112">
        <v>568162</v>
      </c>
      <c r="AC147" s="1112">
        <v>24296969</v>
      </c>
      <c r="AD147" s="1112">
        <v>2080837</v>
      </c>
      <c r="AE147" s="1112">
        <v>247212</v>
      </c>
      <c r="AF147" s="1112">
        <v>222044</v>
      </c>
      <c r="AG147" s="1112">
        <v>43756</v>
      </c>
      <c r="AH147" s="1112">
        <v>7004926</v>
      </c>
      <c r="AI147" s="1112">
        <v>6157357</v>
      </c>
      <c r="AJ147" s="1112">
        <v>1820107</v>
      </c>
      <c r="AK147" s="1112">
        <v>11912593</v>
      </c>
      <c r="AL147" s="275">
        <v>0</v>
      </c>
      <c r="AM147" s="1112">
        <v>61175</v>
      </c>
      <c r="AN147" s="1112">
        <v>4485255</v>
      </c>
      <c r="AO147" s="1112">
        <v>2465421</v>
      </c>
      <c r="AP147" s="1112">
        <v>4780944</v>
      </c>
      <c r="AQ147" s="1112">
        <v>230832</v>
      </c>
      <c r="AR147" s="1112">
        <v>914540</v>
      </c>
      <c r="AS147" s="1112">
        <v>1140641</v>
      </c>
      <c r="AT147" s="1112">
        <v>3734023</v>
      </c>
      <c r="AU147" s="1112">
        <v>1832573</v>
      </c>
      <c r="AV147" s="275">
        <v>0</v>
      </c>
      <c r="AW147" s="1112">
        <v>7882552</v>
      </c>
      <c r="AX147" s="1112">
        <v>1352242</v>
      </c>
      <c r="AY147" s="1112">
        <v>8238603</v>
      </c>
      <c r="AZ147" s="1112">
        <v>52999</v>
      </c>
      <c r="BA147" s="1112">
        <v>205675</v>
      </c>
      <c r="BB147" s="1112">
        <v>6371634</v>
      </c>
      <c r="BC147" s="1112">
        <v>2249544</v>
      </c>
      <c r="BD147" s="1112">
        <v>30577</v>
      </c>
      <c r="BE147" s="1112">
        <v>468657</v>
      </c>
      <c r="BF147" s="1112">
        <v>16408974</v>
      </c>
      <c r="BG147" s="1112">
        <v>755888</v>
      </c>
      <c r="BH147" s="1112">
        <v>227494</v>
      </c>
      <c r="BI147" s="1112">
        <v>9185771</v>
      </c>
      <c r="BJ147" s="1112">
        <v>805331</v>
      </c>
      <c r="BK147" s="1112">
        <v>944670</v>
      </c>
      <c r="BL147" s="1112">
        <v>297815</v>
      </c>
      <c r="BM147" s="1112">
        <v>378751</v>
      </c>
      <c r="BN147" s="1112">
        <v>1621791</v>
      </c>
      <c r="BO147" s="1112">
        <v>377042</v>
      </c>
      <c r="BP147" s="1112">
        <v>4573136</v>
      </c>
      <c r="BQ147" s="1112">
        <v>61873838</v>
      </c>
      <c r="BR147" s="1112">
        <v>2017281</v>
      </c>
      <c r="BS147" s="1112">
        <v>8172640</v>
      </c>
    </row>
    <row r="148" spans="1:71" x14ac:dyDescent="0.3">
      <c r="A148" s="275">
        <v>389</v>
      </c>
      <c r="B148" s="275">
        <v>389</v>
      </c>
      <c r="C148" s="275" t="s">
        <v>196</v>
      </c>
      <c r="D148" s="275" t="s">
        <v>465</v>
      </c>
      <c r="E148" s="275">
        <v>0</v>
      </c>
      <c r="F148" s="275">
        <v>0</v>
      </c>
      <c r="G148" s="275">
        <v>0</v>
      </c>
      <c r="H148" s="275">
        <v>0</v>
      </c>
      <c r="I148" s="275">
        <v>0</v>
      </c>
      <c r="J148" s="275">
        <v>0</v>
      </c>
      <c r="K148" s="275">
        <v>0</v>
      </c>
      <c r="L148" s="275">
        <v>0</v>
      </c>
      <c r="M148" s="1112">
        <v>-698574</v>
      </c>
      <c r="N148" s="275">
        <v>0</v>
      </c>
      <c r="O148" s="275">
        <v>0</v>
      </c>
      <c r="P148" s="275">
        <v>0</v>
      </c>
      <c r="Q148" s="275">
        <v>0</v>
      </c>
      <c r="R148" s="275">
        <v>0</v>
      </c>
      <c r="S148" s="275">
        <v>0</v>
      </c>
      <c r="T148" s="275">
        <v>0</v>
      </c>
      <c r="U148" s="275">
        <v>0</v>
      </c>
      <c r="V148" s="275">
        <v>0</v>
      </c>
      <c r="W148" s="275">
        <v>0</v>
      </c>
      <c r="X148" s="275">
        <v>0</v>
      </c>
      <c r="Y148" s="275" t="s">
        <v>1751</v>
      </c>
      <c r="Z148" s="275">
        <v>0</v>
      </c>
      <c r="AA148" s="275">
        <v>0</v>
      </c>
      <c r="AB148" s="275">
        <v>0</v>
      </c>
      <c r="AC148" s="275">
        <v>0</v>
      </c>
      <c r="AD148" s="275">
        <v>0</v>
      </c>
      <c r="AE148" s="275">
        <v>0</v>
      </c>
      <c r="AF148" s="275">
        <v>0</v>
      </c>
      <c r="AG148" s="275">
        <v>0</v>
      </c>
      <c r="AH148" s="275">
        <v>0</v>
      </c>
      <c r="AI148" s="275">
        <v>0</v>
      </c>
      <c r="AJ148" s="275">
        <v>0</v>
      </c>
      <c r="AK148" s="275">
        <v>0</v>
      </c>
      <c r="AL148" s="275">
        <v>0</v>
      </c>
      <c r="AM148" s="275">
        <v>0</v>
      </c>
      <c r="AN148" s="275">
        <v>0</v>
      </c>
      <c r="AO148" s="275">
        <v>0</v>
      </c>
      <c r="AP148" s="275">
        <v>0</v>
      </c>
      <c r="AQ148" s="275">
        <v>0</v>
      </c>
      <c r="AR148" s="275">
        <v>0</v>
      </c>
      <c r="AS148" s="275">
        <v>0</v>
      </c>
      <c r="AT148" s="275">
        <v>0</v>
      </c>
      <c r="AU148" s="275">
        <v>0</v>
      </c>
      <c r="AV148" s="275">
        <v>0</v>
      </c>
      <c r="AW148" s="275">
        <v>0</v>
      </c>
      <c r="AX148" s="275">
        <v>0</v>
      </c>
      <c r="AY148" s="275">
        <v>0</v>
      </c>
      <c r="AZ148" s="275">
        <v>0</v>
      </c>
      <c r="BA148" s="275">
        <v>0</v>
      </c>
      <c r="BB148" s="275">
        <v>0</v>
      </c>
      <c r="BC148" s="275">
        <v>0</v>
      </c>
      <c r="BD148" s="275">
        <v>0</v>
      </c>
      <c r="BE148" s="275">
        <v>0</v>
      </c>
      <c r="BF148" s="275">
        <v>0</v>
      </c>
      <c r="BG148" s="275">
        <v>0</v>
      </c>
      <c r="BH148" s="275">
        <v>0</v>
      </c>
      <c r="BI148" s="275">
        <v>0</v>
      </c>
      <c r="BJ148" s="275">
        <v>0</v>
      </c>
      <c r="BK148" s="275">
        <v>0</v>
      </c>
      <c r="BL148" s="275">
        <v>0</v>
      </c>
      <c r="BM148" s="275">
        <v>0</v>
      </c>
      <c r="BN148" s="275">
        <v>0</v>
      </c>
      <c r="BO148" s="275">
        <v>0</v>
      </c>
      <c r="BP148" s="1112">
        <v>123539</v>
      </c>
      <c r="BQ148" s="275">
        <v>0</v>
      </c>
      <c r="BR148" s="275">
        <v>0</v>
      </c>
      <c r="BS148" s="275">
        <v>0</v>
      </c>
    </row>
    <row r="149" spans="1:71" x14ac:dyDescent="0.3">
      <c r="A149" s="275">
        <v>391</v>
      </c>
      <c r="B149" s="275">
        <v>391</v>
      </c>
      <c r="C149" s="275" t="s">
        <v>201</v>
      </c>
      <c r="D149" s="275" t="s">
        <v>466</v>
      </c>
      <c r="E149" s="1112">
        <v>697894</v>
      </c>
      <c r="F149" s="1112">
        <v>605633</v>
      </c>
      <c r="G149" s="1112">
        <v>70752</v>
      </c>
      <c r="H149" s="1112">
        <v>1742482</v>
      </c>
      <c r="I149" s="275" t="s">
        <v>1750</v>
      </c>
      <c r="J149" s="1112">
        <v>364737</v>
      </c>
      <c r="K149" s="1112">
        <v>468352</v>
      </c>
      <c r="L149" s="1112">
        <v>44554</v>
      </c>
      <c r="M149" s="1112">
        <v>8926329</v>
      </c>
      <c r="N149" s="275" t="s">
        <v>1750</v>
      </c>
      <c r="O149" s="1112">
        <v>1695177</v>
      </c>
      <c r="P149" s="1112">
        <v>86368</v>
      </c>
      <c r="Q149" s="1112">
        <v>2986289</v>
      </c>
      <c r="R149" s="1112">
        <v>15692122</v>
      </c>
      <c r="S149" s="275" t="s">
        <v>1750</v>
      </c>
      <c r="T149" s="1112">
        <v>13736</v>
      </c>
      <c r="U149" s="1112">
        <v>920792</v>
      </c>
      <c r="V149" s="1112">
        <v>299207</v>
      </c>
      <c r="W149" s="1112">
        <v>26988</v>
      </c>
      <c r="X149" s="1112">
        <v>15218</v>
      </c>
      <c r="Y149" s="1112">
        <v>994002</v>
      </c>
      <c r="Z149" s="1112">
        <v>148354</v>
      </c>
      <c r="AA149" s="1112">
        <v>53436</v>
      </c>
      <c r="AB149" s="1112">
        <v>19310</v>
      </c>
      <c r="AC149" s="1112">
        <v>2248941</v>
      </c>
      <c r="AD149" s="1112">
        <v>163500</v>
      </c>
      <c r="AE149" s="1112">
        <v>272253</v>
      </c>
      <c r="AF149" s="1112">
        <v>25044</v>
      </c>
      <c r="AG149" s="1112">
        <v>3292</v>
      </c>
      <c r="AH149" s="1112">
        <v>1297209</v>
      </c>
      <c r="AI149" s="1112">
        <v>452448</v>
      </c>
      <c r="AJ149" s="1112">
        <v>197905</v>
      </c>
      <c r="AK149" s="1112">
        <v>815824</v>
      </c>
      <c r="AL149" s="275" t="s">
        <v>1750</v>
      </c>
      <c r="AM149" s="1112">
        <v>8160</v>
      </c>
      <c r="AN149" s="1112">
        <v>303889</v>
      </c>
      <c r="AO149" s="1112">
        <v>151640</v>
      </c>
      <c r="AP149" s="1112">
        <v>372234</v>
      </c>
      <c r="AQ149" s="1112">
        <v>15225</v>
      </c>
      <c r="AR149" s="1112">
        <v>363413</v>
      </c>
      <c r="AS149" s="1112">
        <v>115673</v>
      </c>
      <c r="AT149" s="1112">
        <v>368486</v>
      </c>
      <c r="AU149" s="1112">
        <v>203353</v>
      </c>
      <c r="AV149" s="275" t="s">
        <v>1750</v>
      </c>
      <c r="AW149" s="1112">
        <v>822101</v>
      </c>
      <c r="AX149" s="1112">
        <v>162381</v>
      </c>
      <c r="AY149" s="1112">
        <v>866759</v>
      </c>
      <c r="AZ149" s="1112">
        <v>3127</v>
      </c>
      <c r="BA149" s="1112">
        <v>17260</v>
      </c>
      <c r="BB149" s="1112">
        <v>2675799</v>
      </c>
      <c r="BC149" s="1112">
        <v>223539</v>
      </c>
      <c r="BD149" s="1112">
        <v>30396</v>
      </c>
      <c r="BE149" s="1112">
        <v>38058</v>
      </c>
      <c r="BF149" s="1112">
        <v>1122115</v>
      </c>
      <c r="BG149" s="1112">
        <v>109418</v>
      </c>
      <c r="BH149" s="1112">
        <v>15474</v>
      </c>
      <c r="BI149" s="1112">
        <v>1582653</v>
      </c>
      <c r="BJ149" s="1112">
        <v>32688</v>
      </c>
      <c r="BK149" s="1112">
        <v>162516</v>
      </c>
      <c r="BL149" s="1112">
        <v>45295</v>
      </c>
      <c r="BM149" s="1112">
        <v>70181</v>
      </c>
      <c r="BN149" s="1112">
        <v>137160</v>
      </c>
      <c r="BO149" s="1112">
        <v>47312</v>
      </c>
      <c r="BP149" s="1112">
        <v>325884</v>
      </c>
      <c r="BQ149" s="1112">
        <v>9002176</v>
      </c>
      <c r="BR149" s="1112">
        <v>157468</v>
      </c>
      <c r="BS149" s="1112">
        <v>1081021</v>
      </c>
    </row>
    <row r="150" spans="1:71" x14ac:dyDescent="0.3">
      <c r="A150" s="275">
        <v>500</v>
      </c>
      <c r="B150" s="275">
        <v>500</v>
      </c>
      <c r="C150" s="275" t="s">
        <v>183</v>
      </c>
      <c r="D150" s="275" t="s">
        <v>467</v>
      </c>
      <c r="E150" s="1112">
        <v>614642</v>
      </c>
      <c r="F150" s="275" t="s">
        <v>1750</v>
      </c>
      <c r="G150" s="1112">
        <v>19291</v>
      </c>
      <c r="H150" s="1112">
        <v>165846</v>
      </c>
      <c r="I150" s="1112">
        <v>8503</v>
      </c>
      <c r="J150" s="1112">
        <v>332951</v>
      </c>
      <c r="K150" s="1112">
        <v>269015</v>
      </c>
      <c r="L150" s="1112">
        <v>79621</v>
      </c>
      <c r="M150" s="1112">
        <v>20438706</v>
      </c>
      <c r="N150" s="275" t="s">
        <v>1750</v>
      </c>
      <c r="O150" s="1112">
        <v>918806</v>
      </c>
      <c r="P150" s="1112">
        <v>9804</v>
      </c>
      <c r="Q150" s="1112">
        <v>1870363</v>
      </c>
      <c r="R150" s="1112">
        <v>721103</v>
      </c>
      <c r="S150" s="275" t="s">
        <v>1750</v>
      </c>
      <c r="T150" s="1112">
        <v>8829</v>
      </c>
      <c r="U150" s="1112">
        <v>330550</v>
      </c>
      <c r="V150" s="1112">
        <v>54114</v>
      </c>
      <c r="W150" s="1112">
        <v>48090</v>
      </c>
      <c r="X150" s="275" t="s">
        <v>1750</v>
      </c>
      <c r="Y150" s="1112">
        <v>327865</v>
      </c>
      <c r="Z150" s="1112">
        <v>103888</v>
      </c>
      <c r="AA150" s="1112">
        <v>104188</v>
      </c>
      <c r="AB150" s="1112">
        <v>76631</v>
      </c>
      <c r="AC150" s="1112">
        <v>870957</v>
      </c>
      <c r="AD150" s="275" t="s">
        <v>1750</v>
      </c>
      <c r="AE150" s="275" t="s">
        <v>1750</v>
      </c>
      <c r="AF150" s="1112">
        <v>38831</v>
      </c>
      <c r="AG150" s="1112">
        <v>17424</v>
      </c>
      <c r="AH150" s="1112">
        <v>1609679</v>
      </c>
      <c r="AI150" s="275" t="s">
        <v>1750</v>
      </c>
      <c r="AJ150" s="1112">
        <v>192173</v>
      </c>
      <c r="AK150" s="1112">
        <v>1559269</v>
      </c>
      <c r="AL150" s="275" t="s">
        <v>1750</v>
      </c>
      <c r="AM150" s="275" t="s">
        <v>1750</v>
      </c>
      <c r="AN150" s="1112">
        <v>85788</v>
      </c>
      <c r="AO150" s="1112">
        <v>256281</v>
      </c>
      <c r="AP150" s="1112">
        <v>404471</v>
      </c>
      <c r="AQ150" s="1112">
        <v>117875</v>
      </c>
      <c r="AR150" s="1112">
        <v>28494</v>
      </c>
      <c r="AS150" s="1112">
        <v>431072</v>
      </c>
      <c r="AT150" s="275" t="s">
        <v>1750</v>
      </c>
      <c r="AU150" s="1112">
        <v>89645</v>
      </c>
      <c r="AV150" s="275" t="s">
        <v>1750</v>
      </c>
      <c r="AW150" s="1112">
        <v>524089</v>
      </c>
      <c r="AX150" s="1112">
        <v>2934</v>
      </c>
      <c r="AY150" s="1112">
        <v>141778</v>
      </c>
      <c r="AZ150" s="1112">
        <v>24545</v>
      </c>
      <c r="BA150" s="1112">
        <v>44776</v>
      </c>
      <c r="BB150" s="1112">
        <v>803319</v>
      </c>
      <c r="BC150" s="1112">
        <v>1024336</v>
      </c>
      <c r="BD150" s="1112">
        <v>17332</v>
      </c>
      <c r="BE150" s="1112">
        <v>8341</v>
      </c>
      <c r="BF150" s="1112">
        <v>514786</v>
      </c>
      <c r="BG150" s="1112">
        <v>22367</v>
      </c>
      <c r="BH150" s="1112">
        <v>409212</v>
      </c>
      <c r="BI150" s="1112">
        <v>518412</v>
      </c>
      <c r="BJ150" s="1112">
        <v>36877</v>
      </c>
      <c r="BK150" s="1112">
        <v>219925</v>
      </c>
      <c r="BL150" s="1112">
        <v>5712</v>
      </c>
      <c r="BM150" s="275" t="s">
        <v>1750</v>
      </c>
      <c r="BN150" s="1112">
        <v>65367</v>
      </c>
      <c r="BO150" s="1112">
        <v>51379</v>
      </c>
      <c r="BP150" s="275" t="s">
        <v>1751</v>
      </c>
      <c r="BQ150" s="275" t="s">
        <v>1750</v>
      </c>
      <c r="BR150" s="1112">
        <v>88572</v>
      </c>
      <c r="BS150" s="1112">
        <v>502451</v>
      </c>
    </row>
    <row r="151" spans="1:71" x14ac:dyDescent="0.3">
      <c r="A151" s="275"/>
      <c r="B151" s="275">
        <v>501</v>
      </c>
      <c r="C151" s="275" t="s">
        <v>185</v>
      </c>
      <c r="D151" s="275" t="s">
        <v>468</v>
      </c>
      <c r="E151" s="275" t="s">
        <v>1750</v>
      </c>
      <c r="F151" s="275" t="s">
        <v>1750</v>
      </c>
      <c r="G151" s="275" t="s">
        <v>1750</v>
      </c>
      <c r="H151" s="275" t="s">
        <v>1750</v>
      </c>
      <c r="I151" s="275" t="s">
        <v>1750</v>
      </c>
      <c r="J151" s="275" t="s">
        <v>1750</v>
      </c>
      <c r="K151" s="275" t="s">
        <v>1750</v>
      </c>
      <c r="L151" s="275" t="s">
        <v>1750</v>
      </c>
      <c r="M151" s="275" t="s">
        <v>1750</v>
      </c>
      <c r="N151" s="275" t="s">
        <v>1750</v>
      </c>
      <c r="O151" s="275" t="s">
        <v>1750</v>
      </c>
      <c r="P151" s="275" t="s">
        <v>1750</v>
      </c>
      <c r="Q151" s="275" t="s">
        <v>1750</v>
      </c>
      <c r="R151" s="275" t="s">
        <v>1750</v>
      </c>
      <c r="S151" s="275" t="s">
        <v>1750</v>
      </c>
      <c r="T151" s="275" t="s">
        <v>1750</v>
      </c>
      <c r="U151" s="275" t="s">
        <v>1750</v>
      </c>
      <c r="V151" s="275" t="s">
        <v>1750</v>
      </c>
      <c r="W151" s="275" t="s">
        <v>1750</v>
      </c>
      <c r="X151" s="275" t="s">
        <v>1750</v>
      </c>
      <c r="Y151" s="275" t="s">
        <v>1751</v>
      </c>
      <c r="Z151" s="275" t="s">
        <v>1750</v>
      </c>
      <c r="AA151" s="275" t="s">
        <v>1750</v>
      </c>
      <c r="AB151" s="275" t="s">
        <v>1750</v>
      </c>
      <c r="AC151" s="275" t="s">
        <v>1750</v>
      </c>
      <c r="AD151" s="275" t="s">
        <v>1750</v>
      </c>
      <c r="AE151" s="275" t="s">
        <v>1750</v>
      </c>
      <c r="AF151" s="275" t="s">
        <v>1750</v>
      </c>
      <c r="AG151" s="275" t="s">
        <v>1750</v>
      </c>
      <c r="AH151" s="275" t="s">
        <v>1750</v>
      </c>
      <c r="AI151" s="275" t="s">
        <v>1750</v>
      </c>
      <c r="AJ151" s="275" t="s">
        <v>1750</v>
      </c>
      <c r="AK151" s="275" t="s">
        <v>1750</v>
      </c>
      <c r="AL151" s="275" t="s">
        <v>1750</v>
      </c>
      <c r="AM151" s="275" t="s">
        <v>1750</v>
      </c>
      <c r="AN151" s="275" t="s">
        <v>1750</v>
      </c>
      <c r="AO151" s="275" t="s">
        <v>1750</v>
      </c>
      <c r="AP151" s="275" t="s">
        <v>1750</v>
      </c>
      <c r="AQ151" s="275" t="s">
        <v>1750</v>
      </c>
      <c r="AR151" s="275" t="s">
        <v>1750</v>
      </c>
      <c r="AS151" s="275" t="s">
        <v>1750</v>
      </c>
      <c r="AT151" s="275" t="s">
        <v>1750</v>
      </c>
      <c r="AU151" s="275" t="s">
        <v>1750</v>
      </c>
      <c r="AV151" s="275" t="s">
        <v>1750</v>
      </c>
      <c r="AW151" s="275" t="s">
        <v>1750</v>
      </c>
      <c r="AX151" s="275" t="s">
        <v>1750</v>
      </c>
      <c r="AY151" s="275" t="s">
        <v>1750</v>
      </c>
      <c r="AZ151" s="275" t="s">
        <v>1750</v>
      </c>
      <c r="BA151" s="275" t="s">
        <v>1750</v>
      </c>
      <c r="BB151" s="275" t="s">
        <v>1750</v>
      </c>
      <c r="BC151" s="275" t="s">
        <v>1750</v>
      </c>
      <c r="BD151" s="275" t="s">
        <v>1750</v>
      </c>
      <c r="BE151" s="275" t="s">
        <v>1750</v>
      </c>
      <c r="BF151" s="275" t="s">
        <v>1750</v>
      </c>
      <c r="BG151" s="275" t="s">
        <v>1750</v>
      </c>
      <c r="BH151" s="275" t="s">
        <v>1750</v>
      </c>
      <c r="BI151" s="275" t="s">
        <v>1750</v>
      </c>
      <c r="BJ151" s="275" t="s">
        <v>1750</v>
      </c>
      <c r="BK151" s="275" t="s">
        <v>1750</v>
      </c>
      <c r="BL151" s="275" t="s">
        <v>1750</v>
      </c>
      <c r="BM151" s="275" t="s">
        <v>1750</v>
      </c>
      <c r="BN151" s="275" t="s">
        <v>1750</v>
      </c>
      <c r="BO151" s="275" t="s">
        <v>1750</v>
      </c>
      <c r="BP151" s="275" t="s">
        <v>1751</v>
      </c>
      <c r="BQ151" s="275" t="s">
        <v>1750</v>
      </c>
      <c r="BR151" s="275" t="s">
        <v>1750</v>
      </c>
      <c r="BS151" s="275" t="s">
        <v>1750</v>
      </c>
    </row>
    <row r="152" spans="1:71" x14ac:dyDescent="0.3">
      <c r="A152" s="275">
        <v>502</v>
      </c>
      <c r="B152" s="275">
        <v>502</v>
      </c>
      <c r="C152" s="275" t="s">
        <v>186</v>
      </c>
      <c r="D152" s="275" t="s">
        <v>469</v>
      </c>
      <c r="E152" s="1112">
        <v>2497320</v>
      </c>
      <c r="F152" s="1112">
        <v>186544</v>
      </c>
      <c r="G152" s="1112">
        <v>303878</v>
      </c>
      <c r="H152" s="1112">
        <v>14284908</v>
      </c>
      <c r="I152" s="275" t="s">
        <v>1750</v>
      </c>
      <c r="J152" s="1112">
        <v>256596</v>
      </c>
      <c r="K152" s="1112">
        <v>3547199</v>
      </c>
      <c r="L152" s="1112">
        <v>153338</v>
      </c>
      <c r="M152" s="1112">
        <v>76741233</v>
      </c>
      <c r="N152" s="275" t="s">
        <v>1750</v>
      </c>
      <c r="O152" s="1112">
        <v>8028910</v>
      </c>
      <c r="P152" s="275" t="s">
        <v>1750</v>
      </c>
      <c r="Q152" s="1112">
        <v>12077828</v>
      </c>
      <c r="R152" s="1112">
        <v>83705511</v>
      </c>
      <c r="S152" s="275" t="s">
        <v>1750</v>
      </c>
      <c r="T152" s="1112">
        <v>143297</v>
      </c>
      <c r="U152" s="1112">
        <v>1307041</v>
      </c>
      <c r="V152" s="1112">
        <v>762703</v>
      </c>
      <c r="W152" s="1112">
        <v>85017</v>
      </c>
      <c r="X152" s="1112">
        <v>37175</v>
      </c>
      <c r="Y152" s="1112">
        <v>7300597</v>
      </c>
      <c r="Z152" s="275" t="s">
        <v>1750</v>
      </c>
      <c r="AA152" s="1112">
        <v>345812</v>
      </c>
      <c r="AB152" s="1112">
        <v>65775</v>
      </c>
      <c r="AC152" s="1112">
        <v>1577628</v>
      </c>
      <c r="AD152" s="1112">
        <v>1269115</v>
      </c>
      <c r="AE152" s="1112">
        <v>139461</v>
      </c>
      <c r="AF152" s="275" t="s">
        <v>1750</v>
      </c>
      <c r="AG152" s="275" t="s">
        <v>1750</v>
      </c>
      <c r="AH152" s="1112">
        <v>1182149</v>
      </c>
      <c r="AI152" s="1112">
        <v>1548360</v>
      </c>
      <c r="AJ152" s="1112">
        <v>538597</v>
      </c>
      <c r="AK152" s="1112">
        <v>11367269</v>
      </c>
      <c r="AL152" s="275" t="s">
        <v>1750</v>
      </c>
      <c r="AM152" s="275" t="s">
        <v>1750</v>
      </c>
      <c r="AN152" s="1112">
        <v>1090296</v>
      </c>
      <c r="AO152" s="1112">
        <v>1635615</v>
      </c>
      <c r="AP152" s="1112">
        <v>980404</v>
      </c>
      <c r="AQ152" s="275" t="s">
        <v>1750</v>
      </c>
      <c r="AR152" s="275" t="s">
        <v>1750</v>
      </c>
      <c r="AS152" s="1112">
        <v>720895</v>
      </c>
      <c r="AT152" s="1112">
        <v>181137</v>
      </c>
      <c r="AU152" s="1112">
        <v>1473878</v>
      </c>
      <c r="AV152" s="275" t="s">
        <v>1750</v>
      </c>
      <c r="AW152" s="1112">
        <v>970591</v>
      </c>
      <c r="AX152" s="1112">
        <v>253721</v>
      </c>
      <c r="AY152" s="1112">
        <v>2577466</v>
      </c>
      <c r="AZ152" s="1112">
        <v>86337</v>
      </c>
      <c r="BA152" s="275" t="s">
        <v>1750</v>
      </c>
      <c r="BB152" s="1112">
        <v>264764</v>
      </c>
      <c r="BC152" s="1112">
        <v>519438</v>
      </c>
      <c r="BD152" s="275" t="s">
        <v>1750</v>
      </c>
      <c r="BE152" s="275" t="s">
        <v>1750</v>
      </c>
      <c r="BF152" s="1112">
        <v>13505752</v>
      </c>
      <c r="BG152" s="1112">
        <v>691348</v>
      </c>
      <c r="BH152" s="1112">
        <v>1984946</v>
      </c>
      <c r="BI152" s="1112">
        <v>642843</v>
      </c>
      <c r="BJ152" s="1112">
        <v>117082</v>
      </c>
      <c r="BK152" s="1112">
        <v>590213</v>
      </c>
      <c r="BL152" s="1112">
        <v>54892</v>
      </c>
      <c r="BM152" s="1112">
        <v>152418</v>
      </c>
      <c r="BN152" s="1112">
        <v>418692</v>
      </c>
      <c r="BO152" s="1112">
        <v>977084</v>
      </c>
      <c r="BP152" s="1112">
        <v>2415505</v>
      </c>
      <c r="BQ152" s="1112">
        <v>75471616</v>
      </c>
      <c r="BR152" s="1112">
        <v>752765</v>
      </c>
      <c r="BS152" s="1112">
        <v>819692</v>
      </c>
    </row>
    <row r="153" spans="1:71" x14ac:dyDescent="0.3">
      <c r="A153" s="275">
        <v>503</v>
      </c>
      <c r="B153" s="275">
        <v>503</v>
      </c>
      <c r="C153" s="275" t="s">
        <v>187</v>
      </c>
      <c r="D153" s="275" t="s">
        <v>470</v>
      </c>
      <c r="E153" s="1112">
        <v>109449</v>
      </c>
      <c r="F153" s="1112">
        <v>241699</v>
      </c>
      <c r="G153" s="1112">
        <v>6414</v>
      </c>
      <c r="H153" s="1112">
        <v>1137461</v>
      </c>
      <c r="I153" s="275">
        <v>0</v>
      </c>
      <c r="J153" s="1112">
        <v>62207</v>
      </c>
      <c r="K153" s="1112">
        <v>788918</v>
      </c>
      <c r="L153" s="1112">
        <v>13300</v>
      </c>
      <c r="M153" s="1112">
        <v>1485997</v>
      </c>
      <c r="N153" s="275">
        <v>0</v>
      </c>
      <c r="O153" s="1112">
        <v>364004</v>
      </c>
      <c r="P153" s="275">
        <v>0</v>
      </c>
      <c r="Q153" s="275">
        <v>0</v>
      </c>
      <c r="R153" s="1112">
        <v>4628303</v>
      </c>
      <c r="S153" s="275">
        <v>0</v>
      </c>
      <c r="T153" s="275">
        <v>0</v>
      </c>
      <c r="U153" s="1112">
        <v>11203</v>
      </c>
      <c r="V153" s="1112">
        <v>36620</v>
      </c>
      <c r="W153" s="1112">
        <v>26648</v>
      </c>
      <c r="X153" s="275">
        <v>0</v>
      </c>
      <c r="Y153" s="1112">
        <v>213088</v>
      </c>
      <c r="Z153" s="275">
        <v>0</v>
      </c>
      <c r="AA153" s="1112">
        <v>23759</v>
      </c>
      <c r="AB153" s="275">
        <v>0</v>
      </c>
      <c r="AC153" s="275">
        <v>0</v>
      </c>
      <c r="AD153" s="1112">
        <v>42795</v>
      </c>
      <c r="AE153" s="275">
        <v>0</v>
      </c>
      <c r="AF153" s="275">
        <v>0</v>
      </c>
      <c r="AG153" s="275">
        <v>0</v>
      </c>
      <c r="AH153" s="1112">
        <v>312748</v>
      </c>
      <c r="AI153" s="1112">
        <v>234467</v>
      </c>
      <c r="AJ153" s="1112">
        <v>239235</v>
      </c>
      <c r="AK153" s="1112">
        <v>3003952</v>
      </c>
      <c r="AL153" s="275">
        <v>0</v>
      </c>
      <c r="AM153" s="275">
        <v>0</v>
      </c>
      <c r="AN153" s="1112">
        <v>263181</v>
      </c>
      <c r="AO153" s="275">
        <v>0</v>
      </c>
      <c r="AP153" s="1112">
        <v>1732367</v>
      </c>
      <c r="AQ153" s="275">
        <v>0</v>
      </c>
      <c r="AR153" s="1112">
        <v>63580</v>
      </c>
      <c r="AS153" s="1112">
        <v>111586</v>
      </c>
      <c r="AT153" s="275">
        <v>0</v>
      </c>
      <c r="AU153" s="1112">
        <v>1515</v>
      </c>
      <c r="AV153" s="275">
        <v>0</v>
      </c>
      <c r="AW153" s="1112">
        <v>158045</v>
      </c>
      <c r="AX153" s="1112">
        <v>72103</v>
      </c>
      <c r="AY153" s="1112">
        <v>365826</v>
      </c>
      <c r="AZ153" s="1112">
        <v>8690</v>
      </c>
      <c r="BA153" s="275">
        <v>0</v>
      </c>
      <c r="BB153" s="275">
        <v>0</v>
      </c>
      <c r="BC153" s="1112">
        <v>47000</v>
      </c>
      <c r="BD153" s="275">
        <v>0</v>
      </c>
      <c r="BE153" s="1112">
        <v>12140</v>
      </c>
      <c r="BF153" s="1112">
        <v>300163</v>
      </c>
      <c r="BG153" s="1112">
        <v>44713</v>
      </c>
      <c r="BH153" s="1112">
        <v>49634</v>
      </c>
      <c r="BI153" s="1112">
        <v>82311</v>
      </c>
      <c r="BJ153" s="1112">
        <v>18669</v>
      </c>
      <c r="BK153" s="1112">
        <v>32920</v>
      </c>
      <c r="BL153" s="275">
        <v>0</v>
      </c>
      <c r="BM153" s="275">
        <v>0</v>
      </c>
      <c r="BN153" s="1112">
        <v>449896</v>
      </c>
      <c r="BO153" s="1112">
        <v>15326</v>
      </c>
      <c r="BP153" s="1112">
        <v>120371</v>
      </c>
      <c r="BQ153" s="1112">
        <v>535884</v>
      </c>
      <c r="BR153" s="1112">
        <v>92987</v>
      </c>
      <c r="BS153" s="1112">
        <v>8000</v>
      </c>
    </row>
    <row r="154" spans="1:71" x14ac:dyDescent="0.3">
      <c r="A154" s="275">
        <v>504</v>
      </c>
      <c r="B154" s="275">
        <v>504</v>
      </c>
      <c r="C154" s="275" t="s">
        <v>191</v>
      </c>
      <c r="D154" s="275" t="s">
        <v>471</v>
      </c>
      <c r="E154" s="1112">
        <v>908604</v>
      </c>
      <c r="F154" s="1112">
        <v>177187</v>
      </c>
      <c r="G154" s="1112">
        <v>29152</v>
      </c>
      <c r="H154" s="1112">
        <v>1243810</v>
      </c>
      <c r="I154" s="1112">
        <v>17387</v>
      </c>
      <c r="J154" s="1112">
        <v>55624</v>
      </c>
      <c r="K154" s="1112">
        <v>261797</v>
      </c>
      <c r="L154" s="1112">
        <v>24198</v>
      </c>
      <c r="M154" s="1112">
        <v>2865322</v>
      </c>
      <c r="N154" s="275">
        <v>0</v>
      </c>
      <c r="O154" s="1112">
        <v>513962</v>
      </c>
      <c r="P154" s="1112">
        <v>154054</v>
      </c>
      <c r="Q154" s="1112">
        <v>1799493</v>
      </c>
      <c r="R154" s="1112">
        <v>4216942</v>
      </c>
      <c r="S154" s="275">
        <v>0</v>
      </c>
      <c r="T154" s="1112">
        <v>36398</v>
      </c>
      <c r="U154" s="1112">
        <v>1160384</v>
      </c>
      <c r="V154" s="1112">
        <v>66614</v>
      </c>
      <c r="W154" s="1112">
        <v>108553</v>
      </c>
      <c r="X154" s="1112">
        <v>10917</v>
      </c>
      <c r="Y154" s="1112">
        <v>548804</v>
      </c>
      <c r="Z154" s="1112">
        <v>54372</v>
      </c>
      <c r="AA154" s="1112">
        <v>17407</v>
      </c>
      <c r="AB154" s="1112">
        <v>196748</v>
      </c>
      <c r="AC154" s="1112">
        <v>2077878</v>
      </c>
      <c r="AD154" s="1112">
        <v>83168</v>
      </c>
      <c r="AE154" s="1112">
        <v>8291</v>
      </c>
      <c r="AF154" s="1112">
        <v>32082</v>
      </c>
      <c r="AG154" s="1112">
        <v>2532</v>
      </c>
      <c r="AH154" s="1112">
        <v>1025486</v>
      </c>
      <c r="AI154" s="1112">
        <v>215366</v>
      </c>
      <c r="AJ154" s="1112">
        <v>74671</v>
      </c>
      <c r="AK154" s="1112">
        <v>853779</v>
      </c>
      <c r="AL154" s="275">
        <v>0</v>
      </c>
      <c r="AM154" s="1112">
        <v>38021</v>
      </c>
      <c r="AN154" s="1112">
        <v>364775</v>
      </c>
      <c r="AO154" s="1112">
        <v>63191</v>
      </c>
      <c r="AP154" s="1112">
        <v>352260</v>
      </c>
      <c r="AQ154" s="1112">
        <v>7000</v>
      </c>
      <c r="AR154" s="1112">
        <v>115803</v>
      </c>
      <c r="AS154" s="1112">
        <v>145225</v>
      </c>
      <c r="AT154" s="1112">
        <v>63338</v>
      </c>
      <c r="AU154" s="1112">
        <v>90375</v>
      </c>
      <c r="AV154" s="275">
        <v>0</v>
      </c>
      <c r="AW154" s="1112">
        <v>100706</v>
      </c>
      <c r="AX154" s="1112">
        <v>62868</v>
      </c>
      <c r="AY154" s="1112">
        <v>386943</v>
      </c>
      <c r="AZ154" s="275">
        <v>0</v>
      </c>
      <c r="BA154" s="1112">
        <v>125779</v>
      </c>
      <c r="BB154" s="1112">
        <v>2377270</v>
      </c>
      <c r="BC154" s="1112">
        <v>237818</v>
      </c>
      <c r="BD154" s="1112">
        <v>6267</v>
      </c>
      <c r="BE154" s="1112">
        <v>55008</v>
      </c>
      <c r="BF154" s="1112">
        <v>635293</v>
      </c>
      <c r="BG154" s="1112">
        <v>37953</v>
      </c>
      <c r="BH154" s="1112">
        <v>125423</v>
      </c>
      <c r="BI154" s="1112">
        <v>363401</v>
      </c>
      <c r="BJ154" s="1112">
        <v>203112</v>
      </c>
      <c r="BK154" s="1112">
        <v>90990</v>
      </c>
      <c r="BL154" s="1112">
        <v>14869</v>
      </c>
      <c r="BM154" s="1112">
        <v>34797</v>
      </c>
      <c r="BN154" s="1112">
        <v>73255</v>
      </c>
      <c r="BO154" s="1112">
        <v>70667</v>
      </c>
      <c r="BP154" s="1112">
        <v>125106</v>
      </c>
      <c r="BQ154" s="1112">
        <v>2816435</v>
      </c>
      <c r="BR154" s="1112">
        <v>254656</v>
      </c>
      <c r="BS154" s="1112">
        <v>779703</v>
      </c>
    </row>
    <row r="155" spans="1:71" x14ac:dyDescent="0.3">
      <c r="A155" s="275">
        <v>505</v>
      </c>
      <c r="B155" s="275">
        <v>505</v>
      </c>
      <c r="C155" s="275" t="s">
        <v>192</v>
      </c>
      <c r="D155" s="275" t="s">
        <v>472</v>
      </c>
      <c r="E155" s="275">
        <v>0</v>
      </c>
      <c r="F155" s="275">
        <v>0</v>
      </c>
      <c r="G155" s="275">
        <v>0</v>
      </c>
      <c r="H155" s="1112">
        <v>15968</v>
      </c>
      <c r="I155" s="275">
        <v>0</v>
      </c>
      <c r="J155" s="275">
        <v>0</v>
      </c>
      <c r="K155" s="1112">
        <v>98381</v>
      </c>
      <c r="L155" s="275">
        <v>0</v>
      </c>
      <c r="M155" s="1112">
        <v>65951989</v>
      </c>
      <c r="N155" s="275">
        <v>0</v>
      </c>
      <c r="O155" s="1112">
        <v>137196</v>
      </c>
      <c r="P155" s="275">
        <v>0</v>
      </c>
      <c r="Q155" s="1112">
        <v>708526</v>
      </c>
      <c r="R155" s="1112">
        <v>5902382</v>
      </c>
      <c r="S155" s="275">
        <v>0</v>
      </c>
      <c r="T155" s="275">
        <v>0</v>
      </c>
      <c r="U155" s="275">
        <v>0</v>
      </c>
      <c r="V155" s="275">
        <v>0</v>
      </c>
      <c r="W155" s="275">
        <v>0</v>
      </c>
      <c r="X155" s="275">
        <v>0</v>
      </c>
      <c r="Y155" s="1112">
        <v>841300</v>
      </c>
      <c r="Z155" s="275">
        <v>0</v>
      </c>
      <c r="AA155" s="1112">
        <v>100000</v>
      </c>
      <c r="AB155" s="1112">
        <v>269935</v>
      </c>
      <c r="AC155" s="1112">
        <v>143100</v>
      </c>
      <c r="AD155" s="1112">
        <v>176015</v>
      </c>
      <c r="AE155" s="275">
        <v>0</v>
      </c>
      <c r="AF155" s="275">
        <v>0</v>
      </c>
      <c r="AG155" s="275">
        <v>0</v>
      </c>
      <c r="AH155" s="1112">
        <v>102640</v>
      </c>
      <c r="AI155" s="275">
        <v>0</v>
      </c>
      <c r="AJ155" s="275">
        <v>0</v>
      </c>
      <c r="AK155" s="275">
        <v>0</v>
      </c>
      <c r="AL155" s="275">
        <v>0</v>
      </c>
      <c r="AM155" s="275">
        <v>0</v>
      </c>
      <c r="AN155" s="1112">
        <v>107592</v>
      </c>
      <c r="AO155" s="275">
        <v>0</v>
      </c>
      <c r="AP155" s="275">
        <v>0</v>
      </c>
      <c r="AQ155" s="275">
        <v>0</v>
      </c>
      <c r="AR155" s="275">
        <v>0</v>
      </c>
      <c r="AS155" s="275">
        <v>0</v>
      </c>
      <c r="AT155" s="275">
        <v>0</v>
      </c>
      <c r="AU155" s="275">
        <v>0</v>
      </c>
      <c r="AV155" s="275">
        <v>0</v>
      </c>
      <c r="AW155" s="1112">
        <v>1465264</v>
      </c>
      <c r="AX155" s="1112">
        <v>85224</v>
      </c>
      <c r="AY155" s="1112">
        <v>260798</v>
      </c>
      <c r="AZ155" s="1112">
        <v>3772</v>
      </c>
      <c r="BA155" s="275">
        <v>0</v>
      </c>
      <c r="BB155" s="1112">
        <v>4048</v>
      </c>
      <c r="BC155" s="1112">
        <v>49130</v>
      </c>
      <c r="BD155" s="275">
        <v>0</v>
      </c>
      <c r="BE155" s="275">
        <v>0</v>
      </c>
      <c r="BF155" s="1112">
        <v>94648</v>
      </c>
      <c r="BG155" s="275">
        <v>0</v>
      </c>
      <c r="BH155" s="1112">
        <v>68226</v>
      </c>
      <c r="BI155" s="1112">
        <v>62173</v>
      </c>
      <c r="BJ155" s="275">
        <v>0</v>
      </c>
      <c r="BK155" s="1112">
        <v>38118</v>
      </c>
      <c r="BL155" s="275">
        <v>0</v>
      </c>
      <c r="BM155" s="275">
        <v>0</v>
      </c>
      <c r="BN155" s="1112">
        <v>26080</v>
      </c>
      <c r="BO155" s="275">
        <v>0</v>
      </c>
      <c r="BP155" s="275">
        <v>0</v>
      </c>
      <c r="BQ155" s="275">
        <v>0</v>
      </c>
      <c r="BR155" s="1112">
        <v>24298</v>
      </c>
      <c r="BS155" s="1112">
        <v>1875673</v>
      </c>
    </row>
    <row r="156" spans="1:71" x14ac:dyDescent="0.3">
      <c r="A156" s="275">
        <v>506</v>
      </c>
      <c r="B156" s="275">
        <v>506</v>
      </c>
      <c r="C156" s="275" t="s">
        <v>198</v>
      </c>
      <c r="D156" s="275" t="s">
        <v>473</v>
      </c>
      <c r="E156" s="1112">
        <v>3230045</v>
      </c>
      <c r="F156" s="1112">
        <v>1188182</v>
      </c>
      <c r="G156" s="1112">
        <v>2323492</v>
      </c>
      <c r="H156" s="1112">
        <v>6258917</v>
      </c>
      <c r="I156" s="1112">
        <v>474714</v>
      </c>
      <c r="J156" s="1112">
        <v>626923</v>
      </c>
      <c r="K156" s="1112">
        <v>4091041</v>
      </c>
      <c r="L156" s="1112">
        <v>250636</v>
      </c>
      <c r="M156" s="1112">
        <v>38472086</v>
      </c>
      <c r="N156" s="1112">
        <v>85027</v>
      </c>
      <c r="O156" s="1112">
        <v>8394003</v>
      </c>
      <c r="P156" s="1112">
        <v>1007256</v>
      </c>
      <c r="Q156" s="1112">
        <v>20294543</v>
      </c>
      <c r="R156" s="1112">
        <v>69428779</v>
      </c>
      <c r="S156" s="275" t="s">
        <v>1750</v>
      </c>
      <c r="T156" s="1112">
        <v>687839</v>
      </c>
      <c r="U156" s="1112">
        <v>3421061</v>
      </c>
      <c r="V156" s="1112">
        <v>868703</v>
      </c>
      <c r="W156" s="1112">
        <v>326090</v>
      </c>
      <c r="X156" s="1112">
        <v>311174</v>
      </c>
      <c r="Y156" s="1112">
        <v>1331368</v>
      </c>
      <c r="Z156" s="1112">
        <v>330023</v>
      </c>
      <c r="AA156" s="1112">
        <v>781479</v>
      </c>
      <c r="AB156" s="1112">
        <v>636450</v>
      </c>
      <c r="AC156" s="1112">
        <v>5102072</v>
      </c>
      <c r="AD156" s="1112">
        <v>2201477</v>
      </c>
      <c r="AE156" s="1112">
        <v>55552</v>
      </c>
      <c r="AF156" s="1112">
        <v>171914</v>
      </c>
      <c r="AG156" s="1112">
        <v>151479</v>
      </c>
      <c r="AH156" s="1112">
        <v>3771441</v>
      </c>
      <c r="AI156" s="1112">
        <v>8111894</v>
      </c>
      <c r="AJ156" s="1112">
        <v>973235</v>
      </c>
      <c r="AK156" s="1112">
        <v>4187608</v>
      </c>
      <c r="AL156" s="275" t="s">
        <v>1750</v>
      </c>
      <c r="AM156" s="1112">
        <v>76890</v>
      </c>
      <c r="AN156" s="1112">
        <v>1944992</v>
      </c>
      <c r="AO156" s="1112">
        <v>2363034</v>
      </c>
      <c r="AP156" s="1112">
        <v>1678114</v>
      </c>
      <c r="AQ156" s="1112">
        <v>294085</v>
      </c>
      <c r="AR156" s="1112">
        <v>1223361</v>
      </c>
      <c r="AS156" s="1112">
        <v>999938</v>
      </c>
      <c r="AT156" s="1112">
        <v>3382596</v>
      </c>
      <c r="AU156" s="1112">
        <v>2245709</v>
      </c>
      <c r="AV156" s="275" t="s">
        <v>1750</v>
      </c>
      <c r="AW156" s="1112">
        <v>3774472</v>
      </c>
      <c r="AX156" s="1112">
        <v>738361</v>
      </c>
      <c r="AY156" s="1112">
        <v>5595162</v>
      </c>
      <c r="AZ156" s="1112">
        <v>24052</v>
      </c>
      <c r="BA156" s="1112">
        <v>435723</v>
      </c>
      <c r="BB156" s="1112">
        <v>910919</v>
      </c>
      <c r="BC156" s="1112">
        <v>1011570</v>
      </c>
      <c r="BD156" s="1112">
        <v>798984</v>
      </c>
      <c r="BE156" s="1112">
        <v>292826</v>
      </c>
      <c r="BF156" s="1112">
        <v>12363329</v>
      </c>
      <c r="BG156" s="1112">
        <v>566527</v>
      </c>
      <c r="BH156" s="1112">
        <v>235660</v>
      </c>
      <c r="BI156" s="1112">
        <v>3726384</v>
      </c>
      <c r="BJ156" s="1112">
        <v>555063</v>
      </c>
      <c r="BK156" s="1112">
        <v>777769</v>
      </c>
      <c r="BL156" s="1112">
        <v>598177</v>
      </c>
      <c r="BM156" s="1112">
        <v>1093895</v>
      </c>
      <c r="BN156" s="1112">
        <v>2406472</v>
      </c>
      <c r="BO156" s="1112">
        <v>732108</v>
      </c>
      <c r="BP156" s="1112">
        <v>3679251</v>
      </c>
      <c r="BQ156" s="1112">
        <v>27764308</v>
      </c>
      <c r="BR156" s="1112">
        <v>1287309</v>
      </c>
      <c r="BS156" s="1112">
        <v>6509331</v>
      </c>
    </row>
    <row r="157" spans="1:71" x14ac:dyDescent="0.3">
      <c r="A157" s="275">
        <v>507</v>
      </c>
      <c r="B157" s="275">
        <v>507</v>
      </c>
      <c r="C157" s="275" t="s">
        <v>216</v>
      </c>
      <c r="D157" s="275" t="s">
        <v>474</v>
      </c>
      <c r="E157" s="275">
        <v>0</v>
      </c>
      <c r="F157" s="275">
        <v>0</v>
      </c>
      <c r="G157" s="275">
        <v>0</v>
      </c>
      <c r="H157" s="275">
        <v>0</v>
      </c>
      <c r="I157" s="1112">
        <v>50100</v>
      </c>
      <c r="J157" s="275">
        <v>0</v>
      </c>
      <c r="K157" s="275">
        <v>0</v>
      </c>
      <c r="L157" s="275">
        <v>0</v>
      </c>
      <c r="M157" s="275">
        <v>0</v>
      </c>
      <c r="N157" s="275">
        <v>0</v>
      </c>
      <c r="O157" s="275">
        <v>0</v>
      </c>
      <c r="P157" s="275">
        <v>-1</v>
      </c>
      <c r="Q157" s="275">
        <v>0</v>
      </c>
      <c r="R157" s="275">
        <v>1</v>
      </c>
      <c r="S157" s="275">
        <v>0</v>
      </c>
      <c r="T157" s="275">
        <v>0</v>
      </c>
      <c r="U157" s="275">
        <v>0</v>
      </c>
      <c r="V157" s="275">
        <v>0</v>
      </c>
      <c r="W157" s="1112">
        <v>-83989</v>
      </c>
      <c r="X157" s="275">
        <v>0</v>
      </c>
      <c r="Y157" s="275">
        <v>0</v>
      </c>
      <c r="Z157" s="275">
        <v>0</v>
      </c>
      <c r="AA157" s="275">
        <v>0</v>
      </c>
      <c r="AB157" s="275">
        <v>0</v>
      </c>
      <c r="AC157" s="275">
        <v>0</v>
      </c>
      <c r="AD157" s="275">
        <v>0</v>
      </c>
      <c r="AE157" s="1112">
        <v>4751</v>
      </c>
      <c r="AF157" s="275">
        <v>0</v>
      </c>
      <c r="AG157" s="275">
        <v>0</v>
      </c>
      <c r="AH157" s="275">
        <v>0</v>
      </c>
      <c r="AI157" s="275">
        <v>0</v>
      </c>
      <c r="AJ157" s="275">
        <v>0</v>
      </c>
      <c r="AK157" s="275">
        <v>0</v>
      </c>
      <c r="AL157" s="275">
        <v>0</v>
      </c>
      <c r="AM157" s="275">
        <v>0</v>
      </c>
      <c r="AN157" s="275">
        <v>0</v>
      </c>
      <c r="AO157" s="275">
        <v>1</v>
      </c>
      <c r="AP157" s="275">
        <v>1</v>
      </c>
      <c r="AQ157" s="275">
        <v>0</v>
      </c>
      <c r="AR157" s="275">
        <v>0</v>
      </c>
      <c r="AS157" s="275">
        <v>0</v>
      </c>
      <c r="AT157" s="275">
        <v>0</v>
      </c>
      <c r="AU157" s="275">
        <v>0</v>
      </c>
      <c r="AV157" s="275">
        <v>0</v>
      </c>
      <c r="AW157" s="275">
        <v>0</v>
      </c>
      <c r="AX157" s="275">
        <v>0</v>
      </c>
      <c r="AY157" s="275">
        <v>0</v>
      </c>
      <c r="AZ157" s="275">
        <v>0</v>
      </c>
      <c r="BA157" s="275">
        <v>0</v>
      </c>
      <c r="BB157" s="275">
        <v>0</v>
      </c>
      <c r="BC157" s="275">
        <v>0</v>
      </c>
      <c r="BD157" s="275">
        <v>0</v>
      </c>
      <c r="BE157" s="275">
        <v>0</v>
      </c>
      <c r="BF157" s="275">
        <v>0</v>
      </c>
      <c r="BG157" s="275">
        <v>0</v>
      </c>
      <c r="BH157" s="275">
        <v>0</v>
      </c>
      <c r="BI157" s="275">
        <v>0</v>
      </c>
      <c r="BJ157" s="275">
        <v>0</v>
      </c>
      <c r="BK157" s="275">
        <v>0</v>
      </c>
      <c r="BL157" s="275">
        <v>0</v>
      </c>
      <c r="BM157" s="275">
        <v>0</v>
      </c>
      <c r="BN157" s="275">
        <v>0</v>
      </c>
      <c r="BO157" s="275">
        <v>0</v>
      </c>
      <c r="BP157" s="275">
        <v>0</v>
      </c>
      <c r="BQ157" s="275">
        <v>0</v>
      </c>
      <c r="BR157" s="275">
        <v>1</v>
      </c>
      <c r="BS157" s="275">
        <v>0</v>
      </c>
    </row>
    <row r="158" spans="1:71" x14ac:dyDescent="0.3">
      <c r="A158" s="275">
        <v>508</v>
      </c>
      <c r="B158" s="275">
        <v>508</v>
      </c>
      <c r="C158" s="275" t="s">
        <v>213</v>
      </c>
      <c r="D158" s="275" t="s">
        <v>475</v>
      </c>
      <c r="E158" s="275">
        <v>0</v>
      </c>
      <c r="F158" s="275">
        <v>0</v>
      </c>
      <c r="G158" s="275">
        <v>0</v>
      </c>
      <c r="H158" s="275">
        <v>0</v>
      </c>
      <c r="I158" s="275">
        <v>0</v>
      </c>
      <c r="J158" s="275">
        <v>0</v>
      </c>
      <c r="K158" s="275">
        <v>0</v>
      </c>
      <c r="L158" s="275">
        <v>0</v>
      </c>
      <c r="M158" s="275">
        <v>0</v>
      </c>
      <c r="N158" s="275">
        <v>0</v>
      </c>
      <c r="O158" s="275">
        <v>0</v>
      </c>
      <c r="P158" s="275">
        <v>0</v>
      </c>
      <c r="Q158" s="275">
        <v>0</v>
      </c>
      <c r="R158" s="275">
        <v>0</v>
      </c>
      <c r="S158" s="275">
        <v>0</v>
      </c>
      <c r="T158" s="275">
        <v>0</v>
      </c>
      <c r="U158" s="275">
        <v>0</v>
      </c>
      <c r="V158" s="275">
        <v>0</v>
      </c>
      <c r="W158" s="275">
        <v>0</v>
      </c>
      <c r="X158" s="275">
        <v>0</v>
      </c>
      <c r="Y158" s="275">
        <v>0</v>
      </c>
      <c r="Z158" s="275">
        <v>0</v>
      </c>
      <c r="AA158" s="275">
        <v>0</v>
      </c>
      <c r="AB158" s="275">
        <v>0</v>
      </c>
      <c r="AC158" s="275">
        <v>0</v>
      </c>
      <c r="AD158" s="275">
        <v>0</v>
      </c>
      <c r="AE158" s="275">
        <v>0</v>
      </c>
      <c r="AF158" s="275">
        <v>0</v>
      </c>
      <c r="AG158" s="275">
        <v>0</v>
      </c>
      <c r="AH158" s="275">
        <v>0</v>
      </c>
      <c r="AI158" s="275">
        <v>0</v>
      </c>
      <c r="AJ158" s="275">
        <v>0</v>
      </c>
      <c r="AK158" s="275">
        <v>0</v>
      </c>
      <c r="AL158" s="275">
        <v>0</v>
      </c>
      <c r="AM158" s="275">
        <v>0</v>
      </c>
      <c r="AN158" s="275">
        <v>0</v>
      </c>
      <c r="AO158" s="275">
        <v>0</v>
      </c>
      <c r="AP158" s="275">
        <v>0</v>
      </c>
      <c r="AQ158" s="275">
        <v>0</v>
      </c>
      <c r="AR158" s="275">
        <v>0</v>
      </c>
      <c r="AS158" s="275">
        <v>0</v>
      </c>
      <c r="AT158" s="275">
        <v>0</v>
      </c>
      <c r="AU158" s="275">
        <v>0</v>
      </c>
      <c r="AV158" s="275">
        <v>0</v>
      </c>
      <c r="AW158" s="275">
        <v>0</v>
      </c>
      <c r="AX158" s="275">
        <v>0</v>
      </c>
      <c r="AY158" s="275">
        <v>0</v>
      </c>
      <c r="AZ158" s="275">
        <v>0</v>
      </c>
      <c r="BA158" s="275">
        <v>0</v>
      </c>
      <c r="BB158" s="275">
        <v>0</v>
      </c>
      <c r="BC158" s="275">
        <v>0</v>
      </c>
      <c r="BD158" s="275">
        <v>0</v>
      </c>
      <c r="BE158" s="275">
        <v>0</v>
      </c>
      <c r="BF158" s="275">
        <v>0</v>
      </c>
      <c r="BG158" s="275">
        <v>0</v>
      </c>
      <c r="BH158" s="275">
        <v>0</v>
      </c>
      <c r="BI158" s="275">
        <v>0</v>
      </c>
      <c r="BJ158" s="275">
        <v>0</v>
      </c>
      <c r="BK158" s="275">
        <v>0</v>
      </c>
      <c r="BL158" s="275">
        <v>0</v>
      </c>
      <c r="BM158" s="275">
        <v>0</v>
      </c>
      <c r="BN158" s="275">
        <v>0</v>
      </c>
      <c r="BO158" s="275">
        <v>0</v>
      </c>
      <c r="BP158" s="275">
        <v>0</v>
      </c>
      <c r="BQ158" s="275">
        <v>0</v>
      </c>
      <c r="BR158" s="275">
        <v>0</v>
      </c>
      <c r="BS158" s="275">
        <v>0</v>
      </c>
    </row>
    <row r="159" spans="1:71" x14ac:dyDescent="0.3">
      <c r="A159" s="275">
        <v>509</v>
      </c>
      <c r="B159" s="275">
        <v>509</v>
      </c>
      <c r="C159" s="275" t="s">
        <v>214</v>
      </c>
      <c r="D159" s="275" t="s">
        <v>476</v>
      </c>
      <c r="E159" s="275">
        <v>0</v>
      </c>
      <c r="F159" s="275">
        <v>0</v>
      </c>
      <c r="G159" s="275">
        <v>0</v>
      </c>
      <c r="H159" s="275">
        <v>0</v>
      </c>
      <c r="I159" s="275">
        <v>0</v>
      </c>
      <c r="J159" s="275">
        <v>0</v>
      </c>
      <c r="K159" s="275">
        <v>0</v>
      </c>
      <c r="L159" s="275">
        <v>0</v>
      </c>
      <c r="M159" s="275">
        <v>0</v>
      </c>
      <c r="N159" s="275">
        <v>0</v>
      </c>
      <c r="O159" s="275">
        <v>0</v>
      </c>
      <c r="P159" s="275">
        <v>0</v>
      </c>
      <c r="Q159" s="275">
        <v>0</v>
      </c>
      <c r="R159" s="275">
        <v>0</v>
      </c>
      <c r="S159" s="275">
        <v>0</v>
      </c>
      <c r="T159" s="275">
        <v>0</v>
      </c>
      <c r="U159" s="275">
        <v>0</v>
      </c>
      <c r="V159" s="275">
        <v>0</v>
      </c>
      <c r="W159" s="275">
        <v>0</v>
      </c>
      <c r="X159" s="275">
        <v>0</v>
      </c>
      <c r="Y159" s="275" t="s">
        <v>1751</v>
      </c>
      <c r="Z159" s="275">
        <v>0</v>
      </c>
      <c r="AA159" s="275">
        <v>0</v>
      </c>
      <c r="AB159" s="275">
        <v>0</v>
      </c>
      <c r="AC159" s="275">
        <v>0</v>
      </c>
      <c r="AD159" s="275">
        <v>0</v>
      </c>
      <c r="AE159" s="275">
        <v>0</v>
      </c>
      <c r="AF159" s="275">
        <v>0</v>
      </c>
      <c r="AG159" s="275">
        <v>0</v>
      </c>
      <c r="AH159" s="275">
        <v>0</v>
      </c>
      <c r="AI159" s="275">
        <v>0</v>
      </c>
      <c r="AJ159" s="275">
        <v>0</v>
      </c>
      <c r="AK159" s="275">
        <v>0</v>
      </c>
      <c r="AL159" s="275">
        <v>0</v>
      </c>
      <c r="AM159" s="275">
        <v>0</v>
      </c>
      <c r="AN159" s="275">
        <v>0</v>
      </c>
      <c r="AO159" s="275">
        <v>0</v>
      </c>
      <c r="AP159" s="275">
        <v>0</v>
      </c>
      <c r="AQ159" s="275">
        <v>0</v>
      </c>
      <c r="AR159" s="275">
        <v>0</v>
      </c>
      <c r="AS159" s="275">
        <v>0</v>
      </c>
      <c r="AT159" s="275">
        <v>0</v>
      </c>
      <c r="AU159" s="275">
        <v>0</v>
      </c>
      <c r="AV159" s="275">
        <v>0</v>
      </c>
      <c r="AW159" s="275">
        <v>0</v>
      </c>
      <c r="AX159" s="275">
        <v>0</v>
      </c>
      <c r="AY159" s="275">
        <v>0</v>
      </c>
      <c r="AZ159" s="275">
        <v>0</v>
      </c>
      <c r="BA159" s="275">
        <v>0</v>
      </c>
      <c r="BB159" s="275">
        <v>0</v>
      </c>
      <c r="BC159" s="275">
        <v>0</v>
      </c>
      <c r="BD159" s="275">
        <v>0</v>
      </c>
      <c r="BE159" s="275">
        <v>0</v>
      </c>
      <c r="BF159" s="275">
        <v>0</v>
      </c>
      <c r="BG159" s="275">
        <v>0</v>
      </c>
      <c r="BH159" s="275">
        <v>0</v>
      </c>
      <c r="BI159" s="275">
        <v>0</v>
      </c>
      <c r="BJ159" s="275">
        <v>0</v>
      </c>
      <c r="BK159" s="275">
        <v>0</v>
      </c>
      <c r="BL159" s="275">
        <v>0</v>
      </c>
      <c r="BM159" s="275">
        <v>0</v>
      </c>
      <c r="BN159" s="275">
        <v>0</v>
      </c>
      <c r="BO159" s="275">
        <v>0</v>
      </c>
      <c r="BP159" s="275" t="s">
        <v>1751</v>
      </c>
      <c r="BQ159" s="275">
        <v>0</v>
      </c>
      <c r="BR159" s="275">
        <v>0</v>
      </c>
      <c r="BS159" s="275">
        <v>0</v>
      </c>
    </row>
    <row r="160" spans="1:71" x14ac:dyDescent="0.3">
      <c r="A160" s="275">
        <v>510</v>
      </c>
      <c r="B160" s="275">
        <v>510</v>
      </c>
      <c r="C160" s="275" t="s">
        <v>220</v>
      </c>
      <c r="D160" s="275" t="s">
        <v>477</v>
      </c>
      <c r="E160" s="1112">
        <v>3638</v>
      </c>
      <c r="F160" s="275">
        <v>0</v>
      </c>
      <c r="G160" s="275">
        <v>0</v>
      </c>
      <c r="H160" s="1112">
        <v>367070</v>
      </c>
      <c r="I160" s="275">
        <v>0</v>
      </c>
      <c r="J160" s="275">
        <v>0</v>
      </c>
      <c r="K160" s="275">
        <v>0</v>
      </c>
      <c r="L160" s="275">
        <v>0</v>
      </c>
      <c r="M160" s="1112">
        <v>250434</v>
      </c>
      <c r="N160" s="275">
        <v>0</v>
      </c>
      <c r="O160" s="275">
        <v>50</v>
      </c>
      <c r="P160" s="275">
        <v>0</v>
      </c>
      <c r="Q160" s="1112">
        <v>994653</v>
      </c>
      <c r="R160" s="1112">
        <v>29808</v>
      </c>
      <c r="S160" s="275">
        <v>0</v>
      </c>
      <c r="T160" s="275">
        <v>0</v>
      </c>
      <c r="U160" s="1112">
        <v>19978</v>
      </c>
      <c r="V160" s="275">
        <v>0</v>
      </c>
      <c r="W160" s="275">
        <v>0</v>
      </c>
      <c r="X160" s="275">
        <v>0</v>
      </c>
      <c r="Y160" s="1112">
        <v>66291</v>
      </c>
      <c r="Z160" s="275">
        <v>0</v>
      </c>
      <c r="AA160" s="275">
        <v>0</v>
      </c>
      <c r="AB160" s="275">
        <v>0</v>
      </c>
      <c r="AC160" s="1112">
        <v>246062</v>
      </c>
      <c r="AD160" s="1112">
        <v>50923</v>
      </c>
      <c r="AE160" s="275">
        <v>0</v>
      </c>
      <c r="AF160" s="275">
        <v>0</v>
      </c>
      <c r="AG160" s="275">
        <v>0</v>
      </c>
      <c r="AH160" s="275">
        <v>0</v>
      </c>
      <c r="AI160" s="275">
        <v>0</v>
      </c>
      <c r="AJ160" s="275">
        <v>0</v>
      </c>
      <c r="AK160" s="1112">
        <v>165882</v>
      </c>
      <c r="AL160" s="275">
        <v>0</v>
      </c>
      <c r="AM160" s="275">
        <v>0</v>
      </c>
      <c r="AN160" s="1112">
        <v>227176</v>
      </c>
      <c r="AO160" s="275">
        <v>0</v>
      </c>
      <c r="AP160" s="275">
        <v>0</v>
      </c>
      <c r="AQ160" s="275">
        <v>0</v>
      </c>
      <c r="AR160" s="1112">
        <v>9130</v>
      </c>
      <c r="AS160" s="1112">
        <v>7597</v>
      </c>
      <c r="AT160" s="1112">
        <v>11100</v>
      </c>
      <c r="AU160" s="1112">
        <v>26407</v>
      </c>
      <c r="AV160" s="275">
        <v>0</v>
      </c>
      <c r="AW160" s="1112">
        <v>59267</v>
      </c>
      <c r="AX160" s="1112">
        <v>4000</v>
      </c>
      <c r="AY160" s="1112">
        <v>116716</v>
      </c>
      <c r="AZ160" s="275">
        <v>0</v>
      </c>
      <c r="BA160" s="275">
        <v>0</v>
      </c>
      <c r="BB160" s="275">
        <v>0</v>
      </c>
      <c r="BC160" s="1112">
        <v>2011</v>
      </c>
      <c r="BD160" s="275">
        <v>0</v>
      </c>
      <c r="BE160" s="275">
        <v>0</v>
      </c>
      <c r="BF160" s="1112">
        <v>606528</v>
      </c>
      <c r="BG160" s="275">
        <v>0</v>
      </c>
      <c r="BH160" s="275">
        <v>0</v>
      </c>
      <c r="BI160" s="275">
        <v>0</v>
      </c>
      <c r="BJ160" s="275">
        <v>0</v>
      </c>
      <c r="BK160" s="275">
        <v>842</v>
      </c>
      <c r="BL160" s="275">
        <v>0</v>
      </c>
      <c r="BM160" s="275">
        <v>0</v>
      </c>
      <c r="BN160" s="1112">
        <v>55449</v>
      </c>
      <c r="BO160" s="275">
        <v>0</v>
      </c>
      <c r="BP160" s="275">
        <v>0</v>
      </c>
      <c r="BQ160" s="1112">
        <v>1427319</v>
      </c>
      <c r="BR160" s="1112">
        <v>70170</v>
      </c>
      <c r="BS160" s="275">
        <v>0</v>
      </c>
    </row>
    <row r="161" spans="1:71" x14ac:dyDescent="0.3">
      <c r="A161" s="275">
        <v>511</v>
      </c>
      <c r="B161" s="275">
        <v>511</v>
      </c>
      <c r="C161" s="275" t="s">
        <v>225</v>
      </c>
      <c r="D161" s="275" t="s">
        <v>478</v>
      </c>
      <c r="E161" s="275">
        <v>0</v>
      </c>
      <c r="F161" s="275">
        <v>0</v>
      </c>
      <c r="G161" s="275">
        <v>0</v>
      </c>
      <c r="H161" s="1112">
        <v>2159064</v>
      </c>
      <c r="I161" s="275">
        <v>0</v>
      </c>
      <c r="J161" s="275">
        <v>0</v>
      </c>
      <c r="K161" s="275">
        <v>0</v>
      </c>
      <c r="L161" s="275">
        <v>0</v>
      </c>
      <c r="M161" s="1112">
        <v>1680804</v>
      </c>
      <c r="N161" s="275">
        <v>0</v>
      </c>
      <c r="O161" s="275">
        <v>0</v>
      </c>
      <c r="P161" s="275">
        <v>0</v>
      </c>
      <c r="Q161" s="275">
        <v>0</v>
      </c>
      <c r="R161" s="275">
        <v>0</v>
      </c>
      <c r="S161" s="275">
        <v>0</v>
      </c>
      <c r="T161" s="275">
        <v>0</v>
      </c>
      <c r="U161" s="275">
        <v>0</v>
      </c>
      <c r="V161" s="275">
        <v>0</v>
      </c>
      <c r="W161" s="275">
        <v>0</v>
      </c>
      <c r="X161" s="275">
        <v>0</v>
      </c>
      <c r="Y161" s="1112">
        <v>90776</v>
      </c>
      <c r="Z161" s="275">
        <v>0</v>
      </c>
      <c r="AA161" s="275">
        <v>0</v>
      </c>
      <c r="AB161" s="275">
        <v>0</v>
      </c>
      <c r="AC161" s="275">
        <v>0</v>
      </c>
      <c r="AD161" s="275">
        <v>0</v>
      </c>
      <c r="AE161" s="275">
        <v>0</v>
      </c>
      <c r="AF161" s="275">
        <v>0</v>
      </c>
      <c r="AG161" s="275">
        <v>0</v>
      </c>
      <c r="AH161" s="275">
        <v>0</v>
      </c>
      <c r="AI161" s="275">
        <v>0</v>
      </c>
      <c r="AJ161" s="275">
        <v>0</v>
      </c>
      <c r="AK161" s="275">
        <v>0</v>
      </c>
      <c r="AL161" s="275">
        <v>0</v>
      </c>
      <c r="AM161" s="275">
        <v>0</v>
      </c>
      <c r="AN161" s="1112">
        <v>153546</v>
      </c>
      <c r="AO161" s="275">
        <v>0</v>
      </c>
      <c r="AP161" s="275">
        <v>0</v>
      </c>
      <c r="AQ161" s="275">
        <v>0</v>
      </c>
      <c r="AR161" s="275">
        <v>0</v>
      </c>
      <c r="AS161" s="275">
        <v>0</v>
      </c>
      <c r="AT161" s="275">
        <v>0</v>
      </c>
      <c r="AU161" s="275">
        <v>0</v>
      </c>
      <c r="AV161" s="275">
        <v>0</v>
      </c>
      <c r="AW161" s="275">
        <v>0</v>
      </c>
      <c r="AX161" s="275">
        <v>0</v>
      </c>
      <c r="AY161" s="275">
        <v>0</v>
      </c>
      <c r="AZ161" s="275">
        <v>0</v>
      </c>
      <c r="BA161" s="275">
        <v>0</v>
      </c>
      <c r="BB161" s="275">
        <v>0</v>
      </c>
      <c r="BC161" s="275">
        <v>0</v>
      </c>
      <c r="BD161" s="275">
        <v>0</v>
      </c>
      <c r="BE161" s="275">
        <v>0</v>
      </c>
      <c r="BF161" s="275">
        <v>0</v>
      </c>
      <c r="BG161" s="275">
        <v>0</v>
      </c>
      <c r="BH161" s="275">
        <v>0</v>
      </c>
      <c r="BI161" s="275">
        <v>0</v>
      </c>
      <c r="BJ161" s="275">
        <v>0</v>
      </c>
      <c r="BK161" s="275">
        <v>0</v>
      </c>
      <c r="BL161" s="275">
        <v>0</v>
      </c>
      <c r="BM161" s="275">
        <v>0</v>
      </c>
      <c r="BN161" s="275">
        <v>0</v>
      </c>
      <c r="BO161" s="275">
        <v>0</v>
      </c>
      <c r="BP161" s="275">
        <v>0</v>
      </c>
      <c r="BQ161" s="275">
        <v>0</v>
      </c>
      <c r="BR161" s="275">
        <v>0</v>
      </c>
      <c r="BS161" s="275">
        <v>0</v>
      </c>
    </row>
    <row r="162" spans="1:71" x14ac:dyDescent="0.3">
      <c r="A162" s="275">
        <v>512</v>
      </c>
      <c r="B162" s="275">
        <v>512</v>
      </c>
      <c r="C162" s="275" t="s">
        <v>252</v>
      </c>
      <c r="D162" s="275" t="s">
        <v>479</v>
      </c>
      <c r="E162" s="275">
        <v>0</v>
      </c>
      <c r="F162" s="275">
        <v>0</v>
      </c>
      <c r="G162" s="275">
        <v>0</v>
      </c>
      <c r="H162" s="275">
        <v>0</v>
      </c>
      <c r="I162" s="275">
        <v>0</v>
      </c>
      <c r="J162" s="275">
        <v>0</v>
      </c>
      <c r="K162" s="275">
        <v>0</v>
      </c>
      <c r="L162" s="275">
        <v>0</v>
      </c>
      <c r="M162" s="1112">
        <v>250000</v>
      </c>
      <c r="N162" s="275">
        <v>0</v>
      </c>
      <c r="O162" s="1112">
        <v>524932</v>
      </c>
      <c r="P162" s="275">
        <v>0</v>
      </c>
      <c r="Q162" s="275">
        <v>0</v>
      </c>
      <c r="R162" s="1112">
        <v>12383634</v>
      </c>
      <c r="S162" s="275">
        <v>0</v>
      </c>
      <c r="T162" s="1112">
        <v>3875</v>
      </c>
      <c r="U162" s="275">
        <v>0</v>
      </c>
      <c r="V162" s="275">
        <v>0</v>
      </c>
      <c r="W162" s="1112">
        <v>416419</v>
      </c>
      <c r="X162" s="275">
        <v>0</v>
      </c>
      <c r="Y162" s="275">
        <v>0</v>
      </c>
      <c r="Z162" s="275">
        <v>0</v>
      </c>
      <c r="AA162" s="275">
        <v>0</v>
      </c>
      <c r="AB162" s="275">
        <v>0</v>
      </c>
      <c r="AC162" s="275">
        <v>0</v>
      </c>
      <c r="AD162" s="275">
        <v>0</v>
      </c>
      <c r="AE162" s="275">
        <v>0</v>
      </c>
      <c r="AF162" s="275">
        <v>0</v>
      </c>
      <c r="AG162" s="275">
        <v>0</v>
      </c>
      <c r="AH162" s="275">
        <v>0</v>
      </c>
      <c r="AI162" s="275">
        <v>0</v>
      </c>
      <c r="AJ162" s="275">
        <v>0</v>
      </c>
      <c r="AK162" s="275">
        <v>0</v>
      </c>
      <c r="AL162" s="275">
        <v>0</v>
      </c>
      <c r="AM162" s="275">
        <v>0</v>
      </c>
      <c r="AN162" s="1112">
        <v>26751</v>
      </c>
      <c r="AO162" s="275">
        <v>0</v>
      </c>
      <c r="AP162" s="275">
        <v>0</v>
      </c>
      <c r="AQ162" s="275">
        <v>0</v>
      </c>
      <c r="AR162" s="275">
        <v>0</v>
      </c>
      <c r="AS162" s="275">
        <v>0</v>
      </c>
      <c r="AT162" s="275">
        <v>0</v>
      </c>
      <c r="AU162" s="275">
        <v>0</v>
      </c>
      <c r="AV162" s="275">
        <v>0</v>
      </c>
      <c r="AW162" s="1112">
        <v>102959</v>
      </c>
      <c r="AX162" s="275">
        <v>0</v>
      </c>
      <c r="AY162" s="275">
        <v>0</v>
      </c>
      <c r="AZ162" s="275">
        <v>0</v>
      </c>
      <c r="BA162" s="275">
        <v>0</v>
      </c>
      <c r="BB162" s="275">
        <v>0</v>
      </c>
      <c r="BC162" s="275">
        <v>0</v>
      </c>
      <c r="BD162" s="275">
        <v>0</v>
      </c>
      <c r="BE162" s="275">
        <v>0</v>
      </c>
      <c r="BF162" s="275">
        <v>0</v>
      </c>
      <c r="BG162" s="275">
        <v>0</v>
      </c>
      <c r="BH162" s="275">
        <v>0</v>
      </c>
      <c r="BI162" s="1112">
        <v>253140</v>
      </c>
      <c r="BJ162" s="275">
        <v>0</v>
      </c>
      <c r="BK162" s="275">
        <v>0</v>
      </c>
      <c r="BL162" s="275">
        <v>0</v>
      </c>
      <c r="BM162" s="275">
        <v>0</v>
      </c>
      <c r="BN162" s="275">
        <v>0</v>
      </c>
      <c r="BO162" s="275">
        <v>0</v>
      </c>
      <c r="BP162" s="275">
        <v>0</v>
      </c>
      <c r="BQ162" s="275">
        <v>0</v>
      </c>
      <c r="BR162" s="275">
        <v>0</v>
      </c>
      <c r="BS162" s="275">
        <v>0</v>
      </c>
    </row>
    <row r="163" spans="1:71" x14ac:dyDescent="0.3">
      <c r="A163" s="275">
        <v>513</v>
      </c>
      <c r="B163" s="275">
        <v>513</v>
      </c>
      <c r="C163" s="275" t="s">
        <v>263</v>
      </c>
      <c r="D163" s="275" t="s">
        <v>480</v>
      </c>
      <c r="E163" s="275">
        <v>0</v>
      </c>
      <c r="F163" s="275">
        <v>0</v>
      </c>
      <c r="G163" s="275">
        <v>0</v>
      </c>
      <c r="H163" s="1112">
        <v>25000</v>
      </c>
      <c r="I163" s="275">
        <v>0</v>
      </c>
      <c r="J163" s="275">
        <v>0</v>
      </c>
      <c r="K163" s="275">
        <v>0</v>
      </c>
      <c r="L163" s="275">
        <v>0</v>
      </c>
      <c r="M163" s="275">
        <v>0</v>
      </c>
      <c r="N163" s="275">
        <v>0</v>
      </c>
      <c r="O163" s="275">
        <v>0</v>
      </c>
      <c r="P163" s="275">
        <v>0</v>
      </c>
      <c r="Q163" s="275">
        <v>0</v>
      </c>
      <c r="R163" s="275">
        <v>0</v>
      </c>
      <c r="S163" s="275">
        <v>0</v>
      </c>
      <c r="T163" s="275">
        <v>0</v>
      </c>
      <c r="U163" s="275">
        <v>0</v>
      </c>
      <c r="V163" s="275">
        <v>0</v>
      </c>
      <c r="W163" s="275">
        <v>0</v>
      </c>
      <c r="X163" s="275">
        <v>0</v>
      </c>
      <c r="Y163" s="275">
        <v>0</v>
      </c>
      <c r="Z163" s="275">
        <v>0</v>
      </c>
      <c r="AA163" s="275">
        <v>0</v>
      </c>
      <c r="AB163" s="275">
        <v>0</v>
      </c>
      <c r="AC163" s="275">
        <v>0</v>
      </c>
      <c r="AD163" s="275">
        <v>0</v>
      </c>
      <c r="AE163" s="275">
        <v>0</v>
      </c>
      <c r="AF163" s="275">
        <v>0</v>
      </c>
      <c r="AG163" s="275">
        <v>0</v>
      </c>
      <c r="AH163" s="275">
        <v>0</v>
      </c>
      <c r="AI163" s="275">
        <v>0</v>
      </c>
      <c r="AJ163" s="275">
        <v>0</v>
      </c>
      <c r="AK163" s="275">
        <v>0</v>
      </c>
      <c r="AL163" s="275">
        <v>0</v>
      </c>
      <c r="AM163" s="275">
        <v>0</v>
      </c>
      <c r="AN163" s="275">
        <v>0</v>
      </c>
      <c r="AO163" s="275">
        <v>0</v>
      </c>
      <c r="AP163" s="275">
        <v>0</v>
      </c>
      <c r="AQ163" s="275">
        <v>0</v>
      </c>
      <c r="AR163" s="275">
        <v>0</v>
      </c>
      <c r="AS163" s="275">
        <v>0</v>
      </c>
      <c r="AT163" s="275">
        <v>0</v>
      </c>
      <c r="AU163" s="275">
        <v>0</v>
      </c>
      <c r="AV163" s="275">
        <v>0</v>
      </c>
      <c r="AW163" s="275">
        <v>0</v>
      </c>
      <c r="AX163" s="275">
        <v>0</v>
      </c>
      <c r="AY163" s="275">
        <v>0</v>
      </c>
      <c r="AZ163" s="275">
        <v>0</v>
      </c>
      <c r="BA163" s="275">
        <v>0</v>
      </c>
      <c r="BB163" s="275">
        <v>0</v>
      </c>
      <c r="BC163" s="275">
        <v>0</v>
      </c>
      <c r="BD163" s="275">
        <v>0</v>
      </c>
      <c r="BE163" s="275">
        <v>0</v>
      </c>
      <c r="BF163" s="275">
        <v>0</v>
      </c>
      <c r="BG163" s="275">
        <v>0</v>
      </c>
      <c r="BH163" s="275">
        <v>0</v>
      </c>
      <c r="BI163" s="275">
        <v>0</v>
      </c>
      <c r="BJ163" s="275">
        <v>0</v>
      </c>
      <c r="BK163" s="275">
        <v>0</v>
      </c>
      <c r="BL163" s="275">
        <v>0</v>
      </c>
      <c r="BM163" s="275">
        <v>0</v>
      </c>
      <c r="BN163" s="275">
        <v>0</v>
      </c>
      <c r="BO163" s="275">
        <v>0</v>
      </c>
      <c r="BP163" s="275">
        <v>0</v>
      </c>
      <c r="BQ163" s="275">
        <v>0</v>
      </c>
      <c r="BR163" s="275">
        <v>0</v>
      </c>
      <c r="BS163" s="275">
        <v>0</v>
      </c>
    </row>
    <row r="164" spans="1:71" x14ac:dyDescent="0.3">
      <c r="A164" s="275">
        <v>514</v>
      </c>
      <c r="B164" s="275">
        <v>514</v>
      </c>
      <c r="C164" s="275" t="s">
        <v>264</v>
      </c>
      <c r="D164" s="275" t="s">
        <v>481</v>
      </c>
      <c r="E164" s="275">
        <v>0</v>
      </c>
      <c r="F164" s="275">
        <v>0</v>
      </c>
      <c r="G164" s="275">
        <v>0</v>
      </c>
      <c r="H164" s="1112">
        <v>862000</v>
      </c>
      <c r="I164" s="275">
        <v>0</v>
      </c>
      <c r="J164" s="275">
        <v>0</v>
      </c>
      <c r="K164" s="275">
        <v>0</v>
      </c>
      <c r="L164" s="275">
        <v>0</v>
      </c>
      <c r="M164" s="275">
        <v>0</v>
      </c>
      <c r="N164" s="275">
        <v>0</v>
      </c>
      <c r="O164" s="275">
        <v>0</v>
      </c>
      <c r="P164" s="275">
        <v>0</v>
      </c>
      <c r="Q164" s="275">
        <v>0</v>
      </c>
      <c r="R164" s="275">
        <v>0</v>
      </c>
      <c r="S164" s="275">
        <v>0</v>
      </c>
      <c r="T164" s="275">
        <v>0</v>
      </c>
      <c r="U164" s="275">
        <v>0</v>
      </c>
      <c r="V164" s="275">
        <v>0</v>
      </c>
      <c r="W164" s="275">
        <v>0</v>
      </c>
      <c r="X164" s="275">
        <v>0</v>
      </c>
      <c r="Y164" s="1112">
        <v>631154</v>
      </c>
      <c r="Z164" s="275">
        <v>0</v>
      </c>
      <c r="AA164" s="275">
        <v>0</v>
      </c>
      <c r="AB164" s="275">
        <v>0</v>
      </c>
      <c r="AC164" s="275">
        <v>0</v>
      </c>
      <c r="AD164" s="275">
        <v>0</v>
      </c>
      <c r="AE164" s="275">
        <v>0</v>
      </c>
      <c r="AF164" s="275">
        <v>0</v>
      </c>
      <c r="AG164" s="275">
        <v>0</v>
      </c>
      <c r="AH164" s="275">
        <v>0</v>
      </c>
      <c r="AI164" s="275">
        <v>0</v>
      </c>
      <c r="AJ164" s="275">
        <v>0</v>
      </c>
      <c r="AK164" s="275">
        <v>0</v>
      </c>
      <c r="AL164" s="275">
        <v>0</v>
      </c>
      <c r="AM164" s="275">
        <v>0</v>
      </c>
      <c r="AN164" s="275">
        <v>0</v>
      </c>
      <c r="AO164" s="275">
        <v>0</v>
      </c>
      <c r="AP164" s="275">
        <v>0</v>
      </c>
      <c r="AQ164" s="275">
        <v>0</v>
      </c>
      <c r="AR164" s="275">
        <v>0</v>
      </c>
      <c r="AS164" s="275">
        <v>0</v>
      </c>
      <c r="AT164" s="275">
        <v>0</v>
      </c>
      <c r="AU164" s="275">
        <v>0</v>
      </c>
      <c r="AV164" s="275">
        <v>0</v>
      </c>
      <c r="AW164" s="275">
        <v>0</v>
      </c>
      <c r="AX164" s="275">
        <v>0</v>
      </c>
      <c r="AY164" s="275">
        <v>0</v>
      </c>
      <c r="AZ164" s="275">
        <v>0</v>
      </c>
      <c r="BA164" s="275">
        <v>0</v>
      </c>
      <c r="BB164" s="275">
        <v>0</v>
      </c>
      <c r="BC164" s="275">
        <v>0</v>
      </c>
      <c r="BD164" s="275">
        <v>0</v>
      </c>
      <c r="BE164" s="275">
        <v>0</v>
      </c>
      <c r="BF164" s="275">
        <v>0</v>
      </c>
      <c r="BG164" s="275">
        <v>0</v>
      </c>
      <c r="BH164" s="1112">
        <v>8000</v>
      </c>
      <c r="BI164" s="275">
        <v>0</v>
      </c>
      <c r="BJ164" s="275">
        <v>0</v>
      </c>
      <c r="BK164" s="275">
        <v>0</v>
      </c>
      <c r="BL164" s="275">
        <v>0</v>
      </c>
      <c r="BM164" s="275">
        <v>0</v>
      </c>
      <c r="BN164" s="275">
        <v>0</v>
      </c>
      <c r="BO164" s="275">
        <v>0</v>
      </c>
      <c r="BP164" s="275">
        <v>0</v>
      </c>
      <c r="BQ164" s="275">
        <v>0</v>
      </c>
      <c r="BR164" s="275">
        <v>0</v>
      </c>
      <c r="BS164" s="275">
        <v>0</v>
      </c>
    </row>
    <row r="165" spans="1:71" x14ac:dyDescent="0.3">
      <c r="A165" s="275">
        <v>515</v>
      </c>
      <c r="B165" s="275">
        <v>515</v>
      </c>
      <c r="C165" s="275" t="s">
        <v>277</v>
      </c>
      <c r="D165" s="275" t="s">
        <v>482</v>
      </c>
      <c r="E165" s="275">
        <v>0</v>
      </c>
      <c r="F165" s="1112">
        <v>16757106</v>
      </c>
      <c r="G165" s="1112">
        <v>5305</v>
      </c>
      <c r="H165" s="1112">
        <v>52483211</v>
      </c>
      <c r="I165" s="275">
        <v>0</v>
      </c>
      <c r="J165" s="275">
        <v>0</v>
      </c>
      <c r="K165" s="275">
        <v>0</v>
      </c>
      <c r="L165" s="1112">
        <v>6867</v>
      </c>
      <c r="M165" s="1112">
        <v>8343274</v>
      </c>
      <c r="N165" s="275">
        <v>0</v>
      </c>
      <c r="O165" s="275">
        <v>0</v>
      </c>
      <c r="P165" s="275">
        <v>0</v>
      </c>
      <c r="Q165" s="1112">
        <v>31311731</v>
      </c>
      <c r="R165" s="1112">
        <v>67149490</v>
      </c>
      <c r="S165" s="275">
        <v>0</v>
      </c>
      <c r="T165" s="275">
        <v>0</v>
      </c>
      <c r="U165" s="275">
        <v>0</v>
      </c>
      <c r="V165" s="275">
        <v>0</v>
      </c>
      <c r="W165" s="275">
        <v>0</v>
      </c>
      <c r="X165" s="275">
        <v>0</v>
      </c>
      <c r="Y165" s="275">
        <v>0</v>
      </c>
      <c r="Z165" s="275">
        <v>0</v>
      </c>
      <c r="AA165" s="275">
        <v>0</v>
      </c>
      <c r="AB165" s="275">
        <v>0</v>
      </c>
      <c r="AC165" s="1112">
        <v>754767</v>
      </c>
      <c r="AD165" s="275">
        <v>0</v>
      </c>
      <c r="AE165" s="275">
        <v>0</v>
      </c>
      <c r="AF165" s="275">
        <v>0</v>
      </c>
      <c r="AG165" s="275">
        <v>0</v>
      </c>
      <c r="AH165" s="1112">
        <v>1361814</v>
      </c>
      <c r="AI165" s="1112">
        <v>95712</v>
      </c>
      <c r="AJ165" s="275">
        <v>0</v>
      </c>
      <c r="AK165" s="1112">
        <v>11059524</v>
      </c>
      <c r="AL165" s="275">
        <v>0</v>
      </c>
      <c r="AM165" s="275">
        <v>0</v>
      </c>
      <c r="AN165" s="1112">
        <v>7635979</v>
      </c>
      <c r="AO165" s="275">
        <v>0</v>
      </c>
      <c r="AP165" s="275">
        <v>0</v>
      </c>
      <c r="AQ165" s="275">
        <v>0</v>
      </c>
      <c r="AR165" s="275">
        <v>0</v>
      </c>
      <c r="AS165" s="275">
        <v>0</v>
      </c>
      <c r="AT165" s="275">
        <v>0</v>
      </c>
      <c r="AU165" s="275">
        <v>0</v>
      </c>
      <c r="AV165" s="275">
        <v>0</v>
      </c>
      <c r="AW165" s="1112">
        <v>656480</v>
      </c>
      <c r="AX165" s="275">
        <v>0</v>
      </c>
      <c r="AY165" s="275">
        <v>0</v>
      </c>
      <c r="AZ165" s="1112">
        <v>426809</v>
      </c>
      <c r="BA165" s="275">
        <v>0</v>
      </c>
      <c r="BB165" s="275">
        <v>0</v>
      </c>
      <c r="BC165" s="1112">
        <v>1013232</v>
      </c>
      <c r="BD165" s="275">
        <v>0</v>
      </c>
      <c r="BE165" s="275">
        <v>0</v>
      </c>
      <c r="BF165" s="275">
        <v>0</v>
      </c>
      <c r="BG165" s="275">
        <v>0</v>
      </c>
      <c r="BH165" s="275">
        <v>0</v>
      </c>
      <c r="BI165" s="275">
        <v>0</v>
      </c>
      <c r="BJ165" s="275">
        <v>0</v>
      </c>
      <c r="BK165" s="1112">
        <v>841854</v>
      </c>
      <c r="BL165" s="275">
        <v>0</v>
      </c>
      <c r="BM165" s="275">
        <v>0</v>
      </c>
      <c r="BN165" s="275">
        <v>0</v>
      </c>
      <c r="BO165" s="1112">
        <v>149131</v>
      </c>
      <c r="BP165" s="275">
        <v>0</v>
      </c>
      <c r="BQ165" s="1112">
        <v>122223793</v>
      </c>
      <c r="BR165" s="275">
        <v>0</v>
      </c>
      <c r="BS165" s="275">
        <v>0</v>
      </c>
    </row>
    <row r="166" spans="1:71" x14ac:dyDescent="0.3">
      <c r="A166" s="275">
        <v>516</v>
      </c>
      <c r="B166" s="275">
        <v>516</v>
      </c>
      <c r="C166" s="275" t="s">
        <v>278</v>
      </c>
      <c r="D166" s="275" t="s">
        <v>483</v>
      </c>
      <c r="E166" s="1112">
        <v>10793764</v>
      </c>
      <c r="F166" s="1112">
        <v>18323040</v>
      </c>
      <c r="G166" s="1112">
        <v>5789059</v>
      </c>
      <c r="H166" s="1112">
        <v>40686430</v>
      </c>
      <c r="I166" s="275">
        <v>0</v>
      </c>
      <c r="J166" s="1112">
        <v>19298370</v>
      </c>
      <c r="K166" s="1112">
        <v>14953647</v>
      </c>
      <c r="L166" s="1112">
        <v>3384698</v>
      </c>
      <c r="M166" s="1112">
        <v>265057535</v>
      </c>
      <c r="N166" s="275">
        <v>0</v>
      </c>
      <c r="O166" s="1112">
        <v>25371163</v>
      </c>
      <c r="P166" s="275">
        <v>0</v>
      </c>
      <c r="Q166" s="1112">
        <v>48783942</v>
      </c>
      <c r="R166" s="1112">
        <v>182105749</v>
      </c>
      <c r="S166" s="275">
        <v>0</v>
      </c>
      <c r="T166" s="1112">
        <v>2213142</v>
      </c>
      <c r="U166" s="1112">
        <v>6983626</v>
      </c>
      <c r="V166" s="1112">
        <v>7717977</v>
      </c>
      <c r="W166" s="1112">
        <v>1371627</v>
      </c>
      <c r="X166" s="1112">
        <v>687576</v>
      </c>
      <c r="Y166" s="1112">
        <v>16733600</v>
      </c>
      <c r="Z166" s="275">
        <v>0</v>
      </c>
      <c r="AA166" s="1112">
        <v>4698954</v>
      </c>
      <c r="AB166" s="1112">
        <v>5486299</v>
      </c>
      <c r="AC166" s="1112">
        <v>13806985</v>
      </c>
      <c r="AD166" s="1112">
        <v>6560228</v>
      </c>
      <c r="AE166" s="1112">
        <v>2395084</v>
      </c>
      <c r="AF166" s="275">
        <v>0</v>
      </c>
      <c r="AG166" s="275">
        <v>0</v>
      </c>
      <c r="AH166" s="1112">
        <v>37946123</v>
      </c>
      <c r="AI166" s="1112">
        <v>20734713</v>
      </c>
      <c r="AJ166" s="1112">
        <v>11245260</v>
      </c>
      <c r="AK166" s="1112">
        <v>39174342</v>
      </c>
      <c r="AL166" s="275">
        <v>0</v>
      </c>
      <c r="AM166" s="275">
        <v>0</v>
      </c>
      <c r="AN166" s="1112">
        <v>8329677</v>
      </c>
      <c r="AO166" s="1112">
        <v>3313403</v>
      </c>
      <c r="AP166" s="1112">
        <v>24304124</v>
      </c>
      <c r="AQ166" s="275">
        <v>0</v>
      </c>
      <c r="AR166" s="1112">
        <v>23421606</v>
      </c>
      <c r="AS166" s="1112">
        <v>11858289</v>
      </c>
      <c r="AT166" s="1112">
        <v>4791369</v>
      </c>
      <c r="AU166" s="1112">
        <v>8683669</v>
      </c>
      <c r="AV166" s="275">
        <v>0</v>
      </c>
      <c r="AW166" s="1112">
        <v>6254233</v>
      </c>
      <c r="AX166" s="1112">
        <v>10902937</v>
      </c>
      <c r="AY166" s="1112">
        <v>21304343</v>
      </c>
      <c r="AZ166" s="1112">
        <v>1577714</v>
      </c>
      <c r="BA166" s="275">
        <v>0</v>
      </c>
      <c r="BB166" s="275">
        <v>0</v>
      </c>
      <c r="BC166" s="1112">
        <v>8072969</v>
      </c>
      <c r="BD166" s="275">
        <v>0</v>
      </c>
      <c r="BE166" s="1112">
        <v>6670491</v>
      </c>
      <c r="BF166" s="1112">
        <v>77002890</v>
      </c>
      <c r="BG166" s="1112">
        <v>3984137</v>
      </c>
      <c r="BH166" s="1112">
        <v>1561413</v>
      </c>
      <c r="BI166" s="1112">
        <v>45410075</v>
      </c>
      <c r="BJ166" s="1112">
        <v>2231943</v>
      </c>
      <c r="BK166" s="1112">
        <v>3210988</v>
      </c>
      <c r="BL166" s="275">
        <v>0</v>
      </c>
      <c r="BM166" s="1112">
        <v>2646453</v>
      </c>
      <c r="BN166" s="1112">
        <v>14218328</v>
      </c>
      <c r="BO166" s="1112">
        <v>5451527</v>
      </c>
      <c r="BP166" s="1112">
        <v>23712171</v>
      </c>
      <c r="BQ166" s="1112">
        <v>142913775</v>
      </c>
      <c r="BR166" s="1112">
        <v>12924552</v>
      </c>
      <c r="BS166" s="275">
        <v>0</v>
      </c>
    </row>
    <row r="167" spans="1:71" x14ac:dyDescent="0.3">
      <c r="A167" s="275">
        <v>517</v>
      </c>
      <c r="B167" s="275">
        <v>517</v>
      </c>
      <c r="C167" s="275" t="s">
        <v>279</v>
      </c>
      <c r="D167" s="275" t="s">
        <v>484</v>
      </c>
      <c r="E167" s="1112">
        <v>4358829</v>
      </c>
      <c r="F167" s="275">
        <v>0</v>
      </c>
      <c r="G167" s="275">
        <v>0</v>
      </c>
      <c r="H167" s="275">
        <v>0</v>
      </c>
      <c r="I167" s="275">
        <v>0</v>
      </c>
      <c r="J167" s="275">
        <v>0</v>
      </c>
      <c r="K167" s="1112">
        <v>2025000</v>
      </c>
      <c r="L167" s="275">
        <v>0</v>
      </c>
      <c r="M167" s="275">
        <v>0</v>
      </c>
      <c r="N167" s="275">
        <v>0</v>
      </c>
      <c r="O167" s="275">
        <v>0</v>
      </c>
      <c r="P167" s="275">
        <v>0</v>
      </c>
      <c r="Q167" s="275">
        <v>0</v>
      </c>
      <c r="R167" s="275">
        <v>0</v>
      </c>
      <c r="S167" s="275">
        <v>0</v>
      </c>
      <c r="T167" s="275">
        <v>0</v>
      </c>
      <c r="U167" s="275">
        <v>0</v>
      </c>
      <c r="V167" s="275">
        <v>0</v>
      </c>
      <c r="W167" s="275">
        <v>0</v>
      </c>
      <c r="X167" s="275">
        <v>0</v>
      </c>
      <c r="Y167" s="275">
        <v>0</v>
      </c>
      <c r="Z167" s="275">
        <v>0</v>
      </c>
      <c r="AA167" s="275">
        <v>0</v>
      </c>
      <c r="AB167" s="1112">
        <v>6250</v>
      </c>
      <c r="AC167" s="275">
        <v>0</v>
      </c>
      <c r="AD167" s="275">
        <v>0</v>
      </c>
      <c r="AE167" s="275">
        <v>0</v>
      </c>
      <c r="AF167" s="275">
        <v>0</v>
      </c>
      <c r="AG167" s="275">
        <v>0</v>
      </c>
      <c r="AH167" s="275">
        <v>0</v>
      </c>
      <c r="AI167" s="275">
        <v>0</v>
      </c>
      <c r="AJ167" s="275">
        <v>0</v>
      </c>
      <c r="AK167" s="1112">
        <v>276742</v>
      </c>
      <c r="AL167" s="275">
        <v>0</v>
      </c>
      <c r="AM167" s="275">
        <v>0</v>
      </c>
      <c r="AN167" s="275">
        <v>0</v>
      </c>
      <c r="AO167" s="275">
        <v>0</v>
      </c>
      <c r="AP167" s="275">
        <v>0</v>
      </c>
      <c r="AQ167" s="275">
        <v>0</v>
      </c>
      <c r="AR167" s="275">
        <v>0</v>
      </c>
      <c r="AS167" s="275">
        <v>0</v>
      </c>
      <c r="AT167" s="275">
        <v>0</v>
      </c>
      <c r="AU167" s="275">
        <v>0</v>
      </c>
      <c r="AV167" s="275">
        <v>0</v>
      </c>
      <c r="AW167" s="1112">
        <v>3583383</v>
      </c>
      <c r="AX167" s="275">
        <v>0</v>
      </c>
      <c r="AY167" s="275">
        <v>0</v>
      </c>
      <c r="AZ167" s="275">
        <v>0</v>
      </c>
      <c r="BA167" s="275">
        <v>0</v>
      </c>
      <c r="BB167" s="275">
        <v>0</v>
      </c>
      <c r="BC167" s="275">
        <v>0</v>
      </c>
      <c r="BD167" s="275">
        <v>0</v>
      </c>
      <c r="BE167" s="275">
        <v>0</v>
      </c>
      <c r="BF167" s="275">
        <v>0</v>
      </c>
      <c r="BG167" s="275">
        <v>0</v>
      </c>
      <c r="BH167" s="275">
        <v>0</v>
      </c>
      <c r="BI167" s="275">
        <v>0</v>
      </c>
      <c r="BJ167" s="275">
        <v>0</v>
      </c>
      <c r="BK167" s="275">
        <v>0</v>
      </c>
      <c r="BL167" s="275">
        <v>0</v>
      </c>
      <c r="BM167" s="275">
        <v>0</v>
      </c>
      <c r="BN167" s="275">
        <v>0</v>
      </c>
      <c r="BO167" s="275">
        <v>0</v>
      </c>
      <c r="BP167" s="275">
        <v>0</v>
      </c>
      <c r="BQ167" s="275">
        <v>0</v>
      </c>
      <c r="BR167" s="275">
        <v>0</v>
      </c>
      <c r="BS167" s="275">
        <v>0</v>
      </c>
    </row>
    <row r="168" spans="1:71" x14ac:dyDescent="0.3">
      <c r="A168" s="275">
        <v>518</v>
      </c>
      <c r="B168" s="275">
        <v>518</v>
      </c>
      <c r="C168" s="275" t="s">
        <v>280</v>
      </c>
      <c r="D168" s="275" t="s">
        <v>485</v>
      </c>
      <c r="E168" s="1112">
        <v>1572780</v>
      </c>
      <c r="F168" s="1112">
        <v>2492153</v>
      </c>
      <c r="G168" s="1112">
        <v>22672</v>
      </c>
      <c r="H168" s="1112">
        <v>10010072</v>
      </c>
      <c r="I168" s="275">
        <v>0</v>
      </c>
      <c r="J168" s="1112">
        <v>456210</v>
      </c>
      <c r="K168" s="1112">
        <v>1054195</v>
      </c>
      <c r="L168" s="1112">
        <v>132893</v>
      </c>
      <c r="M168" s="1112">
        <v>9159618</v>
      </c>
      <c r="N168" s="275">
        <v>0</v>
      </c>
      <c r="O168" s="1112">
        <v>17289265</v>
      </c>
      <c r="P168" s="275">
        <v>0</v>
      </c>
      <c r="Q168" s="1112">
        <v>10096719</v>
      </c>
      <c r="R168" s="1112">
        <v>23035547</v>
      </c>
      <c r="S168" s="275">
        <v>0</v>
      </c>
      <c r="T168" s="275">
        <v>0</v>
      </c>
      <c r="U168" s="1112">
        <v>972622</v>
      </c>
      <c r="V168" s="1112">
        <v>520005</v>
      </c>
      <c r="W168" s="1112">
        <v>160375</v>
      </c>
      <c r="X168" s="1112">
        <v>3584</v>
      </c>
      <c r="Y168" s="1112">
        <v>2360678</v>
      </c>
      <c r="Z168" s="275">
        <v>0</v>
      </c>
      <c r="AA168" s="1112">
        <v>47737</v>
      </c>
      <c r="AB168" s="1112">
        <v>24018</v>
      </c>
      <c r="AC168" s="1112">
        <v>492354</v>
      </c>
      <c r="AD168" s="1112">
        <v>756890</v>
      </c>
      <c r="AE168" s="1112">
        <v>134541</v>
      </c>
      <c r="AF168" s="275">
        <v>0</v>
      </c>
      <c r="AG168" s="275">
        <v>0</v>
      </c>
      <c r="AH168" s="1112">
        <v>1290001</v>
      </c>
      <c r="AI168" s="1112">
        <v>662384</v>
      </c>
      <c r="AJ168" s="1112">
        <v>608887</v>
      </c>
      <c r="AK168" s="1112">
        <v>11851657</v>
      </c>
      <c r="AL168" s="275">
        <v>0</v>
      </c>
      <c r="AM168" s="275">
        <v>0</v>
      </c>
      <c r="AN168" s="1112">
        <v>1262219</v>
      </c>
      <c r="AO168" s="275">
        <v>0</v>
      </c>
      <c r="AP168" s="1112">
        <v>1404260</v>
      </c>
      <c r="AQ168" s="275">
        <v>0</v>
      </c>
      <c r="AR168" s="1112">
        <v>289842</v>
      </c>
      <c r="AS168" s="1112">
        <v>399762</v>
      </c>
      <c r="AT168" s="1112">
        <v>87207</v>
      </c>
      <c r="AU168" s="1112">
        <v>853076</v>
      </c>
      <c r="AV168" s="275">
        <v>0</v>
      </c>
      <c r="AW168" s="1112">
        <v>780815</v>
      </c>
      <c r="AX168" s="1112">
        <v>175748</v>
      </c>
      <c r="AY168" s="1112">
        <v>1554022</v>
      </c>
      <c r="AZ168" s="275">
        <v>0</v>
      </c>
      <c r="BA168" s="275">
        <v>0</v>
      </c>
      <c r="BB168" s="275">
        <v>0</v>
      </c>
      <c r="BC168" s="1112">
        <v>214440</v>
      </c>
      <c r="BD168" s="275">
        <v>0</v>
      </c>
      <c r="BE168" s="1112">
        <v>14623</v>
      </c>
      <c r="BF168" s="1112">
        <v>5141871</v>
      </c>
      <c r="BG168" s="1112">
        <v>394168</v>
      </c>
      <c r="BH168" s="1112">
        <v>16279</v>
      </c>
      <c r="BI168" s="1112">
        <v>3937235</v>
      </c>
      <c r="BJ168" s="275">
        <v>0</v>
      </c>
      <c r="BK168" s="1112">
        <v>42148</v>
      </c>
      <c r="BL168" s="275">
        <v>0</v>
      </c>
      <c r="BM168" s="1112">
        <v>2131</v>
      </c>
      <c r="BN168" s="1112">
        <v>1176132</v>
      </c>
      <c r="BO168" s="1112">
        <v>231737</v>
      </c>
      <c r="BP168" s="1112">
        <v>221547</v>
      </c>
      <c r="BQ168" s="1112">
        <v>7820379</v>
      </c>
      <c r="BR168" s="1112">
        <v>726976</v>
      </c>
      <c r="BS168" s="275">
        <v>0</v>
      </c>
    </row>
    <row r="169" spans="1:71" x14ac:dyDescent="0.3">
      <c r="A169" s="275">
        <v>519</v>
      </c>
      <c r="B169" s="275">
        <v>519</v>
      </c>
      <c r="C169" s="275" t="s">
        <v>281</v>
      </c>
      <c r="D169" s="275" t="s">
        <v>486</v>
      </c>
      <c r="E169" s="275">
        <v>0</v>
      </c>
      <c r="F169" s="1112">
        <v>417577</v>
      </c>
      <c r="G169" s="275">
        <v>0</v>
      </c>
      <c r="H169" s="1112">
        <v>1434069</v>
      </c>
      <c r="I169" s="275">
        <v>0</v>
      </c>
      <c r="J169" s="275">
        <v>0</v>
      </c>
      <c r="K169" s="275">
        <v>0</v>
      </c>
      <c r="L169" s="1112">
        <v>5074</v>
      </c>
      <c r="M169" s="1112">
        <v>271616</v>
      </c>
      <c r="N169" s="275">
        <v>0</v>
      </c>
      <c r="O169" s="275">
        <v>0</v>
      </c>
      <c r="P169" s="275">
        <v>0</v>
      </c>
      <c r="Q169" s="1112">
        <v>657303</v>
      </c>
      <c r="R169" s="1112">
        <v>1798033</v>
      </c>
      <c r="S169" s="275">
        <v>0</v>
      </c>
      <c r="T169" s="275">
        <v>0</v>
      </c>
      <c r="U169" s="275">
        <v>0</v>
      </c>
      <c r="V169" s="275">
        <v>0</v>
      </c>
      <c r="W169" s="275">
        <v>0</v>
      </c>
      <c r="X169" s="275">
        <v>0</v>
      </c>
      <c r="Y169" s="275">
        <v>0</v>
      </c>
      <c r="Z169" s="275">
        <v>0</v>
      </c>
      <c r="AA169" s="275">
        <v>0</v>
      </c>
      <c r="AB169" s="275">
        <v>0</v>
      </c>
      <c r="AC169" s="1112">
        <v>15460</v>
      </c>
      <c r="AD169" s="275">
        <v>0</v>
      </c>
      <c r="AE169" s="275">
        <v>0</v>
      </c>
      <c r="AF169" s="275">
        <v>0</v>
      </c>
      <c r="AG169" s="275">
        <v>0</v>
      </c>
      <c r="AH169" s="1112">
        <v>15762</v>
      </c>
      <c r="AI169" s="1112">
        <v>2366</v>
      </c>
      <c r="AJ169" s="275">
        <v>0</v>
      </c>
      <c r="AK169" s="1112">
        <v>267633</v>
      </c>
      <c r="AL169" s="275">
        <v>0</v>
      </c>
      <c r="AM169" s="275">
        <v>0</v>
      </c>
      <c r="AN169" s="1112">
        <v>152620</v>
      </c>
      <c r="AO169" s="275">
        <v>0</v>
      </c>
      <c r="AP169" s="275">
        <v>0</v>
      </c>
      <c r="AQ169" s="275">
        <v>0</v>
      </c>
      <c r="AR169" s="275">
        <v>0</v>
      </c>
      <c r="AS169" s="275">
        <v>0</v>
      </c>
      <c r="AT169" s="275">
        <v>0</v>
      </c>
      <c r="AU169" s="275">
        <v>0</v>
      </c>
      <c r="AV169" s="275">
        <v>0</v>
      </c>
      <c r="AW169" s="1112">
        <v>13557</v>
      </c>
      <c r="AX169" s="275">
        <v>0</v>
      </c>
      <c r="AY169" s="275">
        <v>0</v>
      </c>
      <c r="AZ169" s="1112">
        <v>8536</v>
      </c>
      <c r="BA169" s="275">
        <v>0</v>
      </c>
      <c r="BB169" s="275">
        <v>0</v>
      </c>
      <c r="BC169" s="1112">
        <v>25980</v>
      </c>
      <c r="BD169" s="275">
        <v>0</v>
      </c>
      <c r="BE169" s="275">
        <v>0</v>
      </c>
      <c r="BF169" s="275">
        <v>0</v>
      </c>
      <c r="BG169" s="275">
        <v>0</v>
      </c>
      <c r="BH169" s="275">
        <v>0</v>
      </c>
      <c r="BI169" s="275">
        <v>0</v>
      </c>
      <c r="BJ169" s="275">
        <v>0</v>
      </c>
      <c r="BK169" s="1112">
        <v>25643</v>
      </c>
      <c r="BL169" s="275">
        <v>0</v>
      </c>
      <c r="BM169" s="275">
        <v>0</v>
      </c>
      <c r="BN169" s="275">
        <v>0</v>
      </c>
      <c r="BO169" s="1112">
        <v>3101</v>
      </c>
      <c r="BP169" s="275">
        <v>0</v>
      </c>
      <c r="BQ169" s="1112">
        <v>2728098</v>
      </c>
      <c r="BR169" s="275">
        <v>0</v>
      </c>
      <c r="BS169" s="275">
        <v>0</v>
      </c>
    </row>
    <row r="170" spans="1:71" x14ac:dyDescent="0.3">
      <c r="A170" s="275">
        <v>520</v>
      </c>
      <c r="B170" s="275">
        <v>520</v>
      </c>
      <c r="C170" s="275" t="s">
        <v>282</v>
      </c>
      <c r="D170" s="275" t="s">
        <v>487</v>
      </c>
      <c r="E170" s="1112">
        <v>254225</v>
      </c>
      <c r="F170" s="1112">
        <v>320593</v>
      </c>
      <c r="G170" s="1112">
        <v>144993</v>
      </c>
      <c r="H170" s="1112">
        <v>723829</v>
      </c>
      <c r="I170" s="275">
        <v>0</v>
      </c>
      <c r="J170" s="1112">
        <v>376004</v>
      </c>
      <c r="K170" s="1112">
        <v>339288</v>
      </c>
      <c r="L170" s="1112">
        <v>68130</v>
      </c>
      <c r="M170" s="1112">
        <v>9901735</v>
      </c>
      <c r="N170" s="275">
        <v>0</v>
      </c>
      <c r="O170" s="1112">
        <v>540585</v>
      </c>
      <c r="P170" s="275">
        <v>0</v>
      </c>
      <c r="Q170" s="1112">
        <v>983380</v>
      </c>
      <c r="R170" s="1112">
        <v>3533978</v>
      </c>
      <c r="S170" s="275">
        <v>0</v>
      </c>
      <c r="T170" s="1112">
        <v>55327</v>
      </c>
      <c r="U170" s="1112">
        <v>110315</v>
      </c>
      <c r="V170" s="1112">
        <v>175643</v>
      </c>
      <c r="W170" s="1112">
        <v>16336</v>
      </c>
      <c r="X170" s="1112">
        <v>13752</v>
      </c>
      <c r="Y170" s="1112">
        <v>323534</v>
      </c>
      <c r="Z170" s="275">
        <v>0</v>
      </c>
      <c r="AA170" s="1112">
        <v>99165</v>
      </c>
      <c r="AB170" s="1112">
        <v>93161</v>
      </c>
      <c r="AC170" s="1112">
        <v>275697</v>
      </c>
      <c r="AD170" s="1112">
        <v>177050</v>
      </c>
      <c r="AE170" s="1112">
        <v>47887</v>
      </c>
      <c r="AF170" s="275">
        <v>0</v>
      </c>
      <c r="AG170" s="275">
        <v>0</v>
      </c>
      <c r="AH170" s="1112">
        <v>875472</v>
      </c>
      <c r="AI170" s="1112">
        <v>388316</v>
      </c>
      <c r="AJ170" s="1112">
        <v>165361</v>
      </c>
      <c r="AK170" s="1112">
        <v>942828</v>
      </c>
      <c r="AL170" s="275">
        <v>0</v>
      </c>
      <c r="AM170" s="275">
        <v>0</v>
      </c>
      <c r="AN170" s="1112">
        <v>160980</v>
      </c>
      <c r="AO170" s="1112">
        <v>96108</v>
      </c>
      <c r="AP170" s="1112">
        <v>495144</v>
      </c>
      <c r="AQ170" s="275">
        <v>0</v>
      </c>
      <c r="AR170" s="1112">
        <v>570385</v>
      </c>
      <c r="AS170" s="1112">
        <v>304299</v>
      </c>
      <c r="AT170" s="1112">
        <v>166773</v>
      </c>
      <c r="AU170" s="1112">
        <v>263372</v>
      </c>
      <c r="AV170" s="275">
        <v>0</v>
      </c>
      <c r="AW170" s="1112">
        <v>138917</v>
      </c>
      <c r="AX170" s="1112">
        <v>217344</v>
      </c>
      <c r="AY170" s="1112">
        <v>415756</v>
      </c>
      <c r="AZ170" s="1112">
        <v>63108</v>
      </c>
      <c r="BA170" s="275">
        <v>0</v>
      </c>
      <c r="BB170" s="275">
        <v>0</v>
      </c>
      <c r="BC170" s="1112">
        <v>217975</v>
      </c>
      <c r="BD170" s="275">
        <v>0</v>
      </c>
      <c r="BE170" s="1112">
        <v>133360</v>
      </c>
      <c r="BF170" s="1112">
        <v>796764</v>
      </c>
      <c r="BG170" s="1112">
        <v>83181</v>
      </c>
      <c r="BH170" s="1112">
        <v>32467</v>
      </c>
      <c r="BI170" s="1112">
        <v>787525</v>
      </c>
      <c r="BJ170" s="1112">
        <v>57402</v>
      </c>
      <c r="BK170" s="1112">
        <v>78956</v>
      </c>
      <c r="BL170" s="275">
        <v>0</v>
      </c>
      <c r="BM170" s="1112">
        <v>56249</v>
      </c>
      <c r="BN170" s="1112">
        <v>386366</v>
      </c>
      <c r="BO170" s="1112">
        <v>135867</v>
      </c>
      <c r="BP170" s="1112">
        <v>600198</v>
      </c>
      <c r="BQ170" s="1112">
        <v>3159667</v>
      </c>
      <c r="BR170" s="1112">
        <v>272413</v>
      </c>
      <c r="BS170" s="275">
        <v>0</v>
      </c>
    </row>
    <row r="171" spans="1:71" x14ac:dyDescent="0.3">
      <c r="A171" s="275">
        <v>521</v>
      </c>
      <c r="B171" s="275">
        <v>521</v>
      </c>
      <c r="C171" s="275" t="s">
        <v>283</v>
      </c>
      <c r="D171" s="275" t="s">
        <v>488</v>
      </c>
      <c r="E171" s="1112">
        <v>197209</v>
      </c>
      <c r="F171" s="275">
        <v>0</v>
      </c>
      <c r="G171" s="275">
        <v>0</v>
      </c>
      <c r="H171" s="275">
        <v>0</v>
      </c>
      <c r="I171" s="275">
        <v>0</v>
      </c>
      <c r="J171" s="275">
        <v>0</v>
      </c>
      <c r="K171" s="1112">
        <v>50625</v>
      </c>
      <c r="L171" s="275">
        <v>0</v>
      </c>
      <c r="M171" s="275">
        <v>0</v>
      </c>
      <c r="N171" s="275">
        <v>0</v>
      </c>
      <c r="O171" s="275">
        <v>0</v>
      </c>
      <c r="P171" s="275">
        <v>0</v>
      </c>
      <c r="Q171" s="275">
        <v>0</v>
      </c>
      <c r="R171" s="275">
        <v>0</v>
      </c>
      <c r="S171" s="275">
        <v>0</v>
      </c>
      <c r="T171" s="275">
        <v>0</v>
      </c>
      <c r="U171" s="275">
        <v>0</v>
      </c>
      <c r="V171" s="275">
        <v>0</v>
      </c>
      <c r="W171" s="275">
        <v>0</v>
      </c>
      <c r="X171" s="275">
        <v>0</v>
      </c>
      <c r="Y171" s="275">
        <v>0</v>
      </c>
      <c r="Z171" s="275">
        <v>0</v>
      </c>
      <c r="AA171" s="275">
        <v>0</v>
      </c>
      <c r="AB171" s="275">
        <v>295</v>
      </c>
      <c r="AC171" s="275">
        <v>0</v>
      </c>
      <c r="AD171" s="275">
        <v>0</v>
      </c>
      <c r="AE171" s="275">
        <v>0</v>
      </c>
      <c r="AF171" s="275">
        <v>0</v>
      </c>
      <c r="AG171" s="275">
        <v>0</v>
      </c>
      <c r="AH171" s="275">
        <v>0</v>
      </c>
      <c r="AI171" s="275">
        <v>0</v>
      </c>
      <c r="AJ171" s="275">
        <v>0</v>
      </c>
      <c r="AK171" s="1112">
        <v>22344</v>
      </c>
      <c r="AL171" s="275">
        <v>0</v>
      </c>
      <c r="AM171" s="275">
        <v>0</v>
      </c>
      <c r="AN171" s="275">
        <v>0</v>
      </c>
      <c r="AO171" s="275">
        <v>0</v>
      </c>
      <c r="AP171" s="275">
        <v>0</v>
      </c>
      <c r="AQ171" s="275">
        <v>0</v>
      </c>
      <c r="AR171" s="275">
        <v>0</v>
      </c>
      <c r="AS171" s="275">
        <v>0</v>
      </c>
      <c r="AT171" s="275">
        <v>0</v>
      </c>
      <c r="AU171" s="275">
        <v>0</v>
      </c>
      <c r="AV171" s="275">
        <v>0</v>
      </c>
      <c r="AW171" s="1112">
        <v>94064</v>
      </c>
      <c r="AX171" s="275">
        <v>0</v>
      </c>
      <c r="AY171" s="275">
        <v>0</v>
      </c>
      <c r="AZ171" s="275">
        <v>0</v>
      </c>
      <c r="BA171" s="275">
        <v>0</v>
      </c>
      <c r="BB171" s="275">
        <v>0</v>
      </c>
      <c r="BC171" s="275">
        <v>0</v>
      </c>
      <c r="BD171" s="275">
        <v>0</v>
      </c>
      <c r="BE171" s="275">
        <v>0</v>
      </c>
      <c r="BF171" s="275">
        <v>0</v>
      </c>
      <c r="BG171" s="275">
        <v>0</v>
      </c>
      <c r="BH171" s="275">
        <v>0</v>
      </c>
      <c r="BI171" s="275">
        <v>0</v>
      </c>
      <c r="BJ171" s="275">
        <v>0</v>
      </c>
      <c r="BK171" s="275">
        <v>0</v>
      </c>
      <c r="BL171" s="275">
        <v>0</v>
      </c>
      <c r="BM171" s="275">
        <v>0</v>
      </c>
      <c r="BN171" s="275">
        <v>0</v>
      </c>
      <c r="BO171" s="275">
        <v>0</v>
      </c>
      <c r="BP171" s="275">
        <v>0</v>
      </c>
      <c r="BQ171" s="275">
        <v>0</v>
      </c>
      <c r="BR171" s="275">
        <v>0</v>
      </c>
      <c r="BS171" s="275">
        <v>0</v>
      </c>
    </row>
    <row r="172" spans="1:71" x14ac:dyDescent="0.3">
      <c r="A172" s="275">
        <v>522</v>
      </c>
      <c r="B172" s="275">
        <v>522</v>
      </c>
      <c r="C172" s="275" t="s">
        <v>284</v>
      </c>
      <c r="D172" s="275" t="s">
        <v>489</v>
      </c>
      <c r="E172" s="1112">
        <v>60117</v>
      </c>
      <c r="F172" s="1112">
        <v>118837</v>
      </c>
      <c r="G172" s="275">
        <v>977</v>
      </c>
      <c r="H172" s="1112">
        <v>616443</v>
      </c>
      <c r="I172" s="275">
        <v>0</v>
      </c>
      <c r="J172" s="1112">
        <v>17602</v>
      </c>
      <c r="K172" s="1112">
        <v>68039</v>
      </c>
      <c r="L172" s="1112">
        <v>6701</v>
      </c>
      <c r="M172" s="1112">
        <v>475500</v>
      </c>
      <c r="N172" s="275">
        <v>0</v>
      </c>
      <c r="O172" s="1112">
        <v>535187</v>
      </c>
      <c r="P172" s="275">
        <v>0</v>
      </c>
      <c r="Q172" s="1112">
        <v>557965</v>
      </c>
      <c r="R172" s="1112">
        <v>1342808</v>
      </c>
      <c r="S172" s="275">
        <v>0</v>
      </c>
      <c r="T172" s="275">
        <v>0</v>
      </c>
      <c r="U172" s="1112">
        <v>79503</v>
      </c>
      <c r="V172" s="1112">
        <v>24116</v>
      </c>
      <c r="W172" s="1112">
        <v>3950</v>
      </c>
      <c r="X172" s="275">
        <v>83</v>
      </c>
      <c r="Y172" s="1112">
        <v>110441</v>
      </c>
      <c r="Z172" s="275">
        <v>0</v>
      </c>
      <c r="AA172" s="275">
        <v>241</v>
      </c>
      <c r="AB172" s="275">
        <v>0</v>
      </c>
      <c r="AC172" s="1112">
        <v>37107</v>
      </c>
      <c r="AD172" s="1112">
        <v>28003</v>
      </c>
      <c r="AE172" s="1112">
        <v>1710</v>
      </c>
      <c r="AF172" s="275">
        <v>0</v>
      </c>
      <c r="AG172" s="275">
        <v>0</v>
      </c>
      <c r="AH172" s="1112">
        <v>81120</v>
      </c>
      <c r="AI172" s="1112">
        <v>83588</v>
      </c>
      <c r="AJ172" s="1112">
        <v>9877</v>
      </c>
      <c r="AK172" s="1112">
        <v>1003559</v>
      </c>
      <c r="AL172" s="275">
        <v>0</v>
      </c>
      <c r="AM172" s="275">
        <v>0</v>
      </c>
      <c r="AN172" s="1112">
        <v>71728</v>
      </c>
      <c r="AO172" s="275">
        <v>0</v>
      </c>
      <c r="AP172" s="1112">
        <v>100369</v>
      </c>
      <c r="AQ172" s="275">
        <v>0</v>
      </c>
      <c r="AR172" s="1112">
        <v>2140</v>
      </c>
      <c r="AS172" s="1112">
        <v>8893</v>
      </c>
      <c r="AT172" s="275">
        <v>339</v>
      </c>
      <c r="AU172" s="1112">
        <v>76953</v>
      </c>
      <c r="AV172" s="275">
        <v>0</v>
      </c>
      <c r="AW172" s="1112">
        <v>36128</v>
      </c>
      <c r="AX172" s="1112">
        <v>3394</v>
      </c>
      <c r="AY172" s="1112">
        <v>51334</v>
      </c>
      <c r="AZ172" s="275">
        <v>0</v>
      </c>
      <c r="BA172" s="275">
        <v>0</v>
      </c>
      <c r="BB172" s="275">
        <v>0</v>
      </c>
      <c r="BC172" s="1112">
        <v>21096</v>
      </c>
      <c r="BD172" s="275">
        <v>0</v>
      </c>
      <c r="BE172" s="275">
        <v>39</v>
      </c>
      <c r="BF172" s="1112">
        <v>174714</v>
      </c>
      <c r="BG172" s="1112">
        <v>18061</v>
      </c>
      <c r="BH172" s="275">
        <v>651</v>
      </c>
      <c r="BI172" s="1112">
        <v>364405</v>
      </c>
      <c r="BJ172" s="275">
        <v>0</v>
      </c>
      <c r="BK172" s="1112">
        <v>4215</v>
      </c>
      <c r="BL172" s="275">
        <v>0</v>
      </c>
      <c r="BM172" s="275">
        <v>60</v>
      </c>
      <c r="BN172" s="1112">
        <v>68205</v>
      </c>
      <c r="BO172" s="1112">
        <v>13255</v>
      </c>
      <c r="BP172" s="1112">
        <v>23368</v>
      </c>
      <c r="BQ172" s="1112">
        <v>506865</v>
      </c>
      <c r="BR172" s="1112">
        <v>75646</v>
      </c>
      <c r="BS172" s="275">
        <v>0</v>
      </c>
    </row>
    <row r="173" spans="1:71" x14ac:dyDescent="0.3">
      <c r="A173" s="275">
        <v>523</v>
      </c>
      <c r="B173" s="275">
        <v>523</v>
      </c>
      <c r="C173" s="275" t="s">
        <v>285</v>
      </c>
      <c r="D173" s="275" t="s">
        <v>490</v>
      </c>
      <c r="E173" s="275">
        <v>0</v>
      </c>
      <c r="F173" s="1112">
        <v>2683973</v>
      </c>
      <c r="G173" s="1112">
        <v>5305</v>
      </c>
      <c r="H173" s="1112">
        <v>25344924</v>
      </c>
      <c r="I173" s="275">
        <v>0</v>
      </c>
      <c r="J173" s="275">
        <v>0</v>
      </c>
      <c r="K173" s="275">
        <v>0</v>
      </c>
      <c r="L173" s="1112">
        <v>5074</v>
      </c>
      <c r="M173" s="1112">
        <v>1509332</v>
      </c>
      <c r="N173" s="275">
        <v>0</v>
      </c>
      <c r="O173" s="275">
        <v>0</v>
      </c>
      <c r="P173" s="275">
        <v>0</v>
      </c>
      <c r="Q173" s="1112">
        <v>18578582</v>
      </c>
      <c r="R173" s="1112">
        <v>36080214</v>
      </c>
      <c r="S173" s="275">
        <v>0</v>
      </c>
      <c r="T173" s="275">
        <v>0</v>
      </c>
      <c r="U173" s="275">
        <v>0</v>
      </c>
      <c r="V173" s="275">
        <v>0</v>
      </c>
      <c r="W173" s="275">
        <v>0</v>
      </c>
      <c r="X173" s="275">
        <v>0</v>
      </c>
      <c r="Y173" s="275">
        <v>0</v>
      </c>
      <c r="Z173" s="275">
        <v>0</v>
      </c>
      <c r="AA173" s="275">
        <v>0</v>
      </c>
      <c r="AB173" s="275">
        <v>0</v>
      </c>
      <c r="AC173" s="1112">
        <v>159956</v>
      </c>
      <c r="AD173" s="275">
        <v>0</v>
      </c>
      <c r="AE173" s="275">
        <v>0</v>
      </c>
      <c r="AF173" s="275">
        <v>0</v>
      </c>
      <c r="AG173" s="275">
        <v>0</v>
      </c>
      <c r="AH173" s="1112">
        <v>1019441</v>
      </c>
      <c r="AI173" s="1112">
        <v>21228</v>
      </c>
      <c r="AJ173" s="275">
        <v>0</v>
      </c>
      <c r="AK173" s="1112">
        <v>7754881</v>
      </c>
      <c r="AL173" s="275">
        <v>0</v>
      </c>
      <c r="AM173" s="275">
        <v>0</v>
      </c>
      <c r="AN173" s="1112">
        <v>2558483</v>
      </c>
      <c r="AO173" s="275">
        <v>0</v>
      </c>
      <c r="AP173" s="275">
        <v>0</v>
      </c>
      <c r="AQ173" s="275">
        <v>0</v>
      </c>
      <c r="AR173" s="275">
        <v>0</v>
      </c>
      <c r="AS173" s="275">
        <v>0</v>
      </c>
      <c r="AT173" s="275">
        <v>0</v>
      </c>
      <c r="AU173" s="275">
        <v>0</v>
      </c>
      <c r="AV173" s="275">
        <v>0</v>
      </c>
      <c r="AW173" s="1112">
        <v>21459</v>
      </c>
      <c r="AX173" s="275">
        <v>0</v>
      </c>
      <c r="AY173" s="275">
        <v>0</v>
      </c>
      <c r="AZ173" s="1112">
        <v>158630</v>
      </c>
      <c r="BA173" s="275">
        <v>0</v>
      </c>
      <c r="BB173" s="275">
        <v>0</v>
      </c>
      <c r="BC173" s="1112">
        <v>99591</v>
      </c>
      <c r="BD173" s="275">
        <v>0</v>
      </c>
      <c r="BE173" s="275">
        <v>0</v>
      </c>
      <c r="BF173" s="275">
        <v>0</v>
      </c>
      <c r="BG173" s="275">
        <v>0</v>
      </c>
      <c r="BH173" s="275">
        <v>0</v>
      </c>
      <c r="BI173" s="275">
        <v>0</v>
      </c>
      <c r="BJ173" s="275">
        <v>0</v>
      </c>
      <c r="BK173" s="1112">
        <v>641793</v>
      </c>
      <c r="BL173" s="275">
        <v>0</v>
      </c>
      <c r="BM173" s="275">
        <v>0</v>
      </c>
      <c r="BN173" s="275">
        <v>0</v>
      </c>
      <c r="BO173" s="1112">
        <v>54765</v>
      </c>
      <c r="BP173" s="275">
        <v>0</v>
      </c>
      <c r="BQ173" s="1112">
        <v>79504163</v>
      </c>
      <c r="BR173" s="275">
        <v>0</v>
      </c>
      <c r="BS173" s="275">
        <v>0</v>
      </c>
    </row>
    <row r="174" spans="1:71" x14ac:dyDescent="0.3">
      <c r="A174" s="275">
        <v>524</v>
      </c>
      <c r="B174" s="275">
        <v>524</v>
      </c>
      <c r="C174" s="275" t="s">
        <v>286</v>
      </c>
      <c r="D174" s="275" t="s">
        <v>491</v>
      </c>
      <c r="E174" s="1112">
        <v>7335734</v>
      </c>
      <c r="F174" s="1112">
        <v>7309981</v>
      </c>
      <c r="G174" s="1112">
        <v>1559473</v>
      </c>
      <c r="H174" s="1112">
        <v>23963068</v>
      </c>
      <c r="I174" s="275">
        <v>0</v>
      </c>
      <c r="J174" s="1112">
        <v>12792735</v>
      </c>
      <c r="K174" s="1112">
        <v>6365520</v>
      </c>
      <c r="L174" s="1112">
        <v>1771770</v>
      </c>
      <c r="M174" s="1112">
        <v>95167251</v>
      </c>
      <c r="N174" s="275">
        <v>0</v>
      </c>
      <c r="O174" s="1112">
        <v>13452933</v>
      </c>
      <c r="P174" s="275">
        <v>0</v>
      </c>
      <c r="Q174" s="1112">
        <v>24319439</v>
      </c>
      <c r="R174" s="1112">
        <v>73006725</v>
      </c>
      <c r="S174" s="275">
        <v>0</v>
      </c>
      <c r="T174" s="1112">
        <v>359636</v>
      </c>
      <c r="U174" s="1112">
        <v>5617709</v>
      </c>
      <c r="V174" s="1112">
        <v>4084137</v>
      </c>
      <c r="W174" s="1112">
        <v>1113302</v>
      </c>
      <c r="X174" s="1112">
        <v>461644</v>
      </c>
      <c r="Y174" s="1112">
        <v>5995808</v>
      </c>
      <c r="Z174" s="275">
        <v>0</v>
      </c>
      <c r="AA174" s="1112">
        <v>2256018</v>
      </c>
      <c r="AB174" s="1112">
        <v>1872118</v>
      </c>
      <c r="AC174" s="1112">
        <v>3000301</v>
      </c>
      <c r="AD174" s="1112">
        <v>3936899</v>
      </c>
      <c r="AE174" s="1112">
        <v>1264075</v>
      </c>
      <c r="AF174" s="275">
        <v>0</v>
      </c>
      <c r="AG174" s="275">
        <v>0</v>
      </c>
      <c r="AH174" s="1112">
        <v>10016047</v>
      </c>
      <c r="AI174" s="1112">
        <v>7353534</v>
      </c>
      <c r="AJ174" s="1112">
        <v>3655849</v>
      </c>
      <c r="AK174" s="1112">
        <v>10871543</v>
      </c>
      <c r="AL174" s="275">
        <v>0</v>
      </c>
      <c r="AM174" s="275">
        <v>0</v>
      </c>
      <c r="AN174" s="1112">
        <v>2691965</v>
      </c>
      <c r="AO174" s="1112">
        <v>1276482</v>
      </c>
      <c r="AP174" s="1112">
        <v>9570938</v>
      </c>
      <c r="AQ174" s="275">
        <v>0</v>
      </c>
      <c r="AR174" s="1112">
        <v>7512217</v>
      </c>
      <c r="AS174" s="1112">
        <v>4640050</v>
      </c>
      <c r="AT174" s="1112">
        <v>2379064</v>
      </c>
      <c r="AU174" s="1112">
        <v>3338408</v>
      </c>
      <c r="AV174" s="275">
        <v>0</v>
      </c>
      <c r="AW174" s="1112">
        <v>3366130</v>
      </c>
      <c r="AX174" s="1112">
        <v>4397972</v>
      </c>
      <c r="AY174" s="1112">
        <v>8663072</v>
      </c>
      <c r="AZ174" s="1112">
        <v>661480</v>
      </c>
      <c r="BA174" s="275">
        <v>0</v>
      </c>
      <c r="BB174" s="275">
        <v>0</v>
      </c>
      <c r="BC174" s="1112">
        <v>3843199</v>
      </c>
      <c r="BD174" s="275">
        <v>0</v>
      </c>
      <c r="BE174" s="1112">
        <v>1437457</v>
      </c>
      <c r="BF174" s="1112">
        <v>20033289</v>
      </c>
      <c r="BG174" s="1112">
        <v>2221303</v>
      </c>
      <c r="BH174" s="1112">
        <v>669296</v>
      </c>
      <c r="BI174" s="1112">
        <v>10321636</v>
      </c>
      <c r="BJ174" s="1112">
        <v>1410047</v>
      </c>
      <c r="BK174" s="1112">
        <v>2259138</v>
      </c>
      <c r="BL174" s="275">
        <v>0</v>
      </c>
      <c r="BM174" s="1112">
        <v>609785</v>
      </c>
      <c r="BN174" s="1112">
        <v>6388964</v>
      </c>
      <c r="BO174" s="1112">
        <v>2702946</v>
      </c>
      <c r="BP174" s="1112">
        <v>6764846</v>
      </c>
      <c r="BQ174" s="1112">
        <v>54980250</v>
      </c>
      <c r="BR174" s="1112">
        <v>4180157</v>
      </c>
      <c r="BS174" s="275">
        <v>0</v>
      </c>
    </row>
    <row r="175" spans="1:71" x14ac:dyDescent="0.3">
      <c r="A175" s="275">
        <v>525</v>
      </c>
      <c r="B175" s="275">
        <v>525</v>
      </c>
      <c r="C175" s="275" t="s">
        <v>287</v>
      </c>
      <c r="D175" s="275" t="s">
        <v>492</v>
      </c>
      <c r="E175" s="1112">
        <v>1177738</v>
      </c>
      <c r="F175" s="275">
        <v>0</v>
      </c>
      <c r="G175" s="275">
        <v>0</v>
      </c>
      <c r="H175" s="275">
        <v>0</v>
      </c>
      <c r="I175" s="275">
        <v>0</v>
      </c>
      <c r="J175" s="275">
        <v>0</v>
      </c>
      <c r="K175" s="1112">
        <v>370000</v>
      </c>
      <c r="L175" s="275">
        <v>0</v>
      </c>
      <c r="M175" s="275">
        <v>0</v>
      </c>
      <c r="N175" s="275">
        <v>0</v>
      </c>
      <c r="O175" s="275">
        <v>0</v>
      </c>
      <c r="P175" s="275">
        <v>0</v>
      </c>
      <c r="Q175" s="275">
        <v>0</v>
      </c>
      <c r="R175" s="275">
        <v>0</v>
      </c>
      <c r="S175" s="275">
        <v>0</v>
      </c>
      <c r="T175" s="275">
        <v>0</v>
      </c>
      <c r="U175" s="275">
        <v>0</v>
      </c>
      <c r="V175" s="275">
        <v>0</v>
      </c>
      <c r="W175" s="275">
        <v>0</v>
      </c>
      <c r="X175" s="275">
        <v>0</v>
      </c>
      <c r="Y175" s="275">
        <v>0</v>
      </c>
      <c r="Z175" s="275">
        <v>0</v>
      </c>
      <c r="AA175" s="275">
        <v>0</v>
      </c>
      <c r="AB175" s="1112">
        <v>6251</v>
      </c>
      <c r="AC175" s="275">
        <v>0</v>
      </c>
      <c r="AD175" s="275">
        <v>0</v>
      </c>
      <c r="AE175" s="275">
        <v>0</v>
      </c>
      <c r="AF175" s="275">
        <v>0</v>
      </c>
      <c r="AG175" s="275">
        <v>0</v>
      </c>
      <c r="AH175" s="275">
        <v>0</v>
      </c>
      <c r="AI175" s="275">
        <v>0</v>
      </c>
      <c r="AJ175" s="275">
        <v>0</v>
      </c>
      <c r="AK175" s="1112">
        <v>136364</v>
      </c>
      <c r="AL175" s="275">
        <v>0</v>
      </c>
      <c r="AM175" s="275">
        <v>0</v>
      </c>
      <c r="AN175" s="275">
        <v>0</v>
      </c>
      <c r="AO175" s="275">
        <v>0</v>
      </c>
      <c r="AP175" s="275">
        <v>0</v>
      </c>
      <c r="AQ175" s="275">
        <v>0</v>
      </c>
      <c r="AR175" s="275">
        <v>0</v>
      </c>
      <c r="AS175" s="275">
        <v>0</v>
      </c>
      <c r="AT175" s="275">
        <v>0</v>
      </c>
      <c r="AU175" s="275">
        <v>0</v>
      </c>
      <c r="AV175" s="275">
        <v>0</v>
      </c>
      <c r="AW175" s="1112">
        <v>1185782</v>
      </c>
      <c r="AX175" s="275">
        <v>0</v>
      </c>
      <c r="AY175" s="275">
        <v>0</v>
      </c>
      <c r="AZ175" s="275">
        <v>0</v>
      </c>
      <c r="BA175" s="275">
        <v>0</v>
      </c>
      <c r="BB175" s="275">
        <v>0</v>
      </c>
      <c r="BC175" s="275">
        <v>0</v>
      </c>
      <c r="BD175" s="275">
        <v>0</v>
      </c>
      <c r="BE175" s="275">
        <v>0</v>
      </c>
      <c r="BF175" s="275">
        <v>0</v>
      </c>
      <c r="BG175" s="275">
        <v>0</v>
      </c>
      <c r="BH175" s="275">
        <v>0</v>
      </c>
      <c r="BI175" s="275">
        <v>0</v>
      </c>
      <c r="BJ175" s="275">
        <v>0</v>
      </c>
      <c r="BK175" s="275">
        <v>0</v>
      </c>
      <c r="BL175" s="275">
        <v>0</v>
      </c>
      <c r="BM175" s="275">
        <v>0</v>
      </c>
      <c r="BN175" s="275">
        <v>0</v>
      </c>
      <c r="BO175" s="275">
        <v>0</v>
      </c>
      <c r="BP175" s="275">
        <v>0</v>
      </c>
      <c r="BQ175" s="275">
        <v>0</v>
      </c>
      <c r="BR175" s="275">
        <v>0</v>
      </c>
      <c r="BS175" s="275">
        <v>0</v>
      </c>
    </row>
    <row r="176" spans="1:71" x14ac:dyDescent="0.3">
      <c r="A176" s="275">
        <v>526</v>
      </c>
      <c r="B176" s="275">
        <v>526</v>
      </c>
      <c r="C176" s="275" t="s">
        <v>288</v>
      </c>
      <c r="D176" s="275" t="s">
        <v>493</v>
      </c>
      <c r="E176" s="1112">
        <v>1044471</v>
      </c>
      <c r="F176" s="1112">
        <v>2039291</v>
      </c>
      <c r="G176" s="1112">
        <v>20994</v>
      </c>
      <c r="H176" s="1112">
        <v>4652767</v>
      </c>
      <c r="I176" s="275">
        <v>0</v>
      </c>
      <c r="J176" s="1112">
        <v>402554</v>
      </c>
      <c r="K176" s="1112">
        <v>824463</v>
      </c>
      <c r="L176" s="1112">
        <v>92120</v>
      </c>
      <c r="M176" s="1112">
        <v>7071098</v>
      </c>
      <c r="N176" s="275">
        <v>0</v>
      </c>
      <c r="O176" s="1112">
        <v>5322722</v>
      </c>
      <c r="P176" s="275">
        <v>0</v>
      </c>
      <c r="Q176" s="1112">
        <v>7682775</v>
      </c>
      <c r="R176" s="1112">
        <v>19602151</v>
      </c>
      <c r="S176" s="275">
        <v>0</v>
      </c>
      <c r="T176" s="275">
        <v>0</v>
      </c>
      <c r="U176" s="1112">
        <v>668074</v>
      </c>
      <c r="V176" s="1112">
        <v>351853</v>
      </c>
      <c r="W176" s="1112">
        <v>134619</v>
      </c>
      <c r="X176" s="1112">
        <v>3541</v>
      </c>
      <c r="Y176" s="1112">
        <v>1514256</v>
      </c>
      <c r="Z176" s="275">
        <v>0</v>
      </c>
      <c r="AA176" s="1112">
        <v>47314</v>
      </c>
      <c r="AB176" s="1112">
        <v>24018</v>
      </c>
      <c r="AC176" s="1112">
        <v>332499</v>
      </c>
      <c r="AD176" s="1112">
        <v>635480</v>
      </c>
      <c r="AE176" s="1112">
        <v>117223</v>
      </c>
      <c r="AF176" s="275">
        <v>0</v>
      </c>
      <c r="AG176" s="275">
        <v>0</v>
      </c>
      <c r="AH176" s="1112">
        <v>785628</v>
      </c>
      <c r="AI176" s="1112">
        <v>292725</v>
      </c>
      <c r="AJ176" s="1112">
        <v>564574</v>
      </c>
      <c r="AK176" s="1112">
        <v>8140597</v>
      </c>
      <c r="AL176" s="275">
        <v>0</v>
      </c>
      <c r="AM176" s="275">
        <v>0</v>
      </c>
      <c r="AN176" s="1112">
        <v>895389</v>
      </c>
      <c r="AO176" s="275">
        <v>0</v>
      </c>
      <c r="AP176" s="1112">
        <v>839279</v>
      </c>
      <c r="AQ176" s="275">
        <v>0</v>
      </c>
      <c r="AR176" s="1112">
        <v>289842</v>
      </c>
      <c r="AS176" s="1112">
        <v>360645</v>
      </c>
      <c r="AT176" s="1112">
        <v>84181</v>
      </c>
      <c r="AU176" s="1112">
        <v>723660</v>
      </c>
      <c r="AV176" s="275">
        <v>0</v>
      </c>
      <c r="AW176" s="1112">
        <v>421714</v>
      </c>
      <c r="AX176" s="1112">
        <v>165030</v>
      </c>
      <c r="AY176" s="1112">
        <v>1257405</v>
      </c>
      <c r="AZ176" s="275">
        <v>0</v>
      </c>
      <c r="BA176" s="275">
        <v>0</v>
      </c>
      <c r="BB176" s="275">
        <v>0</v>
      </c>
      <c r="BC176" s="1112">
        <v>125983</v>
      </c>
      <c r="BD176" s="275">
        <v>0</v>
      </c>
      <c r="BE176" s="1112">
        <v>14007</v>
      </c>
      <c r="BF176" s="1112">
        <v>4666213</v>
      </c>
      <c r="BG176" s="1112">
        <v>269739</v>
      </c>
      <c r="BH176" s="1112">
        <v>1628</v>
      </c>
      <c r="BI176" s="1112">
        <v>2510057</v>
      </c>
      <c r="BJ176" s="275">
        <v>0</v>
      </c>
      <c r="BK176" s="1112">
        <v>25994</v>
      </c>
      <c r="BL176" s="275">
        <v>0</v>
      </c>
      <c r="BM176" s="1112">
        <v>2131</v>
      </c>
      <c r="BN176" s="1112">
        <v>825152</v>
      </c>
      <c r="BO176" s="1112">
        <v>177245</v>
      </c>
      <c r="BP176" s="1112">
        <v>126576</v>
      </c>
      <c r="BQ176" s="1112">
        <v>4824986</v>
      </c>
      <c r="BR176" s="1112">
        <v>513695</v>
      </c>
      <c r="BS176" s="275">
        <v>0</v>
      </c>
    </row>
    <row r="177" spans="1:71" x14ac:dyDescent="0.3">
      <c r="A177" s="275">
        <v>527</v>
      </c>
      <c r="B177" s="275">
        <v>527</v>
      </c>
      <c r="C177" s="275" t="s">
        <v>289</v>
      </c>
      <c r="D177" s="275" t="s">
        <v>494</v>
      </c>
      <c r="E177" s="275">
        <v>0</v>
      </c>
      <c r="F177" s="275">
        <v>0</v>
      </c>
      <c r="G177" s="275">
        <v>0</v>
      </c>
      <c r="H177" s="1112">
        <v>2482840</v>
      </c>
      <c r="I177" s="275">
        <v>0</v>
      </c>
      <c r="J177" s="275">
        <v>0</v>
      </c>
      <c r="K177" s="275">
        <v>0</v>
      </c>
      <c r="L177" s="275">
        <v>0</v>
      </c>
      <c r="M177" s="1112">
        <v>3359723</v>
      </c>
      <c r="N177" s="275">
        <v>0</v>
      </c>
      <c r="O177" s="275">
        <v>0</v>
      </c>
      <c r="P177" s="275">
        <v>0</v>
      </c>
      <c r="Q177" s="275">
        <v>0</v>
      </c>
      <c r="R177" s="275">
        <v>0</v>
      </c>
      <c r="S177" s="275">
        <v>0</v>
      </c>
      <c r="T177" s="275">
        <v>0</v>
      </c>
      <c r="U177" s="275">
        <v>0</v>
      </c>
      <c r="V177" s="275">
        <v>0</v>
      </c>
      <c r="W177" s="275">
        <v>0</v>
      </c>
      <c r="X177" s="275">
        <v>0</v>
      </c>
      <c r="Y177" s="1112">
        <v>497024</v>
      </c>
      <c r="Z177" s="275">
        <v>0</v>
      </c>
      <c r="AA177" s="275">
        <v>0</v>
      </c>
      <c r="AB177" s="275">
        <v>0</v>
      </c>
      <c r="AC177" s="275">
        <v>0</v>
      </c>
      <c r="AD177" s="275">
        <v>0</v>
      </c>
      <c r="AE177" s="275">
        <v>0</v>
      </c>
      <c r="AF177" s="275">
        <v>0</v>
      </c>
      <c r="AG177" s="275">
        <v>0</v>
      </c>
      <c r="AH177" s="275">
        <v>0</v>
      </c>
      <c r="AI177" s="275">
        <v>0</v>
      </c>
      <c r="AJ177" s="1112">
        <v>23729</v>
      </c>
      <c r="AK177" s="275">
        <v>0</v>
      </c>
      <c r="AL177" s="275">
        <v>0</v>
      </c>
      <c r="AM177" s="275">
        <v>0</v>
      </c>
      <c r="AN177" s="275">
        <v>0</v>
      </c>
      <c r="AO177" s="275">
        <v>0</v>
      </c>
      <c r="AP177" s="275">
        <v>0</v>
      </c>
      <c r="AQ177" s="275">
        <v>0</v>
      </c>
      <c r="AR177" s="275">
        <v>0</v>
      </c>
      <c r="AS177" s="275">
        <v>0</v>
      </c>
      <c r="AT177" s="275">
        <v>0</v>
      </c>
      <c r="AU177" s="275">
        <v>0</v>
      </c>
      <c r="AV177" s="275">
        <v>0</v>
      </c>
      <c r="AW177" s="275">
        <v>0</v>
      </c>
      <c r="AX177" s="275">
        <v>0</v>
      </c>
      <c r="AY177" s="275">
        <v>0</v>
      </c>
      <c r="AZ177" s="275">
        <v>0</v>
      </c>
      <c r="BA177" s="275">
        <v>0</v>
      </c>
      <c r="BB177" s="275">
        <v>0</v>
      </c>
      <c r="BC177" s="275">
        <v>0</v>
      </c>
      <c r="BD177" s="275">
        <v>0</v>
      </c>
      <c r="BE177" s="275">
        <v>0</v>
      </c>
      <c r="BF177" s="275">
        <v>0</v>
      </c>
      <c r="BG177" s="275">
        <v>0</v>
      </c>
      <c r="BH177" s="275">
        <v>0</v>
      </c>
      <c r="BI177" s="275">
        <v>0</v>
      </c>
      <c r="BJ177" s="275">
        <v>0</v>
      </c>
      <c r="BK177" s="275">
        <v>0</v>
      </c>
      <c r="BL177" s="275">
        <v>0</v>
      </c>
      <c r="BM177" s="275">
        <v>0</v>
      </c>
      <c r="BN177" s="275">
        <v>0</v>
      </c>
      <c r="BO177" s="275">
        <v>0</v>
      </c>
      <c r="BP177" s="275">
        <v>0</v>
      </c>
      <c r="BQ177" s="275">
        <v>0</v>
      </c>
      <c r="BR177" s="275">
        <v>0</v>
      </c>
      <c r="BS177" s="275">
        <v>0</v>
      </c>
    </row>
    <row r="178" spans="1:71" x14ac:dyDescent="0.3">
      <c r="A178" s="275">
        <v>528</v>
      </c>
      <c r="B178" s="275">
        <v>528</v>
      </c>
      <c r="C178" s="275" t="s">
        <v>271</v>
      </c>
      <c r="D178" s="275" t="s">
        <v>495</v>
      </c>
      <c r="E178" s="1112">
        <v>3838378</v>
      </c>
      <c r="F178" s="1112">
        <v>2522914</v>
      </c>
      <c r="G178" s="1112">
        <v>205785</v>
      </c>
      <c r="H178" s="1112">
        <v>6057333</v>
      </c>
      <c r="I178" s="1112">
        <v>40607</v>
      </c>
      <c r="J178" s="1112">
        <v>649319</v>
      </c>
      <c r="K178" s="1112">
        <v>1702252</v>
      </c>
      <c r="L178" s="1112">
        <v>112100</v>
      </c>
      <c r="M178" s="1112">
        <v>27039391</v>
      </c>
      <c r="N178" s="275">
        <v>0</v>
      </c>
      <c r="O178" s="1112">
        <v>2634278</v>
      </c>
      <c r="P178" s="1112">
        <v>576772</v>
      </c>
      <c r="Q178" s="1112">
        <v>14853043</v>
      </c>
      <c r="R178" s="1112">
        <v>61821129</v>
      </c>
      <c r="S178" s="275">
        <v>0</v>
      </c>
      <c r="T178" s="1112">
        <v>41950</v>
      </c>
      <c r="U178" s="1112">
        <v>2588647</v>
      </c>
      <c r="V178" s="1112">
        <v>203194</v>
      </c>
      <c r="W178" s="1112">
        <v>125455</v>
      </c>
      <c r="X178" s="1112">
        <v>48282</v>
      </c>
      <c r="Y178" s="1112">
        <v>1115345</v>
      </c>
      <c r="Z178" s="1112">
        <v>215352</v>
      </c>
      <c r="AA178" s="1112">
        <v>188048</v>
      </c>
      <c r="AB178" s="1112">
        <v>108443</v>
      </c>
      <c r="AC178" s="1112">
        <v>8071521</v>
      </c>
      <c r="AD178" s="1112">
        <v>1226193</v>
      </c>
      <c r="AE178" s="1112">
        <v>109785</v>
      </c>
      <c r="AF178" s="1112">
        <v>87040</v>
      </c>
      <c r="AG178" s="1112">
        <v>11935</v>
      </c>
      <c r="AH178" s="1112">
        <v>3275016</v>
      </c>
      <c r="AI178" s="1112">
        <v>3774194</v>
      </c>
      <c r="AJ178" s="1112">
        <v>584826</v>
      </c>
      <c r="AK178" s="1112">
        <v>6828542</v>
      </c>
      <c r="AL178" s="275">
        <v>0</v>
      </c>
      <c r="AM178" s="1112">
        <v>23117</v>
      </c>
      <c r="AN178" s="1112">
        <v>1574479</v>
      </c>
      <c r="AO178" s="1112">
        <v>778488</v>
      </c>
      <c r="AP178" s="1112">
        <v>1629458</v>
      </c>
      <c r="AQ178" s="1112">
        <v>93583</v>
      </c>
      <c r="AR178" s="1112">
        <v>358030</v>
      </c>
      <c r="AS178" s="1112">
        <v>445646</v>
      </c>
      <c r="AT178" s="1112">
        <v>2481921</v>
      </c>
      <c r="AU178" s="1112">
        <v>758146</v>
      </c>
      <c r="AV178" s="275">
        <v>0</v>
      </c>
      <c r="AW178" s="1112">
        <v>3847797</v>
      </c>
      <c r="AX178" s="1112">
        <v>496639</v>
      </c>
      <c r="AY178" s="1112">
        <v>4309664</v>
      </c>
      <c r="AZ178" s="1112">
        <v>2821</v>
      </c>
      <c r="BA178" s="1112">
        <v>35507</v>
      </c>
      <c r="BB178" s="1112">
        <v>938634</v>
      </c>
      <c r="BC178" s="1112">
        <v>951171</v>
      </c>
      <c r="BD178" s="1112">
        <v>5825</v>
      </c>
      <c r="BE178" s="1112">
        <v>93628</v>
      </c>
      <c r="BF178" s="1112">
        <v>5797653</v>
      </c>
      <c r="BG178" s="1112">
        <v>380733</v>
      </c>
      <c r="BH178" s="1112">
        <v>38585</v>
      </c>
      <c r="BI178" s="1112">
        <v>4763354</v>
      </c>
      <c r="BJ178" s="1112">
        <v>263204</v>
      </c>
      <c r="BK178" s="1112">
        <v>386929</v>
      </c>
      <c r="BL178" s="1112">
        <v>83092</v>
      </c>
      <c r="BM178" s="1112">
        <v>69914</v>
      </c>
      <c r="BN178" s="1112">
        <v>545009</v>
      </c>
      <c r="BO178" s="1112">
        <v>152703</v>
      </c>
      <c r="BP178" s="1112">
        <v>1195889</v>
      </c>
      <c r="BQ178" s="1112">
        <v>27195346</v>
      </c>
      <c r="BR178" s="1112">
        <v>826934</v>
      </c>
      <c r="BS178" s="1112">
        <v>2132583</v>
      </c>
    </row>
    <row r="179" spans="1:71" x14ac:dyDescent="0.3">
      <c r="A179" s="275">
        <v>529</v>
      </c>
      <c r="B179" s="275">
        <v>529</v>
      </c>
      <c r="C179" s="275" t="s">
        <v>272</v>
      </c>
      <c r="D179" s="275" t="s">
        <v>496</v>
      </c>
      <c r="E179" s="1112">
        <v>295956</v>
      </c>
      <c r="F179" s="1112">
        <v>234846</v>
      </c>
      <c r="G179" s="1112">
        <v>26426</v>
      </c>
      <c r="H179" s="1112">
        <v>797797</v>
      </c>
      <c r="I179" s="1112">
        <v>4853</v>
      </c>
      <c r="J179" s="1112">
        <v>52450</v>
      </c>
      <c r="K179" s="1112">
        <v>218103</v>
      </c>
      <c r="L179" s="1112">
        <v>14643</v>
      </c>
      <c r="M179" s="1112">
        <v>2457411</v>
      </c>
      <c r="N179" s="275">
        <v>0</v>
      </c>
      <c r="O179" s="1112">
        <v>307948</v>
      </c>
      <c r="P179" s="1112">
        <v>96404</v>
      </c>
      <c r="Q179" s="1112">
        <v>1190889</v>
      </c>
      <c r="R179" s="1112">
        <v>3189517</v>
      </c>
      <c r="S179" s="275">
        <v>0</v>
      </c>
      <c r="T179" s="1112">
        <v>6710</v>
      </c>
      <c r="U179" s="1112">
        <v>53378</v>
      </c>
      <c r="V179" s="1112">
        <v>42477</v>
      </c>
      <c r="W179" s="1112">
        <v>12679</v>
      </c>
      <c r="X179" s="1112">
        <v>7867</v>
      </c>
      <c r="Y179" s="1112">
        <v>158916</v>
      </c>
      <c r="Z179" s="1112">
        <v>35930</v>
      </c>
      <c r="AA179" s="1112">
        <v>33061</v>
      </c>
      <c r="AB179" s="1112">
        <v>16564</v>
      </c>
      <c r="AC179" s="275">
        <v>0</v>
      </c>
      <c r="AD179" s="1112">
        <v>35706</v>
      </c>
      <c r="AE179" s="1112">
        <v>6801</v>
      </c>
      <c r="AF179" s="1112">
        <v>9850</v>
      </c>
      <c r="AG179" s="1112">
        <v>2575</v>
      </c>
      <c r="AH179" s="1112">
        <v>167578</v>
      </c>
      <c r="AI179" s="1112">
        <v>81508</v>
      </c>
      <c r="AJ179" s="1112">
        <v>51078</v>
      </c>
      <c r="AK179" s="1112">
        <v>638105</v>
      </c>
      <c r="AL179" s="275">
        <v>0</v>
      </c>
      <c r="AM179" s="1112">
        <v>2828</v>
      </c>
      <c r="AN179" s="1112">
        <v>150397</v>
      </c>
      <c r="AO179" s="1112">
        <v>61290</v>
      </c>
      <c r="AP179" s="1112">
        <v>158146</v>
      </c>
      <c r="AQ179" s="1112">
        <v>11285</v>
      </c>
      <c r="AR179" s="1112">
        <v>66425</v>
      </c>
      <c r="AS179" s="1112">
        <v>34647</v>
      </c>
      <c r="AT179" s="1112">
        <v>94886</v>
      </c>
      <c r="AU179" s="1112">
        <v>70596</v>
      </c>
      <c r="AV179" s="275">
        <v>0</v>
      </c>
      <c r="AW179" s="1112">
        <v>219631</v>
      </c>
      <c r="AX179" s="1112">
        <v>71113</v>
      </c>
      <c r="AY179" s="1112">
        <v>85949</v>
      </c>
      <c r="AZ179" s="275">
        <v>245</v>
      </c>
      <c r="BA179" s="1112">
        <v>4231</v>
      </c>
      <c r="BB179" s="1112">
        <v>129177</v>
      </c>
      <c r="BC179" s="1112">
        <v>125558</v>
      </c>
      <c r="BD179" s="275">
        <v>648</v>
      </c>
      <c r="BE179" s="1112">
        <v>20110</v>
      </c>
      <c r="BF179" s="1112">
        <v>231392</v>
      </c>
      <c r="BG179" s="1112">
        <v>42526</v>
      </c>
      <c r="BH179" s="1112">
        <v>7587</v>
      </c>
      <c r="BI179" s="1112">
        <v>271785</v>
      </c>
      <c r="BJ179" s="1112">
        <v>12962</v>
      </c>
      <c r="BK179" s="1112">
        <v>57941</v>
      </c>
      <c r="BL179" s="1112">
        <v>11641</v>
      </c>
      <c r="BM179" s="1112">
        <v>21105</v>
      </c>
      <c r="BN179" s="1112">
        <v>35823</v>
      </c>
      <c r="BO179" s="1112">
        <v>17685</v>
      </c>
      <c r="BP179" s="1112">
        <v>237472</v>
      </c>
      <c r="BQ179" s="1112">
        <v>2752756</v>
      </c>
      <c r="BR179" s="1112">
        <v>60950</v>
      </c>
      <c r="BS179" s="1112">
        <v>209618</v>
      </c>
    </row>
    <row r="180" spans="1:71" x14ac:dyDescent="0.3">
      <c r="A180" s="275">
        <v>530</v>
      </c>
      <c r="B180" s="275">
        <v>530</v>
      </c>
      <c r="C180" s="275" t="s">
        <v>273</v>
      </c>
      <c r="D180" s="275" t="s">
        <v>497</v>
      </c>
      <c r="E180" s="1112">
        <v>6070</v>
      </c>
      <c r="F180" s="1112">
        <v>92105</v>
      </c>
      <c r="G180" s="1112">
        <v>2643</v>
      </c>
      <c r="H180" s="1112">
        <v>172702</v>
      </c>
      <c r="I180" s="1112">
        <v>1607</v>
      </c>
      <c r="J180" s="1112">
        <v>38632</v>
      </c>
      <c r="K180" s="1112">
        <v>3138</v>
      </c>
      <c r="L180" s="1112">
        <v>21501</v>
      </c>
      <c r="M180" s="1112">
        <v>19095</v>
      </c>
      <c r="N180" s="275">
        <v>0</v>
      </c>
      <c r="O180" s="1112">
        <v>17653</v>
      </c>
      <c r="P180" s="275">
        <v>424</v>
      </c>
      <c r="Q180" s="1112">
        <v>48886</v>
      </c>
      <c r="R180" s="1112">
        <v>30323</v>
      </c>
      <c r="S180" s="275">
        <v>0</v>
      </c>
      <c r="T180" s="1112">
        <v>2144</v>
      </c>
      <c r="U180" s="1112">
        <v>2412</v>
      </c>
      <c r="V180" s="1112">
        <v>9960</v>
      </c>
      <c r="W180" s="1112">
        <v>6210</v>
      </c>
      <c r="X180" s="275">
        <v>814</v>
      </c>
      <c r="Y180" s="1112">
        <v>14406</v>
      </c>
      <c r="Z180" s="1112">
        <v>13056</v>
      </c>
      <c r="AA180" s="1112">
        <v>5328</v>
      </c>
      <c r="AB180" s="1112">
        <v>3206</v>
      </c>
      <c r="AC180" s="1112">
        <v>34393</v>
      </c>
      <c r="AD180" s="1112">
        <v>13252</v>
      </c>
      <c r="AE180" s="1112">
        <v>2800</v>
      </c>
      <c r="AF180" s="1112">
        <v>6818</v>
      </c>
      <c r="AG180" s="275">
        <v>189</v>
      </c>
      <c r="AH180" s="1112">
        <v>89320</v>
      </c>
      <c r="AI180" s="1112">
        <v>119365</v>
      </c>
      <c r="AJ180" s="1112">
        <v>24552</v>
      </c>
      <c r="AK180" s="1112">
        <v>26011</v>
      </c>
      <c r="AL180" s="275">
        <v>0</v>
      </c>
      <c r="AM180" s="1112">
        <v>1225</v>
      </c>
      <c r="AN180" s="1112">
        <v>2221</v>
      </c>
      <c r="AO180" s="1112">
        <v>3155</v>
      </c>
      <c r="AP180" s="1112">
        <v>56951</v>
      </c>
      <c r="AQ180" s="275">
        <v>471</v>
      </c>
      <c r="AR180" s="1112">
        <v>11529</v>
      </c>
      <c r="AS180" s="1112">
        <v>14101</v>
      </c>
      <c r="AT180" s="1112">
        <v>1344</v>
      </c>
      <c r="AU180" s="1112">
        <v>21170</v>
      </c>
      <c r="AV180" s="275">
        <v>0</v>
      </c>
      <c r="AW180" s="1112">
        <v>3173</v>
      </c>
      <c r="AX180" s="1112">
        <v>35238</v>
      </c>
      <c r="AY180" s="1112">
        <v>56985</v>
      </c>
      <c r="AZ180" s="275">
        <v>212</v>
      </c>
      <c r="BA180" s="1112">
        <v>1426</v>
      </c>
      <c r="BB180" s="1112">
        <v>21264</v>
      </c>
      <c r="BC180" s="1112">
        <v>9104</v>
      </c>
      <c r="BD180" s="275">
        <v>548</v>
      </c>
      <c r="BE180" s="1112">
        <v>12638</v>
      </c>
      <c r="BF180" s="1112">
        <v>28785</v>
      </c>
      <c r="BG180" s="1112">
        <v>5613</v>
      </c>
      <c r="BH180" s="1112">
        <v>1628</v>
      </c>
      <c r="BI180" s="1112">
        <v>3746</v>
      </c>
      <c r="BJ180" s="1112">
        <v>5972</v>
      </c>
      <c r="BK180" s="1112">
        <v>3845</v>
      </c>
      <c r="BL180" s="1112">
        <v>6508</v>
      </c>
      <c r="BM180" s="1112">
        <v>2726</v>
      </c>
      <c r="BN180" s="1112">
        <v>17350</v>
      </c>
      <c r="BO180" s="1112">
        <v>3886</v>
      </c>
      <c r="BP180" s="1112">
        <v>23310</v>
      </c>
      <c r="BQ180" s="1112">
        <v>381824</v>
      </c>
      <c r="BR180" s="1112">
        <v>19460</v>
      </c>
      <c r="BS180" s="1112">
        <v>22733</v>
      </c>
    </row>
    <row r="181" spans="1:71" x14ac:dyDescent="0.3">
      <c r="A181" s="275">
        <v>531</v>
      </c>
      <c r="B181" s="275">
        <v>531</v>
      </c>
      <c r="C181" s="275" t="s">
        <v>274</v>
      </c>
      <c r="D181" s="275" t="s">
        <v>498</v>
      </c>
      <c r="E181" s="275">
        <v>0</v>
      </c>
      <c r="F181" s="275">
        <v>0</v>
      </c>
      <c r="G181" s="275">
        <v>0</v>
      </c>
      <c r="H181" s="1112">
        <v>6453</v>
      </c>
      <c r="I181" s="275">
        <v>0</v>
      </c>
      <c r="J181" s="1112">
        <v>1624</v>
      </c>
      <c r="K181" s="275">
        <v>0</v>
      </c>
      <c r="L181" s="275">
        <v>0</v>
      </c>
      <c r="M181" s="1112">
        <v>12222</v>
      </c>
      <c r="N181" s="275">
        <v>0</v>
      </c>
      <c r="O181" s="275">
        <v>0</v>
      </c>
      <c r="P181" s="275">
        <v>0</v>
      </c>
      <c r="Q181" s="1112">
        <v>2080</v>
      </c>
      <c r="R181" s="275">
        <v>0</v>
      </c>
      <c r="S181" s="275">
        <v>0</v>
      </c>
      <c r="T181" s="275">
        <v>0</v>
      </c>
      <c r="U181" s="275">
        <v>0</v>
      </c>
      <c r="V181" s="275">
        <v>0</v>
      </c>
      <c r="W181" s="275">
        <v>0</v>
      </c>
      <c r="X181" s="275">
        <v>0</v>
      </c>
      <c r="Y181" s="275">
        <v>828</v>
      </c>
      <c r="Z181" s="275">
        <v>0</v>
      </c>
      <c r="AA181" s="275">
        <v>0</v>
      </c>
      <c r="AB181" s="275">
        <v>0</v>
      </c>
      <c r="AC181" s="275">
        <v>0</v>
      </c>
      <c r="AD181" s="275">
        <v>0</v>
      </c>
      <c r="AE181" s="275">
        <v>0</v>
      </c>
      <c r="AF181" s="275">
        <v>0</v>
      </c>
      <c r="AG181" s="275">
        <v>0</v>
      </c>
      <c r="AH181" s="275">
        <v>0</v>
      </c>
      <c r="AI181" s="275">
        <v>0</v>
      </c>
      <c r="AJ181" s="275">
        <v>0</v>
      </c>
      <c r="AK181" s="275">
        <v>0</v>
      </c>
      <c r="AL181" s="275">
        <v>0</v>
      </c>
      <c r="AM181" s="275">
        <v>0</v>
      </c>
      <c r="AN181" s="275">
        <v>0</v>
      </c>
      <c r="AO181" s="275">
        <v>0</v>
      </c>
      <c r="AP181" s="275">
        <v>647</v>
      </c>
      <c r="AQ181" s="275">
        <v>0</v>
      </c>
      <c r="AR181" s="275">
        <v>0</v>
      </c>
      <c r="AS181" s="275">
        <v>0</v>
      </c>
      <c r="AT181" s="275">
        <v>11</v>
      </c>
      <c r="AU181" s="275">
        <v>0</v>
      </c>
      <c r="AV181" s="275">
        <v>0</v>
      </c>
      <c r="AW181" s="275">
        <v>0</v>
      </c>
      <c r="AX181" s="275">
        <v>0</v>
      </c>
      <c r="AY181" s="275">
        <v>0</v>
      </c>
      <c r="AZ181" s="275">
        <v>0</v>
      </c>
      <c r="BA181" s="275">
        <v>0</v>
      </c>
      <c r="BB181" s="275">
        <v>0</v>
      </c>
      <c r="BC181" s="275">
        <v>0</v>
      </c>
      <c r="BD181" s="275">
        <v>0</v>
      </c>
      <c r="BE181" s="275">
        <v>0</v>
      </c>
      <c r="BF181" s="275">
        <v>814</v>
      </c>
      <c r="BG181" s="275">
        <v>0</v>
      </c>
      <c r="BH181" s="275">
        <v>0</v>
      </c>
      <c r="BI181" s="275">
        <v>0</v>
      </c>
      <c r="BJ181" s="275">
        <v>0</v>
      </c>
      <c r="BK181" s="275">
        <v>678</v>
      </c>
      <c r="BL181" s="275">
        <v>0</v>
      </c>
      <c r="BM181" s="275">
        <v>0</v>
      </c>
      <c r="BN181" s="275">
        <v>0</v>
      </c>
      <c r="BO181" s="275">
        <v>328</v>
      </c>
      <c r="BP181" s="1112">
        <v>11146</v>
      </c>
      <c r="BQ181" s="1112">
        <v>18659</v>
      </c>
      <c r="BR181" s="275">
        <v>0</v>
      </c>
      <c r="BS181" s="275">
        <v>0</v>
      </c>
    </row>
    <row r="182" spans="1:71" x14ac:dyDescent="0.3">
      <c r="A182" s="275">
        <v>532</v>
      </c>
      <c r="B182" s="275">
        <v>532</v>
      </c>
      <c r="C182" s="275" t="s">
        <v>568</v>
      </c>
      <c r="D182" s="275" t="s">
        <v>499</v>
      </c>
      <c r="E182" s="1112">
        <v>8902771</v>
      </c>
      <c r="F182" s="1112">
        <v>5621834</v>
      </c>
      <c r="G182" s="1112">
        <v>331755</v>
      </c>
      <c r="H182" s="1112">
        <v>15549511</v>
      </c>
      <c r="I182" s="1112">
        <v>133310</v>
      </c>
      <c r="J182" s="1112">
        <v>1186180</v>
      </c>
      <c r="K182" s="1112">
        <v>3720425</v>
      </c>
      <c r="L182" s="1112">
        <v>444145</v>
      </c>
      <c r="M182" s="1112">
        <v>53170576</v>
      </c>
      <c r="N182" s="1112">
        <v>24004</v>
      </c>
      <c r="O182" s="1112">
        <v>9479631</v>
      </c>
      <c r="P182" s="1112">
        <v>1509279</v>
      </c>
      <c r="Q182" s="1112">
        <v>28128798</v>
      </c>
      <c r="R182" s="1112">
        <v>110113170</v>
      </c>
      <c r="S182" s="275">
        <v>0</v>
      </c>
      <c r="T182" s="1112">
        <v>484895</v>
      </c>
      <c r="U182" s="1112">
        <v>7050365</v>
      </c>
      <c r="V182" s="1112">
        <v>631174</v>
      </c>
      <c r="W182" s="1112">
        <v>409401</v>
      </c>
      <c r="X182" s="1112">
        <v>176874</v>
      </c>
      <c r="Y182" s="1112">
        <v>5529179</v>
      </c>
      <c r="Z182" s="1112">
        <v>1247347</v>
      </c>
      <c r="AA182" s="1112">
        <v>483551</v>
      </c>
      <c r="AB182" s="1112">
        <v>725089</v>
      </c>
      <c r="AC182" s="1112">
        <v>13229868</v>
      </c>
      <c r="AD182" s="1112">
        <v>1984630</v>
      </c>
      <c r="AE182" s="1112">
        <v>229737</v>
      </c>
      <c r="AF182" s="1112">
        <v>311926</v>
      </c>
      <c r="AG182" s="1112">
        <v>40891</v>
      </c>
      <c r="AH182" s="1112">
        <v>8101780</v>
      </c>
      <c r="AI182" s="1112">
        <v>6305597</v>
      </c>
      <c r="AJ182" s="1112">
        <v>1681365</v>
      </c>
      <c r="AK182" s="1112">
        <v>13517531</v>
      </c>
      <c r="AL182" s="275">
        <v>0</v>
      </c>
      <c r="AM182" s="1112">
        <v>81738</v>
      </c>
      <c r="AN182" s="1112">
        <v>4158148</v>
      </c>
      <c r="AO182" s="1112">
        <v>1797440</v>
      </c>
      <c r="AP182" s="1112">
        <v>4361156</v>
      </c>
      <c r="AQ182" s="1112">
        <v>179743</v>
      </c>
      <c r="AR182" s="1112">
        <v>855529</v>
      </c>
      <c r="AS182" s="1112">
        <v>1077718</v>
      </c>
      <c r="AT182" s="1112">
        <v>3722843</v>
      </c>
      <c r="AU182" s="1112">
        <v>1675107</v>
      </c>
      <c r="AV182" s="275">
        <v>0</v>
      </c>
      <c r="AW182" s="1112">
        <v>8652778</v>
      </c>
      <c r="AX182" s="1112">
        <v>1396705</v>
      </c>
      <c r="AY182" s="1112">
        <v>8830568</v>
      </c>
      <c r="AZ182" s="1112">
        <v>51241</v>
      </c>
      <c r="BA182" s="1112">
        <v>204214</v>
      </c>
      <c r="BB182" s="1112">
        <v>6292040</v>
      </c>
      <c r="BC182" s="1112">
        <v>2428784</v>
      </c>
      <c r="BD182" s="1112">
        <v>30577</v>
      </c>
      <c r="BE182" s="1112">
        <v>461224</v>
      </c>
      <c r="BF182" s="1112">
        <v>15763116</v>
      </c>
      <c r="BG182" s="1112">
        <v>744110</v>
      </c>
      <c r="BH182" s="1112">
        <v>173076</v>
      </c>
      <c r="BI182" s="1112">
        <v>8185415</v>
      </c>
      <c r="BJ182" s="1112">
        <v>786988</v>
      </c>
      <c r="BK182" s="1112">
        <v>932966</v>
      </c>
      <c r="BL182" s="1112">
        <v>287648</v>
      </c>
      <c r="BM182" s="1112">
        <v>371677</v>
      </c>
      <c r="BN182" s="1112">
        <v>1487158</v>
      </c>
      <c r="BO182" s="1112">
        <v>435921</v>
      </c>
      <c r="BP182" s="1112">
        <v>4436586</v>
      </c>
      <c r="BQ182" s="1112">
        <v>60662807</v>
      </c>
      <c r="BR182" s="1112">
        <v>1981849</v>
      </c>
      <c r="BS182" s="1112">
        <v>6136777</v>
      </c>
    </row>
    <row r="183" spans="1:71" x14ac:dyDescent="0.3">
      <c r="A183" s="275">
        <v>533</v>
      </c>
      <c r="B183" s="275">
        <v>533</v>
      </c>
      <c r="C183" s="275" t="s">
        <v>569</v>
      </c>
      <c r="D183" s="275" t="s">
        <v>500</v>
      </c>
      <c r="E183" s="1112">
        <v>349041</v>
      </c>
      <c r="F183" s="275">
        <v>0</v>
      </c>
      <c r="G183" s="275">
        <v>0</v>
      </c>
      <c r="H183" s="1112">
        <v>266958</v>
      </c>
      <c r="I183" s="275">
        <v>0</v>
      </c>
      <c r="J183" s="275">
        <v>0</v>
      </c>
      <c r="K183" s="275">
        <v>0</v>
      </c>
      <c r="L183" s="275">
        <v>0</v>
      </c>
      <c r="M183" s="275">
        <v>0</v>
      </c>
      <c r="N183" s="275">
        <v>0</v>
      </c>
      <c r="O183" s="275">
        <v>0</v>
      </c>
      <c r="P183" s="1112">
        <v>400000</v>
      </c>
      <c r="Q183" s="1112">
        <v>611738</v>
      </c>
      <c r="R183" s="275">
        <v>0</v>
      </c>
      <c r="S183" s="275">
        <v>0</v>
      </c>
      <c r="T183" s="275">
        <v>0</v>
      </c>
      <c r="U183" s="275">
        <v>0</v>
      </c>
      <c r="V183" s="275">
        <v>0</v>
      </c>
      <c r="W183" s="275">
        <v>0</v>
      </c>
      <c r="X183" s="275">
        <v>0</v>
      </c>
      <c r="Y183" s="1112">
        <v>639078</v>
      </c>
      <c r="Z183" s="275">
        <v>0</v>
      </c>
      <c r="AA183" s="275">
        <v>0</v>
      </c>
      <c r="AB183" s="1112">
        <v>38022</v>
      </c>
      <c r="AC183" s="275">
        <v>0</v>
      </c>
      <c r="AD183" s="1112">
        <v>42906</v>
      </c>
      <c r="AE183" s="275">
        <v>0</v>
      </c>
      <c r="AF183" s="275">
        <v>0</v>
      </c>
      <c r="AG183" s="275">
        <v>0</v>
      </c>
      <c r="AH183" s="1112">
        <v>975091</v>
      </c>
      <c r="AI183" s="275">
        <v>0</v>
      </c>
      <c r="AJ183" s="275">
        <v>0</v>
      </c>
      <c r="AK183" s="1112">
        <v>606000</v>
      </c>
      <c r="AL183" s="275">
        <v>0</v>
      </c>
      <c r="AM183" s="275">
        <v>0</v>
      </c>
      <c r="AN183" s="275">
        <v>0</v>
      </c>
      <c r="AO183" s="275">
        <v>0</v>
      </c>
      <c r="AP183" s="1112">
        <v>164250</v>
      </c>
      <c r="AQ183" s="275">
        <v>0</v>
      </c>
      <c r="AR183" s="275">
        <v>0</v>
      </c>
      <c r="AS183" s="275">
        <v>0</v>
      </c>
      <c r="AT183" s="275">
        <v>0</v>
      </c>
      <c r="AU183" s="275">
        <v>0</v>
      </c>
      <c r="AV183" s="275">
        <v>0</v>
      </c>
      <c r="AW183" s="1112">
        <v>434150</v>
      </c>
      <c r="AX183" s="1112">
        <v>61600</v>
      </c>
      <c r="AY183" s="1112">
        <v>247600</v>
      </c>
      <c r="AZ183" s="275">
        <v>0</v>
      </c>
      <c r="BA183" s="275">
        <v>0</v>
      </c>
      <c r="BB183" s="1112">
        <v>2000000</v>
      </c>
      <c r="BC183" s="275">
        <v>0</v>
      </c>
      <c r="BD183" s="275">
        <v>0</v>
      </c>
      <c r="BE183" s="275">
        <v>0</v>
      </c>
      <c r="BF183" s="1112">
        <v>204090</v>
      </c>
      <c r="BG183" s="275">
        <v>0</v>
      </c>
      <c r="BH183" s="275">
        <v>0</v>
      </c>
      <c r="BI183" s="275">
        <v>0</v>
      </c>
      <c r="BJ183" s="275">
        <v>0</v>
      </c>
      <c r="BK183" s="1112">
        <v>25520</v>
      </c>
      <c r="BL183" s="275">
        <v>0</v>
      </c>
      <c r="BM183" s="275">
        <v>0</v>
      </c>
      <c r="BN183" s="275">
        <v>0</v>
      </c>
      <c r="BO183" s="275">
        <v>0</v>
      </c>
      <c r="BP183" s="1112">
        <v>148742</v>
      </c>
      <c r="BQ183" s="1112">
        <v>2154743</v>
      </c>
      <c r="BR183" s="275">
        <v>0</v>
      </c>
      <c r="BS183" s="275">
        <v>0</v>
      </c>
    </row>
    <row r="184" spans="1:71" x14ac:dyDescent="0.3">
      <c r="A184" s="275"/>
      <c r="B184" s="275">
        <v>534</v>
      </c>
      <c r="C184" s="275" t="s">
        <v>275</v>
      </c>
      <c r="D184" s="275" t="s">
        <v>501</v>
      </c>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c r="AN184" s="275"/>
      <c r="AO184" s="275"/>
      <c r="AP184" s="275"/>
      <c r="AQ184" s="275"/>
      <c r="AR184" s="275"/>
      <c r="AS184" s="275"/>
      <c r="AT184" s="275"/>
      <c r="AU184" s="275"/>
      <c r="AV184" s="275"/>
      <c r="AW184" s="275"/>
      <c r="AX184" s="275"/>
      <c r="AY184" s="275"/>
      <c r="AZ184" s="275"/>
      <c r="BA184" s="275"/>
      <c r="BB184" s="275"/>
      <c r="BC184" s="275"/>
      <c r="BD184" s="275"/>
      <c r="BE184" s="275"/>
      <c r="BF184" s="275"/>
      <c r="BG184" s="275"/>
      <c r="BH184" s="275"/>
      <c r="BI184" s="275"/>
      <c r="BJ184" s="275"/>
      <c r="BK184" s="275"/>
      <c r="BL184" s="275"/>
      <c r="BM184" s="275"/>
      <c r="BN184" s="275"/>
      <c r="BO184" s="275"/>
      <c r="BP184" s="275"/>
      <c r="BQ184" s="275"/>
      <c r="BR184" s="275"/>
      <c r="BS184" s="275"/>
    </row>
    <row r="185" spans="1:71" x14ac:dyDescent="0.3">
      <c r="A185" s="275">
        <v>535</v>
      </c>
      <c r="B185" s="275">
        <v>535</v>
      </c>
      <c r="C185" s="275" t="s">
        <v>253</v>
      </c>
      <c r="D185" s="275" t="s">
        <v>502</v>
      </c>
      <c r="E185" s="275">
        <v>0</v>
      </c>
      <c r="F185" s="275">
        <v>0</v>
      </c>
      <c r="G185" s="275">
        <v>0</v>
      </c>
      <c r="H185" s="275">
        <v>0</v>
      </c>
      <c r="I185" s="275">
        <v>0</v>
      </c>
      <c r="J185" s="275">
        <v>0</v>
      </c>
      <c r="K185" s="275">
        <v>0</v>
      </c>
      <c r="L185" s="275">
        <v>0</v>
      </c>
      <c r="M185" s="1112">
        <v>18237153</v>
      </c>
      <c r="N185" s="275">
        <v>0</v>
      </c>
      <c r="O185" s="275">
        <v>0</v>
      </c>
      <c r="P185" s="275">
        <v>0</v>
      </c>
      <c r="Q185" s="1112">
        <v>78717</v>
      </c>
      <c r="R185" s="275">
        <v>0</v>
      </c>
      <c r="S185" s="275">
        <v>0</v>
      </c>
      <c r="T185" s="275">
        <v>0</v>
      </c>
      <c r="U185" s="275">
        <v>0</v>
      </c>
      <c r="V185" s="275">
        <v>0</v>
      </c>
      <c r="W185" s="275">
        <v>0</v>
      </c>
      <c r="X185" s="275">
        <v>0</v>
      </c>
      <c r="Y185" s="275">
        <v>0</v>
      </c>
      <c r="Z185" s="275">
        <v>0</v>
      </c>
      <c r="AA185" s="275">
        <v>0</v>
      </c>
      <c r="AB185" s="275">
        <v>0</v>
      </c>
      <c r="AC185" s="275">
        <v>0</v>
      </c>
      <c r="AD185" s="275">
        <v>0</v>
      </c>
      <c r="AE185" s="275">
        <v>0</v>
      </c>
      <c r="AF185" s="275">
        <v>0</v>
      </c>
      <c r="AG185" s="275">
        <v>0</v>
      </c>
      <c r="AH185" s="275">
        <v>0</v>
      </c>
      <c r="AI185" s="275">
        <v>0</v>
      </c>
      <c r="AJ185" s="275">
        <v>0</v>
      </c>
      <c r="AK185" s="1112">
        <v>2835992</v>
      </c>
      <c r="AL185" s="275">
        <v>0</v>
      </c>
      <c r="AM185" s="275">
        <v>0</v>
      </c>
      <c r="AN185" s="275">
        <v>0</v>
      </c>
      <c r="AO185" s="275">
        <v>0</v>
      </c>
      <c r="AP185" s="275">
        <v>0</v>
      </c>
      <c r="AQ185" s="275">
        <v>0</v>
      </c>
      <c r="AR185" s="275">
        <v>0</v>
      </c>
      <c r="AS185" s="275">
        <v>0</v>
      </c>
      <c r="AT185" s="275">
        <v>0</v>
      </c>
      <c r="AU185" s="275">
        <v>0</v>
      </c>
      <c r="AV185" s="275">
        <v>0</v>
      </c>
      <c r="AW185" s="275">
        <v>0</v>
      </c>
      <c r="AX185" s="275">
        <v>0</v>
      </c>
      <c r="AY185" s="1112">
        <v>293955</v>
      </c>
      <c r="AZ185" s="275">
        <v>0</v>
      </c>
      <c r="BA185" s="275">
        <v>0</v>
      </c>
      <c r="BB185" s="275">
        <v>0</v>
      </c>
      <c r="BC185" s="275">
        <v>1</v>
      </c>
      <c r="BD185" s="275">
        <v>0</v>
      </c>
      <c r="BE185" s="275">
        <v>0</v>
      </c>
      <c r="BF185" s="275">
        <v>0</v>
      </c>
      <c r="BG185" s="275">
        <v>0</v>
      </c>
      <c r="BH185" s="275">
        <v>0</v>
      </c>
      <c r="BI185" s="275">
        <v>0</v>
      </c>
      <c r="BJ185" s="275">
        <v>0</v>
      </c>
      <c r="BK185" s="275">
        <v>0</v>
      </c>
      <c r="BL185" s="275">
        <v>0</v>
      </c>
      <c r="BM185" s="275">
        <v>0</v>
      </c>
      <c r="BN185" s="275">
        <v>0</v>
      </c>
      <c r="BO185" s="275">
        <v>0</v>
      </c>
      <c r="BP185" s="275">
        <v>0</v>
      </c>
      <c r="BQ185" s="275">
        <v>0</v>
      </c>
      <c r="BR185" s="275">
        <v>0</v>
      </c>
      <c r="BS185" s="275">
        <v>0</v>
      </c>
    </row>
    <row r="186" spans="1:71" x14ac:dyDescent="0.3">
      <c r="A186" s="275">
        <v>536</v>
      </c>
      <c r="B186" s="275">
        <v>536</v>
      </c>
      <c r="C186" s="275" t="s">
        <v>199</v>
      </c>
      <c r="D186" s="275" t="s">
        <v>503</v>
      </c>
      <c r="E186" s="1112">
        <v>614642</v>
      </c>
      <c r="F186" s="275">
        <v>0</v>
      </c>
      <c r="G186" s="1112">
        <v>19291</v>
      </c>
      <c r="H186" s="1112">
        <v>165846</v>
      </c>
      <c r="I186" s="1112">
        <v>8503</v>
      </c>
      <c r="J186" s="1112">
        <v>332951</v>
      </c>
      <c r="K186" s="1112">
        <v>247848</v>
      </c>
      <c r="L186" s="1112">
        <v>79621</v>
      </c>
      <c r="M186" s="1112">
        <v>1504135</v>
      </c>
      <c r="N186" s="275">
        <v>0</v>
      </c>
      <c r="O186" s="1112">
        <v>918806</v>
      </c>
      <c r="P186" s="275">
        <v>0</v>
      </c>
      <c r="Q186" s="1112">
        <v>794698</v>
      </c>
      <c r="R186" s="1112">
        <v>413360</v>
      </c>
      <c r="S186" s="275">
        <v>0</v>
      </c>
      <c r="T186" s="1112">
        <v>8829</v>
      </c>
      <c r="U186" s="1112">
        <v>330550</v>
      </c>
      <c r="V186" s="1112">
        <v>54114</v>
      </c>
      <c r="W186" s="1112">
        <v>48090</v>
      </c>
      <c r="X186" s="275">
        <v>0</v>
      </c>
      <c r="Y186" s="1112">
        <v>327865</v>
      </c>
      <c r="Z186" s="1112">
        <v>103888</v>
      </c>
      <c r="AA186" s="1112">
        <v>104188</v>
      </c>
      <c r="AB186" s="1112">
        <v>76631</v>
      </c>
      <c r="AC186" s="1112">
        <v>82495</v>
      </c>
      <c r="AD186" s="275">
        <v>0</v>
      </c>
      <c r="AE186" s="275">
        <v>0</v>
      </c>
      <c r="AF186" s="1112">
        <v>38831</v>
      </c>
      <c r="AG186" s="1112">
        <v>17424</v>
      </c>
      <c r="AH186" s="1112">
        <v>36836</v>
      </c>
      <c r="AI186" s="275">
        <v>0</v>
      </c>
      <c r="AJ186" s="1112">
        <v>192173</v>
      </c>
      <c r="AK186" s="1112">
        <v>1559269</v>
      </c>
      <c r="AL186" s="275">
        <v>0</v>
      </c>
      <c r="AM186" s="275">
        <v>0</v>
      </c>
      <c r="AN186" s="1112">
        <v>77166</v>
      </c>
      <c r="AO186" s="1112">
        <v>256281</v>
      </c>
      <c r="AP186" s="1112">
        <v>312186</v>
      </c>
      <c r="AQ186" s="1112">
        <v>117875</v>
      </c>
      <c r="AR186" s="1112">
        <v>28494</v>
      </c>
      <c r="AS186" s="275">
        <v>174</v>
      </c>
      <c r="AT186" s="275">
        <v>0</v>
      </c>
      <c r="AU186" s="1112">
        <v>89645</v>
      </c>
      <c r="AV186" s="275">
        <v>0</v>
      </c>
      <c r="AW186" s="1112">
        <v>281293</v>
      </c>
      <c r="AX186" s="1112">
        <v>2934</v>
      </c>
      <c r="AY186" s="1112">
        <v>141778</v>
      </c>
      <c r="AZ186" s="1112">
        <v>24545</v>
      </c>
      <c r="BA186" s="1112">
        <v>44776</v>
      </c>
      <c r="BB186" s="1112">
        <v>803319</v>
      </c>
      <c r="BC186" s="1112">
        <v>487995</v>
      </c>
      <c r="BD186" s="1112">
        <v>17332</v>
      </c>
      <c r="BE186" s="1112">
        <v>8341</v>
      </c>
      <c r="BF186" s="1112">
        <v>514786</v>
      </c>
      <c r="BG186" s="1112">
        <v>22367</v>
      </c>
      <c r="BH186" s="1112">
        <v>55228</v>
      </c>
      <c r="BI186" s="1112">
        <v>226204</v>
      </c>
      <c r="BJ186" s="1112">
        <v>36877</v>
      </c>
      <c r="BK186" s="1112">
        <v>219925</v>
      </c>
      <c r="BL186" s="1112">
        <v>5712</v>
      </c>
      <c r="BM186" s="275">
        <v>0</v>
      </c>
      <c r="BN186" s="1112">
        <v>65367</v>
      </c>
      <c r="BO186" s="1112">
        <v>51379</v>
      </c>
      <c r="BP186" s="275">
        <v>0</v>
      </c>
      <c r="BQ186" s="1112">
        <v>4004732</v>
      </c>
      <c r="BR186" s="1112">
        <v>88572</v>
      </c>
      <c r="BS186" s="1112">
        <v>502451</v>
      </c>
    </row>
    <row r="187" spans="1:71" x14ac:dyDescent="0.3">
      <c r="A187" s="275">
        <v>537</v>
      </c>
      <c r="B187" s="275">
        <v>537</v>
      </c>
      <c r="C187" s="275" t="s">
        <v>295</v>
      </c>
      <c r="D187" s="275" t="s">
        <v>504</v>
      </c>
      <c r="E187" s="275">
        <v>1</v>
      </c>
      <c r="F187" s="275">
        <v>1</v>
      </c>
      <c r="G187" s="275">
        <v>2</v>
      </c>
      <c r="H187" s="275">
        <v>2</v>
      </c>
      <c r="I187" s="275">
        <v>0</v>
      </c>
      <c r="J187" s="275">
        <v>1</v>
      </c>
      <c r="K187" s="275">
        <v>1</v>
      </c>
      <c r="L187" s="275">
        <v>0</v>
      </c>
      <c r="M187" s="275">
        <v>1</v>
      </c>
      <c r="N187" s="275">
        <v>0</v>
      </c>
      <c r="O187" s="275">
        <v>1</v>
      </c>
      <c r="P187" s="275">
        <v>0</v>
      </c>
      <c r="Q187" s="275">
        <v>2</v>
      </c>
      <c r="R187" s="275">
        <v>1</v>
      </c>
      <c r="S187" s="275">
        <v>0</v>
      </c>
      <c r="T187" s="275">
        <v>2</v>
      </c>
      <c r="U187" s="275">
        <v>2</v>
      </c>
      <c r="V187" s="275">
        <v>2</v>
      </c>
      <c r="W187" s="275">
        <v>2</v>
      </c>
      <c r="X187" s="275">
        <v>2</v>
      </c>
      <c r="Y187" s="275">
        <v>0</v>
      </c>
      <c r="Z187" s="275">
        <v>0</v>
      </c>
      <c r="AA187" s="275">
        <v>2</v>
      </c>
      <c r="AB187" s="275">
        <v>2</v>
      </c>
      <c r="AC187" s="275">
        <v>1</v>
      </c>
      <c r="AD187" s="275">
        <v>1</v>
      </c>
      <c r="AE187" s="275">
        <v>2</v>
      </c>
      <c r="AF187" s="275">
        <v>0</v>
      </c>
      <c r="AG187" s="275">
        <v>0</v>
      </c>
      <c r="AH187" s="275">
        <v>1</v>
      </c>
      <c r="AI187" s="275">
        <v>2</v>
      </c>
      <c r="AJ187" s="275">
        <v>2</v>
      </c>
      <c r="AK187" s="275">
        <v>1</v>
      </c>
      <c r="AL187" s="275">
        <v>0</v>
      </c>
      <c r="AM187" s="275">
        <v>0</v>
      </c>
      <c r="AN187" s="275">
        <v>2</v>
      </c>
      <c r="AO187" s="275">
        <v>0</v>
      </c>
      <c r="AP187" s="275">
        <v>2</v>
      </c>
      <c r="AQ187" s="275">
        <v>0</v>
      </c>
      <c r="AR187" s="275">
        <v>2</v>
      </c>
      <c r="AS187" s="275">
        <v>1</v>
      </c>
      <c r="AT187" s="275">
        <v>2</v>
      </c>
      <c r="AU187" s="275">
        <v>2</v>
      </c>
      <c r="AV187" s="275">
        <v>0</v>
      </c>
      <c r="AW187" s="275">
        <v>1</v>
      </c>
      <c r="AX187" s="275">
        <v>1</v>
      </c>
      <c r="AY187" s="275">
        <v>1</v>
      </c>
      <c r="AZ187" s="275">
        <v>2</v>
      </c>
      <c r="BA187" s="275">
        <v>2</v>
      </c>
      <c r="BB187" s="275">
        <v>2</v>
      </c>
      <c r="BC187" s="275">
        <v>2</v>
      </c>
      <c r="BD187" s="275">
        <v>2</v>
      </c>
      <c r="BE187" s="275">
        <v>2</v>
      </c>
      <c r="BF187" s="275">
        <v>2</v>
      </c>
      <c r="BG187" s="275">
        <v>2</v>
      </c>
      <c r="BH187" s="275">
        <v>2</v>
      </c>
      <c r="BI187" s="275">
        <v>1</v>
      </c>
      <c r="BJ187" s="275">
        <v>2</v>
      </c>
      <c r="BK187" s="275">
        <v>2</v>
      </c>
      <c r="BL187" s="275">
        <v>0</v>
      </c>
      <c r="BM187" s="275">
        <v>2</v>
      </c>
      <c r="BN187" s="275">
        <v>1</v>
      </c>
      <c r="BO187" s="275">
        <v>2</v>
      </c>
      <c r="BP187" s="275">
        <v>2</v>
      </c>
      <c r="BQ187" s="275">
        <v>1</v>
      </c>
      <c r="BR187" s="275">
        <v>2</v>
      </c>
      <c r="BS187" s="275">
        <v>0</v>
      </c>
    </row>
    <row r="188" spans="1:71" x14ac:dyDescent="0.3">
      <c r="A188" s="275">
        <v>538</v>
      </c>
      <c r="B188" s="275">
        <v>538</v>
      </c>
      <c r="C188" s="275" t="s">
        <v>294</v>
      </c>
      <c r="D188" s="275" t="s">
        <v>505</v>
      </c>
      <c r="E188" s="275">
        <v>1</v>
      </c>
      <c r="F188" s="275">
        <v>2</v>
      </c>
      <c r="G188" s="275">
        <v>2</v>
      </c>
      <c r="H188" s="275">
        <v>2</v>
      </c>
      <c r="I188" s="275">
        <v>0</v>
      </c>
      <c r="J188" s="275">
        <v>2</v>
      </c>
      <c r="K188" s="275">
        <v>1</v>
      </c>
      <c r="L188" s="275">
        <v>0</v>
      </c>
      <c r="M188" s="275">
        <v>1</v>
      </c>
      <c r="N188" s="275">
        <v>0</v>
      </c>
      <c r="O188" s="275">
        <v>1</v>
      </c>
      <c r="P188" s="275">
        <v>0</v>
      </c>
      <c r="Q188" s="275">
        <v>2</v>
      </c>
      <c r="R188" s="275">
        <v>1</v>
      </c>
      <c r="S188" s="275">
        <v>0</v>
      </c>
      <c r="T188" s="275">
        <v>2</v>
      </c>
      <c r="U188" s="275">
        <v>2</v>
      </c>
      <c r="V188" s="275">
        <v>2</v>
      </c>
      <c r="W188" s="275">
        <v>2</v>
      </c>
      <c r="X188" s="275">
        <v>2</v>
      </c>
      <c r="Y188" s="275">
        <v>0</v>
      </c>
      <c r="Z188" s="275">
        <v>0</v>
      </c>
      <c r="AA188" s="275">
        <v>2</v>
      </c>
      <c r="AB188" s="275">
        <v>2</v>
      </c>
      <c r="AC188" s="275">
        <v>1</v>
      </c>
      <c r="AD188" s="275">
        <v>2</v>
      </c>
      <c r="AE188" s="275">
        <v>2</v>
      </c>
      <c r="AF188" s="275">
        <v>0</v>
      </c>
      <c r="AG188" s="275">
        <v>0</v>
      </c>
      <c r="AH188" s="275">
        <v>2</v>
      </c>
      <c r="AI188" s="275">
        <v>2</v>
      </c>
      <c r="AJ188" s="275">
        <v>2</v>
      </c>
      <c r="AK188" s="275">
        <v>2</v>
      </c>
      <c r="AL188" s="275">
        <v>0</v>
      </c>
      <c r="AM188" s="275">
        <v>0</v>
      </c>
      <c r="AN188" s="275">
        <v>2</v>
      </c>
      <c r="AO188" s="275">
        <v>2</v>
      </c>
      <c r="AP188" s="275">
        <v>2</v>
      </c>
      <c r="AQ188" s="275">
        <v>0</v>
      </c>
      <c r="AR188" s="275">
        <v>2</v>
      </c>
      <c r="AS188" s="275">
        <v>1</v>
      </c>
      <c r="AT188" s="275">
        <v>2</v>
      </c>
      <c r="AU188" s="275">
        <v>2</v>
      </c>
      <c r="AV188" s="275">
        <v>0</v>
      </c>
      <c r="AW188" s="275">
        <v>2</v>
      </c>
      <c r="AX188" s="275">
        <v>2</v>
      </c>
      <c r="AY188" s="275">
        <v>1</v>
      </c>
      <c r="AZ188" s="275">
        <v>2</v>
      </c>
      <c r="BA188" s="275">
        <v>0</v>
      </c>
      <c r="BB188" s="275">
        <v>2</v>
      </c>
      <c r="BC188" s="275">
        <v>1</v>
      </c>
      <c r="BD188" s="275">
        <v>2</v>
      </c>
      <c r="BE188" s="275">
        <v>2</v>
      </c>
      <c r="BF188" s="275">
        <v>2</v>
      </c>
      <c r="BG188" s="275">
        <v>1</v>
      </c>
      <c r="BH188" s="275">
        <v>2</v>
      </c>
      <c r="BI188" s="275">
        <v>1</v>
      </c>
      <c r="BJ188" s="275">
        <v>2</v>
      </c>
      <c r="BK188" s="275">
        <v>2</v>
      </c>
      <c r="BL188" s="275">
        <v>0</v>
      </c>
      <c r="BM188" s="275">
        <v>2</v>
      </c>
      <c r="BN188" s="275">
        <v>1</v>
      </c>
      <c r="BO188" s="275">
        <v>2</v>
      </c>
      <c r="BP188" s="275">
        <v>2</v>
      </c>
      <c r="BQ188" s="275">
        <v>1</v>
      </c>
      <c r="BR188" s="275">
        <v>2</v>
      </c>
      <c r="BS188" s="275">
        <v>0</v>
      </c>
    </row>
    <row r="189" spans="1:71" x14ac:dyDescent="0.3">
      <c r="A189" s="275"/>
      <c r="B189" s="275">
        <v>539</v>
      </c>
      <c r="C189" s="275" t="s">
        <v>1755</v>
      </c>
      <c r="D189" s="275" t="s">
        <v>506</v>
      </c>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c r="AF189" s="275"/>
      <c r="AG189" s="275"/>
      <c r="AH189" s="275"/>
      <c r="AI189" s="275"/>
      <c r="AJ189" s="275"/>
      <c r="AK189" s="275"/>
      <c r="AL189" s="275"/>
      <c r="AM189" s="275"/>
      <c r="AN189" s="275"/>
      <c r="AO189" s="275"/>
      <c r="AP189" s="275"/>
      <c r="AQ189" s="275"/>
      <c r="AR189" s="275"/>
      <c r="AS189" s="275"/>
      <c r="AT189" s="275"/>
      <c r="AU189" s="275"/>
      <c r="AV189" s="275"/>
      <c r="AW189" s="275"/>
      <c r="AX189" s="275"/>
      <c r="AY189" s="275"/>
      <c r="AZ189" s="275"/>
      <c r="BA189" s="275"/>
      <c r="BB189" s="275"/>
      <c r="BC189" s="275"/>
      <c r="BD189" s="275"/>
      <c r="BE189" s="275"/>
      <c r="BF189" s="275"/>
      <c r="BG189" s="275"/>
      <c r="BH189" s="275"/>
      <c r="BI189" s="275"/>
      <c r="BJ189" s="275"/>
      <c r="BK189" s="275"/>
      <c r="BL189" s="275"/>
      <c r="BM189" s="275"/>
      <c r="BN189" s="275"/>
      <c r="BO189" s="275"/>
      <c r="BP189" s="275"/>
      <c r="BQ189" s="275"/>
      <c r="BR189" s="275"/>
      <c r="BS189" s="275"/>
    </row>
    <row r="190" spans="1:71" x14ac:dyDescent="0.3">
      <c r="A190" s="275">
        <v>540</v>
      </c>
      <c r="B190" s="275">
        <v>540</v>
      </c>
      <c r="C190" s="275" t="s">
        <v>267</v>
      </c>
      <c r="D190" s="275" t="s">
        <v>507</v>
      </c>
      <c r="E190" s="1112">
        <v>164000</v>
      </c>
      <c r="F190" s="275">
        <v>0</v>
      </c>
      <c r="G190" s="1112">
        <v>704732</v>
      </c>
      <c r="H190" s="1112">
        <v>350000</v>
      </c>
      <c r="I190" s="275">
        <v>0</v>
      </c>
      <c r="J190" s="275">
        <v>0</v>
      </c>
      <c r="K190" s="1112">
        <v>340800</v>
      </c>
      <c r="L190" s="1112">
        <v>25000</v>
      </c>
      <c r="M190" s="1112">
        <v>2327200</v>
      </c>
      <c r="N190" s="275">
        <v>0</v>
      </c>
      <c r="O190" s="1112">
        <v>3283760</v>
      </c>
      <c r="P190" s="275">
        <v>0</v>
      </c>
      <c r="Q190" s="1112">
        <v>2214956</v>
      </c>
      <c r="R190" s="275">
        <v>0</v>
      </c>
      <c r="S190" s="275">
        <v>0</v>
      </c>
      <c r="T190" s="275">
        <v>0</v>
      </c>
      <c r="U190" s="275">
        <v>0</v>
      </c>
      <c r="V190" s="275">
        <v>0</v>
      </c>
      <c r="W190" s="275">
        <v>0</v>
      </c>
      <c r="X190" s="275">
        <v>0</v>
      </c>
      <c r="Y190" s="1112">
        <v>240082</v>
      </c>
      <c r="Z190" s="1112">
        <v>159533</v>
      </c>
      <c r="AA190" s="1112">
        <v>47320</v>
      </c>
      <c r="AB190" s="275">
        <v>0</v>
      </c>
      <c r="AC190" s="1112">
        <v>366688</v>
      </c>
      <c r="AD190" s="275">
        <v>0</v>
      </c>
      <c r="AE190" s="275">
        <v>0</v>
      </c>
      <c r="AF190" s="275">
        <v>0</v>
      </c>
      <c r="AG190" s="1112">
        <v>5110</v>
      </c>
      <c r="AH190" s="1112">
        <v>269459</v>
      </c>
      <c r="AI190" s="1112">
        <v>296691</v>
      </c>
      <c r="AJ190" s="275">
        <v>0</v>
      </c>
      <c r="AK190" s="275">
        <v>0</v>
      </c>
      <c r="AL190" s="275">
        <v>0</v>
      </c>
      <c r="AM190" s="275">
        <v>0</v>
      </c>
      <c r="AN190" s="275">
        <v>0</v>
      </c>
      <c r="AO190" s="275">
        <v>0</v>
      </c>
      <c r="AP190" s="275">
        <v>0</v>
      </c>
      <c r="AQ190" s="1112">
        <v>18629</v>
      </c>
      <c r="AR190" s="275">
        <v>0</v>
      </c>
      <c r="AS190" s="275">
        <v>0</v>
      </c>
      <c r="AT190" s="275">
        <v>0</v>
      </c>
      <c r="AU190" s="1112">
        <v>80305</v>
      </c>
      <c r="AV190" s="275">
        <v>0</v>
      </c>
      <c r="AW190" s="1112">
        <v>105517</v>
      </c>
      <c r="AX190" s="1112">
        <v>107538</v>
      </c>
      <c r="AY190" s="1112">
        <v>120000</v>
      </c>
      <c r="AZ190" s="275">
        <v>0</v>
      </c>
      <c r="BA190" s="275">
        <v>0</v>
      </c>
      <c r="BB190" s="275">
        <v>0</v>
      </c>
      <c r="BC190" s="275">
        <v>0</v>
      </c>
      <c r="BD190" s="275">
        <v>0</v>
      </c>
      <c r="BE190" s="275">
        <v>0</v>
      </c>
      <c r="BF190" s="1112">
        <v>713504</v>
      </c>
      <c r="BG190" s="1112">
        <v>112785</v>
      </c>
      <c r="BH190" s="275">
        <v>0</v>
      </c>
      <c r="BI190" s="1112">
        <v>135000</v>
      </c>
      <c r="BJ190" s="275">
        <v>0</v>
      </c>
      <c r="BK190" s="275">
        <v>0</v>
      </c>
      <c r="BL190" s="275">
        <v>0</v>
      </c>
      <c r="BM190" s="275">
        <v>0</v>
      </c>
      <c r="BN190" s="1112">
        <v>55050</v>
      </c>
      <c r="BO190" s="275">
        <v>0</v>
      </c>
      <c r="BP190" s="275">
        <v>0</v>
      </c>
      <c r="BQ190" s="1112">
        <v>1636986</v>
      </c>
      <c r="BR190" s="275">
        <v>0</v>
      </c>
      <c r="BS190" s="1112">
        <v>72074</v>
      </c>
    </row>
    <row r="191" spans="1:71" x14ac:dyDescent="0.3">
      <c r="A191" s="275">
        <v>541</v>
      </c>
      <c r="B191" s="275">
        <v>541</v>
      </c>
      <c r="C191" s="275" t="s">
        <v>555</v>
      </c>
      <c r="D191" s="275" t="s">
        <v>508</v>
      </c>
      <c r="E191" s="1112">
        <v>-521316</v>
      </c>
      <c r="F191" s="1112">
        <v>661537</v>
      </c>
      <c r="G191" s="1112">
        <v>49938</v>
      </c>
      <c r="H191" s="1112">
        <v>903106</v>
      </c>
      <c r="I191" s="275">
        <v>0</v>
      </c>
      <c r="J191" s="1112">
        <v>-15435</v>
      </c>
      <c r="K191" s="1112">
        <v>142230</v>
      </c>
      <c r="L191" s="1112">
        <v>-22578</v>
      </c>
      <c r="M191" s="1112">
        <v>-416246</v>
      </c>
      <c r="N191" s="275">
        <v>0</v>
      </c>
      <c r="O191" s="1112">
        <v>680026</v>
      </c>
      <c r="P191" s="275">
        <v>0</v>
      </c>
      <c r="Q191" s="1112">
        <v>-234535</v>
      </c>
      <c r="R191" s="1112">
        <v>13908401</v>
      </c>
      <c r="S191" s="275">
        <v>0</v>
      </c>
      <c r="T191" s="1112">
        <v>9104</v>
      </c>
      <c r="U191" s="1112">
        <v>150084</v>
      </c>
      <c r="V191" s="1112">
        <v>55971</v>
      </c>
      <c r="W191" s="1112">
        <v>-88394</v>
      </c>
      <c r="X191" s="1112">
        <v>-25389</v>
      </c>
      <c r="Y191" s="1112">
        <v>49860</v>
      </c>
      <c r="Z191" s="275">
        <v>0</v>
      </c>
      <c r="AA191" s="1112">
        <v>59193</v>
      </c>
      <c r="AB191" s="1112">
        <v>-52179</v>
      </c>
      <c r="AC191" s="1112">
        <v>216696</v>
      </c>
      <c r="AD191" s="1112">
        <v>153824</v>
      </c>
      <c r="AE191" s="1112">
        <v>-66784</v>
      </c>
      <c r="AF191" s="275">
        <v>0</v>
      </c>
      <c r="AG191" s="275">
        <v>0</v>
      </c>
      <c r="AH191" s="1112">
        <v>690770</v>
      </c>
      <c r="AI191" s="1112">
        <v>-1398988</v>
      </c>
      <c r="AJ191" s="1112">
        <v>-38287</v>
      </c>
      <c r="AK191" s="1112">
        <v>-512848</v>
      </c>
      <c r="AL191" s="275">
        <v>0</v>
      </c>
      <c r="AM191" s="275">
        <v>0</v>
      </c>
      <c r="AN191" s="1112">
        <v>-1164512</v>
      </c>
      <c r="AO191" s="1112">
        <v>351989</v>
      </c>
      <c r="AP191" s="1112">
        <v>200436</v>
      </c>
      <c r="AQ191" s="275">
        <v>0</v>
      </c>
      <c r="AR191" s="1112">
        <v>-291494</v>
      </c>
      <c r="AS191" s="1112">
        <v>41168</v>
      </c>
      <c r="AT191" s="1112">
        <v>135150</v>
      </c>
      <c r="AU191" s="1112">
        <v>455019</v>
      </c>
      <c r="AV191" s="275">
        <v>0</v>
      </c>
      <c r="AW191" s="1112">
        <v>-68772</v>
      </c>
      <c r="AX191" s="1112">
        <v>17409</v>
      </c>
      <c r="AY191" s="1112">
        <v>164196</v>
      </c>
      <c r="AZ191" s="1112">
        <v>-39087</v>
      </c>
      <c r="BA191" s="275">
        <v>0</v>
      </c>
      <c r="BB191" s="275">
        <v>0</v>
      </c>
      <c r="BC191" s="1112">
        <v>81996</v>
      </c>
      <c r="BD191" s="275">
        <v>0</v>
      </c>
      <c r="BE191" s="1112">
        <v>-53723</v>
      </c>
      <c r="BF191" s="1112">
        <v>-4172649</v>
      </c>
      <c r="BG191" s="1112">
        <v>-89116</v>
      </c>
      <c r="BH191" s="1112">
        <v>59172</v>
      </c>
      <c r="BI191" s="1112">
        <v>-236623</v>
      </c>
      <c r="BJ191" s="1112">
        <v>6246</v>
      </c>
      <c r="BK191" s="1112">
        <v>46138</v>
      </c>
      <c r="BL191" s="275">
        <v>0</v>
      </c>
      <c r="BM191" s="1112">
        <v>39983</v>
      </c>
      <c r="BN191" s="1112">
        <v>147867</v>
      </c>
      <c r="BO191" s="1112">
        <v>35835</v>
      </c>
      <c r="BP191" s="1112">
        <v>386364</v>
      </c>
      <c r="BQ191" s="1112">
        <v>7391216</v>
      </c>
      <c r="BR191" s="1112">
        <v>-37893</v>
      </c>
      <c r="BS191" s="275">
        <v>0</v>
      </c>
    </row>
    <row r="192" spans="1:71" x14ac:dyDescent="0.3">
      <c r="A192" s="275">
        <v>542</v>
      </c>
      <c r="B192" s="275">
        <v>542</v>
      </c>
      <c r="C192" s="275" t="s">
        <v>266</v>
      </c>
      <c r="D192" s="275" t="s">
        <v>509</v>
      </c>
      <c r="E192" s="275">
        <v>0</v>
      </c>
      <c r="F192" s="275">
        <v>0</v>
      </c>
      <c r="G192" s="275">
        <v>0</v>
      </c>
      <c r="H192" s="1112">
        <v>483333</v>
      </c>
      <c r="I192" s="275">
        <v>0</v>
      </c>
      <c r="J192" s="275">
        <v>0</v>
      </c>
      <c r="K192" s="1112">
        <v>78901</v>
      </c>
      <c r="L192" s="275">
        <v>0</v>
      </c>
      <c r="M192" s="275">
        <v>0</v>
      </c>
      <c r="N192" s="275">
        <v>0</v>
      </c>
      <c r="O192" s="1112">
        <v>666080</v>
      </c>
      <c r="P192" s="275">
        <v>0</v>
      </c>
      <c r="Q192" s="1112">
        <v>2222967</v>
      </c>
      <c r="R192" s="275">
        <v>0</v>
      </c>
      <c r="S192" s="275">
        <v>0</v>
      </c>
      <c r="T192" s="275">
        <v>0</v>
      </c>
      <c r="U192" s="275">
        <v>0</v>
      </c>
      <c r="V192" s="275">
        <v>0</v>
      </c>
      <c r="W192" s="275">
        <v>0</v>
      </c>
      <c r="X192" s="275">
        <v>0</v>
      </c>
      <c r="Y192" s="275">
        <v>0</v>
      </c>
      <c r="Z192" s="275">
        <v>0</v>
      </c>
      <c r="AA192" s="275">
        <v>0</v>
      </c>
      <c r="AB192" s="275">
        <v>0</v>
      </c>
      <c r="AC192" s="1112">
        <v>396340</v>
      </c>
      <c r="AD192" s="275">
        <v>0</v>
      </c>
      <c r="AE192" s="275">
        <v>0</v>
      </c>
      <c r="AF192" s="275">
        <v>0</v>
      </c>
      <c r="AG192" s="275">
        <v>0</v>
      </c>
      <c r="AH192" s="1112">
        <v>65623</v>
      </c>
      <c r="AI192" s="275">
        <v>0</v>
      </c>
      <c r="AJ192" s="275">
        <v>0</v>
      </c>
      <c r="AK192" s="275">
        <v>0</v>
      </c>
      <c r="AL192" s="275">
        <v>0</v>
      </c>
      <c r="AM192" s="275">
        <v>0</v>
      </c>
      <c r="AN192" s="275">
        <v>0</v>
      </c>
      <c r="AO192" s="275">
        <v>0</v>
      </c>
      <c r="AP192" s="275">
        <v>0</v>
      </c>
      <c r="AQ192" s="275">
        <v>0</v>
      </c>
      <c r="AR192" s="275">
        <v>0</v>
      </c>
      <c r="AS192" s="275">
        <v>0</v>
      </c>
      <c r="AT192" s="275">
        <v>0</v>
      </c>
      <c r="AU192" s="275">
        <v>0</v>
      </c>
      <c r="AV192" s="275">
        <v>0</v>
      </c>
      <c r="AW192" s="275">
        <v>0</v>
      </c>
      <c r="AX192" s="275">
        <v>0</v>
      </c>
      <c r="AY192" s="1112">
        <v>125000</v>
      </c>
      <c r="AZ192" s="275">
        <v>0</v>
      </c>
      <c r="BA192" s="275">
        <v>0</v>
      </c>
      <c r="BB192" s="275">
        <v>0</v>
      </c>
      <c r="BC192" s="275">
        <v>0</v>
      </c>
      <c r="BD192" s="275">
        <v>0</v>
      </c>
      <c r="BE192" s="275">
        <v>0</v>
      </c>
      <c r="BF192" s="1112">
        <v>480261</v>
      </c>
      <c r="BG192" s="1112">
        <v>264433</v>
      </c>
      <c r="BH192" s="275">
        <v>0</v>
      </c>
      <c r="BI192" s="275">
        <v>0</v>
      </c>
      <c r="BJ192" s="275">
        <v>0</v>
      </c>
      <c r="BK192" s="275">
        <v>0</v>
      </c>
      <c r="BL192" s="275">
        <v>0</v>
      </c>
      <c r="BM192" s="275">
        <v>0</v>
      </c>
      <c r="BN192" s="275">
        <v>0</v>
      </c>
      <c r="BO192" s="275">
        <v>0</v>
      </c>
      <c r="BP192" s="275">
        <v>0</v>
      </c>
      <c r="BQ192" s="275">
        <v>0</v>
      </c>
      <c r="BR192" s="275">
        <v>0</v>
      </c>
      <c r="BS192" s="275">
        <v>0</v>
      </c>
    </row>
    <row r="193" spans="1:71" x14ac:dyDescent="0.3">
      <c r="A193" s="275"/>
      <c r="B193" s="275">
        <v>543</v>
      </c>
      <c r="C193" s="275" t="s">
        <v>1756</v>
      </c>
      <c r="D193" s="275" t="s">
        <v>510</v>
      </c>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75"/>
      <c r="AE193" s="275"/>
      <c r="AF193" s="275"/>
      <c r="AG193" s="275"/>
      <c r="AH193" s="275"/>
      <c r="AI193" s="275"/>
      <c r="AJ193" s="275"/>
      <c r="AK193" s="275"/>
      <c r="AL193" s="275"/>
      <c r="AM193" s="275"/>
      <c r="AN193" s="275"/>
      <c r="AO193" s="275"/>
      <c r="AP193" s="275"/>
      <c r="AQ193" s="275"/>
      <c r="AR193" s="275"/>
      <c r="AS193" s="275"/>
      <c r="AT193" s="275"/>
      <c r="AU193" s="275"/>
      <c r="AV193" s="275"/>
      <c r="AW193" s="275"/>
      <c r="AX193" s="275"/>
      <c r="AY193" s="275"/>
      <c r="AZ193" s="275"/>
      <c r="BA193" s="275"/>
      <c r="BB193" s="275"/>
      <c r="BC193" s="275"/>
      <c r="BD193" s="275"/>
      <c r="BE193" s="275"/>
      <c r="BF193" s="275"/>
      <c r="BG193" s="275"/>
      <c r="BH193" s="275"/>
      <c r="BI193" s="275"/>
      <c r="BJ193" s="275"/>
      <c r="BK193" s="275"/>
      <c r="BL193" s="275"/>
      <c r="BM193" s="275"/>
      <c r="BN193" s="275"/>
      <c r="BO193" s="275"/>
      <c r="BP193" s="275"/>
      <c r="BQ193" s="275"/>
      <c r="BR193" s="275"/>
      <c r="BS193" s="275"/>
    </row>
    <row r="194" spans="1:71" x14ac:dyDescent="0.3">
      <c r="A194" s="275">
        <v>544</v>
      </c>
      <c r="B194" s="275">
        <v>544</v>
      </c>
      <c r="C194" s="275" t="s">
        <v>53</v>
      </c>
      <c r="D194" s="275" t="s">
        <v>511</v>
      </c>
      <c r="E194" s="275">
        <v>0</v>
      </c>
      <c r="F194" s="275">
        <v>0</v>
      </c>
      <c r="G194" s="275">
        <v>0</v>
      </c>
      <c r="H194" s="275">
        <v>0.05</v>
      </c>
      <c r="I194" s="275">
        <v>0</v>
      </c>
      <c r="J194" s="275">
        <v>0.1</v>
      </c>
      <c r="K194" s="275">
        <v>0</v>
      </c>
      <c r="L194" s="275">
        <v>0</v>
      </c>
      <c r="M194" s="275">
        <v>3.5</v>
      </c>
      <c r="N194" s="275">
        <v>0</v>
      </c>
      <c r="O194" s="275">
        <v>0</v>
      </c>
      <c r="P194" s="275">
        <v>0.02</v>
      </c>
      <c r="Q194" s="275">
        <v>0</v>
      </c>
      <c r="R194" s="275">
        <v>0</v>
      </c>
      <c r="S194" s="275">
        <v>0</v>
      </c>
      <c r="T194" s="275">
        <v>0</v>
      </c>
      <c r="U194" s="275">
        <v>0</v>
      </c>
      <c r="V194" s="275">
        <v>0</v>
      </c>
      <c r="W194" s="275">
        <v>0</v>
      </c>
      <c r="X194" s="275">
        <v>0</v>
      </c>
      <c r="Y194" s="275">
        <v>0</v>
      </c>
      <c r="Z194" s="275">
        <v>0</v>
      </c>
      <c r="AA194" s="275">
        <v>0.02</v>
      </c>
      <c r="AB194" s="275">
        <v>0</v>
      </c>
      <c r="AC194" s="275">
        <v>0.02</v>
      </c>
      <c r="AD194" s="275">
        <v>0</v>
      </c>
      <c r="AE194" s="275">
        <v>0</v>
      </c>
      <c r="AF194" s="275">
        <v>0</v>
      </c>
      <c r="AG194" s="275">
        <v>0</v>
      </c>
      <c r="AH194" s="275">
        <v>0.04</v>
      </c>
      <c r="AI194" s="275">
        <v>0</v>
      </c>
      <c r="AJ194" s="275">
        <v>0.04</v>
      </c>
      <c r="AK194" s="275">
        <v>0.04</v>
      </c>
      <c r="AL194" s="275">
        <v>0</v>
      </c>
      <c r="AM194" s="275">
        <v>0.05</v>
      </c>
      <c r="AN194" s="275">
        <v>0</v>
      </c>
      <c r="AO194" s="275">
        <v>0</v>
      </c>
      <c r="AP194" s="275">
        <v>0</v>
      </c>
      <c r="AQ194" s="275">
        <v>0</v>
      </c>
      <c r="AR194" s="275">
        <v>0</v>
      </c>
      <c r="AS194" s="275">
        <v>0</v>
      </c>
      <c r="AT194" s="275">
        <v>0</v>
      </c>
      <c r="AU194" s="275">
        <v>0</v>
      </c>
      <c r="AV194" s="275">
        <v>0</v>
      </c>
      <c r="AW194" s="275">
        <v>0</v>
      </c>
      <c r="AX194" s="275">
        <v>0</v>
      </c>
      <c r="AY194" s="275">
        <v>0.01</v>
      </c>
      <c r="AZ194" s="275">
        <v>0</v>
      </c>
      <c r="BA194" s="275">
        <v>0</v>
      </c>
      <c r="BB194" s="275">
        <v>0.03</v>
      </c>
      <c r="BC194" s="275">
        <v>0</v>
      </c>
      <c r="BD194" s="275">
        <v>0</v>
      </c>
      <c r="BE194" s="275">
        <v>0</v>
      </c>
      <c r="BF194" s="275">
        <v>0</v>
      </c>
      <c r="BG194" s="275">
        <v>0</v>
      </c>
      <c r="BH194" s="275">
        <v>0</v>
      </c>
      <c r="BI194" s="275">
        <v>0.03</v>
      </c>
      <c r="BJ194" s="275">
        <v>0</v>
      </c>
      <c r="BK194" s="275">
        <v>0</v>
      </c>
      <c r="BL194" s="275">
        <v>0</v>
      </c>
      <c r="BM194" s="275">
        <v>0</v>
      </c>
      <c r="BN194" s="275">
        <v>0</v>
      </c>
      <c r="BO194" s="275">
        <v>0</v>
      </c>
      <c r="BP194" s="275">
        <v>0</v>
      </c>
      <c r="BQ194" s="275">
        <v>0</v>
      </c>
      <c r="BR194" s="275">
        <v>0</v>
      </c>
      <c r="BS194" s="275">
        <v>0</v>
      </c>
    </row>
    <row r="195" spans="1:71" x14ac:dyDescent="0.3">
      <c r="A195" s="275">
        <v>545</v>
      </c>
      <c r="B195" s="275">
        <v>545</v>
      </c>
      <c r="C195" s="275" t="s">
        <v>54</v>
      </c>
      <c r="D195" s="275" t="s">
        <v>512</v>
      </c>
      <c r="E195" s="275">
        <v>0</v>
      </c>
      <c r="F195" s="275">
        <v>0</v>
      </c>
      <c r="G195" s="275">
        <v>0</v>
      </c>
      <c r="H195" s="275">
        <v>0</v>
      </c>
      <c r="I195" s="275">
        <v>0</v>
      </c>
      <c r="J195" s="275">
        <v>0</v>
      </c>
      <c r="K195" s="275">
        <v>0</v>
      </c>
      <c r="L195" s="275">
        <v>0</v>
      </c>
      <c r="M195" s="275">
        <v>0</v>
      </c>
      <c r="N195" s="275">
        <v>0</v>
      </c>
      <c r="O195" s="275">
        <v>0</v>
      </c>
      <c r="P195" s="275">
        <v>0</v>
      </c>
      <c r="Q195" s="275">
        <v>0</v>
      </c>
      <c r="R195" s="275">
        <v>0</v>
      </c>
      <c r="S195" s="275">
        <v>0</v>
      </c>
      <c r="T195" s="275">
        <v>0</v>
      </c>
      <c r="U195" s="275">
        <v>0</v>
      </c>
      <c r="V195" s="275">
        <v>0</v>
      </c>
      <c r="W195" s="275">
        <v>0</v>
      </c>
      <c r="X195" s="275">
        <v>0</v>
      </c>
      <c r="Y195" s="275">
        <v>0</v>
      </c>
      <c r="Z195" s="275">
        <v>0</v>
      </c>
      <c r="AA195" s="275">
        <v>0</v>
      </c>
      <c r="AB195" s="275">
        <v>0</v>
      </c>
      <c r="AC195" s="275">
        <v>0</v>
      </c>
      <c r="AD195" s="275">
        <v>0.01</v>
      </c>
      <c r="AE195" s="275">
        <v>0</v>
      </c>
      <c r="AF195" s="275">
        <v>0</v>
      </c>
      <c r="AG195" s="275">
        <v>0</v>
      </c>
      <c r="AH195" s="275">
        <v>0.05</v>
      </c>
      <c r="AI195" s="275">
        <v>0</v>
      </c>
      <c r="AJ195" s="275">
        <v>0</v>
      </c>
      <c r="AK195" s="275">
        <v>0</v>
      </c>
      <c r="AL195" s="275">
        <v>0</v>
      </c>
      <c r="AM195" s="275">
        <v>0</v>
      </c>
      <c r="AN195" s="275">
        <v>0</v>
      </c>
      <c r="AO195" s="275">
        <v>0</v>
      </c>
      <c r="AP195" s="275">
        <v>0</v>
      </c>
      <c r="AQ195" s="275">
        <v>0</v>
      </c>
      <c r="AR195" s="275">
        <v>0</v>
      </c>
      <c r="AS195" s="275">
        <v>0</v>
      </c>
      <c r="AT195" s="275">
        <v>0</v>
      </c>
      <c r="AU195" s="275">
        <v>0</v>
      </c>
      <c r="AV195" s="275">
        <v>0</v>
      </c>
      <c r="AW195" s="275">
        <v>0</v>
      </c>
      <c r="AX195" s="275">
        <v>0</v>
      </c>
      <c r="AY195" s="275">
        <v>0.01</v>
      </c>
      <c r="AZ195" s="275">
        <v>0</v>
      </c>
      <c r="BA195" s="275">
        <v>0</v>
      </c>
      <c r="BB195" s="275">
        <v>0</v>
      </c>
      <c r="BC195" s="275">
        <v>0.01</v>
      </c>
      <c r="BD195" s="275">
        <v>0</v>
      </c>
      <c r="BE195" s="275">
        <v>0</v>
      </c>
      <c r="BF195" s="275">
        <v>0</v>
      </c>
      <c r="BG195" s="275">
        <v>0</v>
      </c>
      <c r="BH195" s="275">
        <v>0</v>
      </c>
      <c r="BI195" s="275">
        <v>0.03</v>
      </c>
      <c r="BJ195" s="275">
        <v>0</v>
      </c>
      <c r="BK195" s="275">
        <v>0</v>
      </c>
      <c r="BL195" s="275">
        <v>0</v>
      </c>
      <c r="BM195" s="275">
        <v>0</v>
      </c>
      <c r="BN195" s="275">
        <v>0</v>
      </c>
      <c r="BO195" s="275">
        <v>0</v>
      </c>
      <c r="BP195" s="275">
        <v>0</v>
      </c>
      <c r="BQ195" s="275">
        <v>0</v>
      </c>
      <c r="BR195" s="275">
        <v>0</v>
      </c>
      <c r="BS195" s="275">
        <v>0</v>
      </c>
    </row>
    <row r="196" spans="1:71" x14ac:dyDescent="0.3">
      <c r="A196" s="275"/>
      <c r="B196" s="275">
        <v>546</v>
      </c>
      <c r="C196" s="275" t="e">
        <v>#VALUE!</v>
      </c>
      <c r="D196" s="275" t="s">
        <v>513</v>
      </c>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75"/>
      <c r="AE196" s="275"/>
      <c r="AF196" s="275"/>
      <c r="AG196" s="275"/>
      <c r="AH196" s="275"/>
      <c r="AI196" s="275"/>
      <c r="AJ196" s="275"/>
      <c r="AK196" s="275"/>
      <c r="AL196" s="275"/>
      <c r="AM196" s="275"/>
      <c r="AN196" s="275"/>
      <c r="AO196" s="275"/>
      <c r="AP196" s="275"/>
      <c r="AQ196" s="275"/>
      <c r="AR196" s="275"/>
      <c r="AS196" s="275"/>
      <c r="AT196" s="275"/>
      <c r="AU196" s="275"/>
      <c r="AV196" s="275"/>
      <c r="AW196" s="275"/>
      <c r="AX196" s="275"/>
      <c r="AY196" s="275"/>
      <c r="AZ196" s="275"/>
      <c r="BA196" s="275"/>
      <c r="BB196" s="275"/>
      <c r="BC196" s="275"/>
      <c r="BD196" s="275"/>
      <c r="BE196" s="275"/>
      <c r="BF196" s="275"/>
      <c r="BG196" s="275"/>
      <c r="BH196" s="275"/>
      <c r="BI196" s="275"/>
      <c r="BJ196" s="275"/>
      <c r="BK196" s="275"/>
      <c r="BL196" s="275"/>
      <c r="BM196" s="275"/>
      <c r="BN196" s="275"/>
      <c r="BO196" s="275"/>
      <c r="BP196" s="275"/>
      <c r="BQ196" s="275"/>
      <c r="BR196" s="275"/>
      <c r="BS196" s="275"/>
    </row>
    <row r="197" spans="1:71" ht="72" x14ac:dyDescent="0.3">
      <c r="A197" s="275">
        <v>547</v>
      </c>
      <c r="B197" s="275">
        <v>547</v>
      </c>
      <c r="C197" s="967" t="s">
        <v>1757</v>
      </c>
      <c r="D197" s="275" t="s">
        <v>514</v>
      </c>
      <c r="E197" s="275">
        <v>3</v>
      </c>
      <c r="F197" s="275">
        <v>3</v>
      </c>
      <c r="G197" s="275">
        <v>2</v>
      </c>
      <c r="H197" s="275">
        <v>3</v>
      </c>
      <c r="I197" s="275">
        <v>2</v>
      </c>
      <c r="J197" s="275">
        <v>2</v>
      </c>
      <c r="K197" s="275">
        <v>3</v>
      </c>
      <c r="L197" s="275">
        <v>2</v>
      </c>
      <c r="M197" s="275">
        <v>3</v>
      </c>
      <c r="N197" s="275">
        <v>2</v>
      </c>
      <c r="O197" s="275">
        <v>1</v>
      </c>
      <c r="P197" s="275">
        <v>2</v>
      </c>
      <c r="Q197" s="275">
        <v>3</v>
      </c>
      <c r="R197" s="275">
        <v>3</v>
      </c>
      <c r="S197" s="275">
        <v>0</v>
      </c>
      <c r="T197" s="275">
        <v>2</v>
      </c>
      <c r="U197" s="275">
        <v>3</v>
      </c>
      <c r="V197" s="275">
        <v>2</v>
      </c>
      <c r="W197" s="275">
        <v>2</v>
      </c>
      <c r="X197" s="275">
        <v>2</v>
      </c>
      <c r="Y197" s="275">
        <v>3</v>
      </c>
      <c r="Z197" s="275">
        <v>2</v>
      </c>
      <c r="AA197" s="275">
        <v>2</v>
      </c>
      <c r="AB197" s="275">
        <v>2</v>
      </c>
      <c r="AC197" s="275">
        <v>2</v>
      </c>
      <c r="AD197" s="275">
        <v>3</v>
      </c>
      <c r="AE197" s="275">
        <v>2</v>
      </c>
      <c r="AF197" s="275">
        <v>2</v>
      </c>
      <c r="AG197" s="275">
        <v>2</v>
      </c>
      <c r="AH197" s="275">
        <v>2</v>
      </c>
      <c r="AI197" s="275">
        <v>2</v>
      </c>
      <c r="AJ197" s="275">
        <v>3</v>
      </c>
      <c r="AK197" s="275">
        <v>3</v>
      </c>
      <c r="AL197" s="275">
        <v>0</v>
      </c>
      <c r="AM197" s="275">
        <v>2</v>
      </c>
      <c r="AN197" s="275">
        <v>3</v>
      </c>
      <c r="AO197" s="275">
        <v>2</v>
      </c>
      <c r="AP197" s="275">
        <v>3</v>
      </c>
      <c r="AQ197" s="275">
        <v>2</v>
      </c>
      <c r="AR197" s="275">
        <v>2</v>
      </c>
      <c r="AS197" s="275">
        <v>2</v>
      </c>
      <c r="AT197" s="275">
        <v>4</v>
      </c>
      <c r="AU197" s="275">
        <v>2</v>
      </c>
      <c r="AV197" s="275">
        <v>0</v>
      </c>
      <c r="AW197" s="275">
        <v>4</v>
      </c>
      <c r="AX197" s="275">
        <v>2</v>
      </c>
      <c r="AY197" s="275">
        <v>4</v>
      </c>
      <c r="AZ197" s="275">
        <v>2</v>
      </c>
      <c r="BA197" s="275">
        <v>2</v>
      </c>
      <c r="BB197" s="275">
        <v>3</v>
      </c>
      <c r="BC197" s="275">
        <v>3</v>
      </c>
      <c r="BD197" s="275">
        <v>2</v>
      </c>
      <c r="BE197" s="275">
        <v>2</v>
      </c>
      <c r="BF197" s="275">
        <v>3</v>
      </c>
      <c r="BG197" s="275">
        <v>2</v>
      </c>
      <c r="BH197" s="275">
        <v>2</v>
      </c>
      <c r="BI197" s="275">
        <v>3</v>
      </c>
      <c r="BJ197" s="275">
        <v>2</v>
      </c>
      <c r="BK197" s="275">
        <v>2</v>
      </c>
      <c r="BL197" s="275">
        <v>2</v>
      </c>
      <c r="BM197" s="275">
        <v>2</v>
      </c>
      <c r="BN197" s="275">
        <v>2</v>
      </c>
      <c r="BO197" s="275">
        <v>2</v>
      </c>
      <c r="BP197" s="275">
        <v>2</v>
      </c>
      <c r="BQ197" s="275">
        <v>3</v>
      </c>
      <c r="BR197" s="275">
        <v>3</v>
      </c>
      <c r="BS197" s="275">
        <v>3</v>
      </c>
    </row>
    <row r="198" spans="1:71" x14ac:dyDescent="0.3">
      <c r="A198" s="275"/>
      <c r="B198" s="275">
        <v>548</v>
      </c>
      <c r="C198" s="275" t="s">
        <v>540</v>
      </c>
      <c r="D198" s="275" t="s">
        <v>570</v>
      </c>
      <c r="E198" s="275">
        <v>0</v>
      </c>
      <c r="F198" s="275">
        <v>0</v>
      </c>
      <c r="G198" s="275">
        <v>0</v>
      </c>
      <c r="H198" s="275">
        <v>0</v>
      </c>
      <c r="I198" s="275">
        <v>0</v>
      </c>
      <c r="J198" s="275">
        <v>0</v>
      </c>
      <c r="K198" s="275">
        <v>0</v>
      </c>
      <c r="L198" s="275">
        <v>0</v>
      </c>
      <c r="M198" s="275">
        <v>0</v>
      </c>
      <c r="N198" s="275">
        <v>0</v>
      </c>
      <c r="O198" s="275">
        <v>0</v>
      </c>
      <c r="P198" s="275">
        <v>0</v>
      </c>
      <c r="Q198" s="275">
        <v>0</v>
      </c>
      <c r="R198" s="275">
        <v>0</v>
      </c>
      <c r="S198" s="275">
        <v>0</v>
      </c>
      <c r="T198" s="275">
        <v>0</v>
      </c>
      <c r="U198" s="275">
        <v>0</v>
      </c>
      <c r="V198" s="275">
        <v>0</v>
      </c>
      <c r="W198" s="275">
        <v>0</v>
      </c>
      <c r="X198" s="275">
        <v>0</v>
      </c>
      <c r="Y198" s="275">
        <v>0</v>
      </c>
      <c r="Z198" s="275">
        <v>0</v>
      </c>
      <c r="AA198" s="275">
        <v>0</v>
      </c>
      <c r="AB198" s="275">
        <v>0</v>
      </c>
      <c r="AC198" s="275">
        <v>0</v>
      </c>
      <c r="AD198" s="275">
        <v>0</v>
      </c>
      <c r="AE198" s="275">
        <v>0</v>
      </c>
      <c r="AF198" s="275">
        <v>0</v>
      </c>
      <c r="AG198" s="275">
        <v>0</v>
      </c>
      <c r="AH198" s="275">
        <v>0</v>
      </c>
      <c r="AI198" s="275">
        <v>0</v>
      </c>
      <c r="AJ198" s="275">
        <v>0</v>
      </c>
      <c r="AK198" s="275">
        <v>0</v>
      </c>
      <c r="AL198" s="275">
        <v>0</v>
      </c>
      <c r="AM198" s="275">
        <v>0</v>
      </c>
      <c r="AN198" s="275">
        <v>0</v>
      </c>
      <c r="AO198" s="275">
        <v>0</v>
      </c>
      <c r="AP198" s="275">
        <v>0</v>
      </c>
      <c r="AQ198" s="275">
        <v>0</v>
      </c>
      <c r="AR198" s="275">
        <v>0</v>
      </c>
      <c r="AS198" s="275">
        <v>0</v>
      </c>
      <c r="AT198" s="275">
        <v>0</v>
      </c>
      <c r="AU198" s="275">
        <v>0</v>
      </c>
      <c r="AV198" s="275">
        <v>0</v>
      </c>
      <c r="AW198" s="275">
        <v>0</v>
      </c>
      <c r="AX198" s="275">
        <v>0</v>
      </c>
      <c r="AY198" s="275">
        <v>0</v>
      </c>
      <c r="AZ198" s="275">
        <v>0</v>
      </c>
      <c r="BA198" s="275">
        <v>0</v>
      </c>
      <c r="BB198" s="275">
        <v>0</v>
      </c>
      <c r="BC198" s="275">
        <v>0</v>
      </c>
      <c r="BD198" s="275">
        <v>0</v>
      </c>
      <c r="BE198" s="275">
        <v>0</v>
      </c>
      <c r="BF198" s="275">
        <v>0</v>
      </c>
      <c r="BG198" s="275">
        <v>0</v>
      </c>
      <c r="BH198" s="275">
        <v>0</v>
      </c>
      <c r="BI198" s="275">
        <v>0</v>
      </c>
      <c r="BJ198" s="275">
        <v>0</v>
      </c>
      <c r="BK198" s="275">
        <v>0</v>
      </c>
      <c r="BL198" s="275">
        <v>0</v>
      </c>
      <c r="BM198" s="275">
        <v>0</v>
      </c>
      <c r="BN198" s="275">
        <v>0</v>
      </c>
      <c r="BO198" s="275">
        <v>0</v>
      </c>
      <c r="BP198" s="275">
        <v>0</v>
      </c>
      <c r="BQ198" s="275">
        <v>0</v>
      </c>
      <c r="BR198" s="275">
        <v>0</v>
      </c>
      <c r="BS198" s="275">
        <v>0</v>
      </c>
    </row>
    <row r="199" spans="1:71" x14ac:dyDescent="0.3">
      <c r="A199" s="275"/>
      <c r="B199" s="275">
        <v>549</v>
      </c>
      <c r="C199" s="275" t="s">
        <v>1758</v>
      </c>
      <c r="D199" s="275" t="s">
        <v>571</v>
      </c>
      <c r="E199" s="275">
        <v>0</v>
      </c>
      <c r="F199" s="275">
        <v>0</v>
      </c>
      <c r="G199" s="275">
        <v>0</v>
      </c>
      <c r="H199" s="275">
        <v>0</v>
      </c>
      <c r="I199" s="275">
        <v>0</v>
      </c>
      <c r="J199" s="275">
        <v>0</v>
      </c>
      <c r="K199" s="275">
        <v>0</v>
      </c>
      <c r="L199" s="275">
        <v>0</v>
      </c>
      <c r="M199" s="275">
        <v>0</v>
      </c>
      <c r="N199" s="275">
        <v>0</v>
      </c>
      <c r="O199" s="275">
        <v>0</v>
      </c>
      <c r="P199" s="275">
        <v>0</v>
      </c>
      <c r="Q199" s="275">
        <v>0</v>
      </c>
      <c r="R199" s="275">
        <v>0</v>
      </c>
      <c r="S199" s="275">
        <v>0</v>
      </c>
      <c r="T199" s="275">
        <v>0</v>
      </c>
      <c r="U199" s="275">
        <v>0</v>
      </c>
      <c r="V199" s="275">
        <v>0</v>
      </c>
      <c r="W199" s="275">
        <v>0</v>
      </c>
      <c r="X199" s="275">
        <v>0</v>
      </c>
      <c r="Y199" s="275">
        <v>0</v>
      </c>
      <c r="Z199" s="275">
        <v>0</v>
      </c>
      <c r="AA199" s="275">
        <v>0</v>
      </c>
      <c r="AB199" s="275">
        <v>0</v>
      </c>
      <c r="AC199" s="275">
        <v>0</v>
      </c>
      <c r="AD199" s="275">
        <v>0</v>
      </c>
      <c r="AE199" s="275">
        <v>0</v>
      </c>
      <c r="AF199" s="275">
        <v>0</v>
      </c>
      <c r="AG199" s="275">
        <v>0</v>
      </c>
      <c r="AH199" s="275">
        <v>0</v>
      </c>
      <c r="AI199" s="275">
        <v>0</v>
      </c>
      <c r="AJ199" s="275">
        <v>0</v>
      </c>
      <c r="AK199" s="275">
        <v>0</v>
      </c>
      <c r="AL199" s="275">
        <v>0</v>
      </c>
      <c r="AM199" s="275">
        <v>0</v>
      </c>
      <c r="AN199" s="275">
        <v>0</v>
      </c>
      <c r="AO199" s="275">
        <v>0</v>
      </c>
      <c r="AP199" s="275">
        <v>0</v>
      </c>
      <c r="AQ199" s="275">
        <v>0</v>
      </c>
      <c r="AR199" s="275">
        <v>0</v>
      </c>
      <c r="AS199" s="275">
        <v>0</v>
      </c>
      <c r="AT199" s="275">
        <v>0</v>
      </c>
      <c r="AU199" s="275">
        <v>0</v>
      </c>
      <c r="AV199" s="275">
        <v>0</v>
      </c>
      <c r="AW199" s="275">
        <v>0</v>
      </c>
      <c r="AX199" s="275">
        <v>0</v>
      </c>
      <c r="AY199" s="275">
        <v>0</v>
      </c>
      <c r="AZ199" s="275">
        <v>0</v>
      </c>
      <c r="BA199" s="275">
        <v>0</v>
      </c>
      <c r="BB199" s="275">
        <v>0</v>
      </c>
      <c r="BC199" s="275">
        <v>0</v>
      </c>
      <c r="BD199" s="275">
        <v>0</v>
      </c>
      <c r="BE199" s="275">
        <v>0</v>
      </c>
      <c r="BF199" s="275">
        <v>0</v>
      </c>
      <c r="BG199" s="275">
        <v>0</v>
      </c>
      <c r="BH199" s="275">
        <v>0</v>
      </c>
      <c r="BI199" s="275">
        <v>0</v>
      </c>
      <c r="BJ199" s="275">
        <v>0</v>
      </c>
      <c r="BK199" s="275">
        <v>0</v>
      </c>
      <c r="BL199" s="275">
        <v>0</v>
      </c>
      <c r="BM199" s="275">
        <v>0</v>
      </c>
      <c r="BN199" s="275">
        <v>0</v>
      </c>
      <c r="BO199" s="275">
        <v>0</v>
      </c>
      <c r="BP199" s="275">
        <v>0</v>
      </c>
      <c r="BQ199" s="275">
        <v>0</v>
      </c>
      <c r="BR199" s="275">
        <v>0</v>
      </c>
      <c r="BS199" s="275">
        <v>0</v>
      </c>
    </row>
    <row r="200" spans="1:71" x14ac:dyDescent="0.3">
      <c r="A200" s="275"/>
      <c r="B200" s="275">
        <v>550</v>
      </c>
      <c r="C200" s="275" t="s">
        <v>572</v>
      </c>
      <c r="D200" s="275" t="s">
        <v>573</v>
      </c>
      <c r="E200" s="275">
        <v>0</v>
      </c>
      <c r="F200" s="275">
        <v>0</v>
      </c>
      <c r="G200" s="275">
        <v>0</v>
      </c>
      <c r="H200" s="275">
        <v>0</v>
      </c>
      <c r="I200" s="275">
        <v>0</v>
      </c>
      <c r="J200" s="275">
        <v>0</v>
      </c>
      <c r="K200" s="275">
        <v>0</v>
      </c>
      <c r="L200" s="275">
        <v>0</v>
      </c>
      <c r="M200" s="275">
        <v>0</v>
      </c>
      <c r="N200" s="275">
        <v>0</v>
      </c>
      <c r="O200" s="275">
        <v>0</v>
      </c>
      <c r="P200" s="275">
        <v>0</v>
      </c>
      <c r="Q200" s="275">
        <v>0</v>
      </c>
      <c r="R200" s="275">
        <v>0</v>
      </c>
      <c r="S200" s="275">
        <v>0</v>
      </c>
      <c r="T200" s="275">
        <v>0</v>
      </c>
      <c r="U200" s="275">
        <v>0</v>
      </c>
      <c r="V200" s="275">
        <v>0</v>
      </c>
      <c r="W200" s="275">
        <v>0</v>
      </c>
      <c r="X200" s="275">
        <v>0</v>
      </c>
      <c r="Y200" s="275">
        <v>0</v>
      </c>
      <c r="Z200" s="275">
        <v>0</v>
      </c>
      <c r="AA200" s="275">
        <v>0</v>
      </c>
      <c r="AB200" s="275">
        <v>0</v>
      </c>
      <c r="AC200" s="275">
        <v>0</v>
      </c>
      <c r="AD200" s="275">
        <v>0</v>
      </c>
      <c r="AE200" s="275">
        <v>0</v>
      </c>
      <c r="AF200" s="275">
        <v>0</v>
      </c>
      <c r="AG200" s="275">
        <v>0</v>
      </c>
      <c r="AH200" s="275">
        <v>0</v>
      </c>
      <c r="AI200" s="275">
        <v>0</v>
      </c>
      <c r="AJ200" s="275">
        <v>0</v>
      </c>
      <c r="AK200" s="275">
        <v>0</v>
      </c>
      <c r="AL200" s="275">
        <v>0</v>
      </c>
      <c r="AM200" s="275">
        <v>0</v>
      </c>
      <c r="AN200" s="275">
        <v>0</v>
      </c>
      <c r="AO200" s="275">
        <v>0</v>
      </c>
      <c r="AP200" s="275">
        <v>0</v>
      </c>
      <c r="AQ200" s="275">
        <v>0</v>
      </c>
      <c r="AR200" s="275">
        <v>0</v>
      </c>
      <c r="AS200" s="275">
        <v>0</v>
      </c>
      <c r="AT200" s="275">
        <v>0</v>
      </c>
      <c r="AU200" s="275">
        <v>0</v>
      </c>
      <c r="AV200" s="275">
        <v>0</v>
      </c>
      <c r="AW200" s="275">
        <v>0</v>
      </c>
      <c r="AX200" s="275">
        <v>0</v>
      </c>
      <c r="AY200" s="275">
        <v>0</v>
      </c>
      <c r="AZ200" s="275">
        <v>0</v>
      </c>
      <c r="BA200" s="275">
        <v>0</v>
      </c>
      <c r="BB200" s="275">
        <v>0</v>
      </c>
      <c r="BC200" s="275">
        <v>0</v>
      </c>
      <c r="BD200" s="275">
        <v>0</v>
      </c>
      <c r="BE200" s="275">
        <v>0</v>
      </c>
      <c r="BF200" s="275">
        <v>0</v>
      </c>
      <c r="BG200" s="275">
        <v>0</v>
      </c>
      <c r="BH200" s="275">
        <v>0</v>
      </c>
      <c r="BI200" s="275">
        <v>0</v>
      </c>
      <c r="BJ200" s="275">
        <v>0</v>
      </c>
      <c r="BK200" s="275">
        <v>0</v>
      </c>
      <c r="BL200" s="275">
        <v>0</v>
      </c>
      <c r="BM200" s="275">
        <v>0</v>
      </c>
      <c r="BN200" s="275">
        <v>0</v>
      </c>
      <c r="BO200" s="275">
        <v>0</v>
      </c>
      <c r="BP200" s="275">
        <v>0</v>
      </c>
      <c r="BQ200" s="275">
        <v>0</v>
      </c>
      <c r="BR200" s="275">
        <v>0</v>
      </c>
      <c r="BS200" s="275">
        <v>0</v>
      </c>
    </row>
    <row r="201" spans="1:71" x14ac:dyDescent="0.3">
      <c r="A201" s="275"/>
      <c r="B201" s="275">
        <v>551</v>
      </c>
      <c r="C201" s="275" t="s">
        <v>1759</v>
      </c>
      <c r="D201" s="275" t="s">
        <v>574</v>
      </c>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75"/>
      <c r="AE201" s="275"/>
      <c r="AF201" s="275"/>
      <c r="AG201" s="275"/>
      <c r="AH201" s="275"/>
      <c r="AI201" s="275"/>
      <c r="AJ201" s="275"/>
      <c r="AK201" s="275"/>
      <c r="AL201" s="275"/>
      <c r="AM201" s="275"/>
      <c r="AN201" s="275"/>
      <c r="AO201" s="275"/>
      <c r="AP201" s="275"/>
      <c r="AQ201" s="275"/>
      <c r="AR201" s="275"/>
      <c r="AS201" s="275"/>
      <c r="AT201" s="275"/>
      <c r="AU201" s="275"/>
      <c r="AV201" s="275"/>
      <c r="AW201" s="275"/>
      <c r="AX201" s="275"/>
      <c r="AY201" s="275"/>
      <c r="AZ201" s="275"/>
      <c r="BA201" s="275"/>
      <c r="BB201" s="275"/>
      <c r="BC201" s="275"/>
      <c r="BD201" s="275"/>
      <c r="BE201" s="275"/>
      <c r="BF201" s="275"/>
      <c r="BG201" s="275"/>
      <c r="BH201" s="275"/>
      <c r="BI201" s="275"/>
      <c r="BJ201" s="275"/>
      <c r="BK201" s="275"/>
      <c r="BL201" s="275"/>
      <c r="BM201" s="275"/>
      <c r="BN201" s="275"/>
      <c r="BO201" s="275"/>
      <c r="BP201" s="275"/>
      <c r="BQ201" s="275"/>
      <c r="BR201" s="275"/>
      <c r="BS201" s="275"/>
    </row>
    <row r="202" spans="1:71" x14ac:dyDescent="0.3">
      <c r="A202" s="275"/>
      <c r="B202" s="275">
        <v>552</v>
      </c>
      <c r="C202" s="275" t="s">
        <v>542</v>
      </c>
      <c r="D202" s="275" t="s">
        <v>575</v>
      </c>
      <c r="E202" s="275">
        <v>0</v>
      </c>
      <c r="F202" s="275">
        <v>0</v>
      </c>
      <c r="G202" s="275">
        <v>0</v>
      </c>
      <c r="H202" s="275">
        <v>0</v>
      </c>
      <c r="I202" s="275">
        <v>0</v>
      </c>
      <c r="J202" s="275">
        <v>0</v>
      </c>
      <c r="K202" s="275">
        <v>0</v>
      </c>
      <c r="L202" s="275">
        <v>0</v>
      </c>
      <c r="M202" s="275">
        <v>0</v>
      </c>
      <c r="N202" s="275">
        <v>0</v>
      </c>
      <c r="O202" s="275">
        <v>0</v>
      </c>
      <c r="P202" s="275">
        <v>0</v>
      </c>
      <c r="Q202" s="275">
        <v>0</v>
      </c>
      <c r="R202" s="275">
        <v>0</v>
      </c>
      <c r="S202" s="275">
        <v>0</v>
      </c>
      <c r="T202" s="275">
        <v>0</v>
      </c>
      <c r="U202" s="275">
        <v>0</v>
      </c>
      <c r="V202" s="275">
        <v>0</v>
      </c>
      <c r="W202" s="275">
        <v>0</v>
      </c>
      <c r="X202" s="275">
        <v>0</v>
      </c>
      <c r="Y202" s="275">
        <v>0</v>
      </c>
      <c r="Z202" s="275">
        <v>0</v>
      </c>
      <c r="AA202" s="275">
        <v>0</v>
      </c>
      <c r="AB202" s="275">
        <v>0</v>
      </c>
      <c r="AC202" s="275">
        <v>0</v>
      </c>
      <c r="AD202" s="275">
        <v>0</v>
      </c>
      <c r="AE202" s="275">
        <v>0</v>
      </c>
      <c r="AF202" s="275">
        <v>0</v>
      </c>
      <c r="AG202" s="275">
        <v>0</v>
      </c>
      <c r="AH202" s="275">
        <v>0</v>
      </c>
      <c r="AI202" s="275">
        <v>0</v>
      </c>
      <c r="AJ202" s="275">
        <v>0</v>
      </c>
      <c r="AK202" s="275">
        <v>0</v>
      </c>
      <c r="AL202" s="275">
        <v>0</v>
      </c>
      <c r="AM202" s="275">
        <v>0</v>
      </c>
      <c r="AN202" s="275">
        <v>0</v>
      </c>
      <c r="AO202" s="275">
        <v>0</v>
      </c>
      <c r="AP202" s="275">
        <v>0</v>
      </c>
      <c r="AQ202" s="275">
        <v>0</v>
      </c>
      <c r="AR202" s="275">
        <v>0</v>
      </c>
      <c r="AS202" s="275">
        <v>0</v>
      </c>
      <c r="AT202" s="275">
        <v>0</v>
      </c>
      <c r="AU202" s="275">
        <v>0</v>
      </c>
      <c r="AV202" s="275">
        <v>0</v>
      </c>
      <c r="AW202" s="275">
        <v>0</v>
      </c>
      <c r="AX202" s="275">
        <v>0</v>
      </c>
      <c r="AY202" s="275">
        <v>0</v>
      </c>
      <c r="AZ202" s="275">
        <v>0</v>
      </c>
      <c r="BA202" s="275">
        <v>0</v>
      </c>
      <c r="BB202" s="275">
        <v>0</v>
      </c>
      <c r="BC202" s="275">
        <v>0</v>
      </c>
      <c r="BD202" s="275">
        <v>0</v>
      </c>
      <c r="BE202" s="275">
        <v>0</v>
      </c>
      <c r="BF202" s="275">
        <v>0</v>
      </c>
      <c r="BG202" s="275">
        <v>0</v>
      </c>
      <c r="BH202" s="275">
        <v>0</v>
      </c>
      <c r="BI202" s="275">
        <v>0</v>
      </c>
      <c r="BJ202" s="275">
        <v>0</v>
      </c>
      <c r="BK202" s="275">
        <v>0</v>
      </c>
      <c r="BL202" s="275">
        <v>0</v>
      </c>
      <c r="BM202" s="275">
        <v>0</v>
      </c>
      <c r="BN202" s="275">
        <v>0</v>
      </c>
      <c r="BO202" s="275">
        <v>0</v>
      </c>
      <c r="BP202" s="275">
        <v>0</v>
      </c>
      <c r="BQ202" s="275">
        <v>0</v>
      </c>
      <c r="BR202" s="275">
        <v>0</v>
      </c>
      <c r="BS202" s="275">
        <v>0</v>
      </c>
    </row>
    <row r="203" spans="1:71" x14ac:dyDescent="0.3">
      <c r="A203" s="275"/>
      <c r="B203" s="275">
        <v>553</v>
      </c>
      <c r="C203" s="275" t="s">
        <v>576</v>
      </c>
      <c r="D203" s="275" t="s">
        <v>577</v>
      </c>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75"/>
      <c r="AE203" s="275"/>
      <c r="AF203" s="275"/>
      <c r="AG203" s="275"/>
      <c r="AH203" s="275"/>
      <c r="AI203" s="275"/>
      <c r="AJ203" s="275"/>
      <c r="AK203" s="275"/>
      <c r="AL203" s="275"/>
      <c r="AM203" s="275"/>
      <c r="AN203" s="275"/>
      <c r="AO203" s="275"/>
      <c r="AP203" s="275"/>
      <c r="AQ203" s="275"/>
      <c r="AR203" s="275"/>
      <c r="AS203" s="275"/>
      <c r="AT203" s="275"/>
      <c r="AU203" s="275"/>
      <c r="AV203" s="275"/>
      <c r="AW203" s="275"/>
      <c r="AX203" s="275"/>
      <c r="AY203" s="275"/>
      <c r="AZ203" s="275"/>
      <c r="BA203" s="275"/>
      <c r="BB203" s="275"/>
      <c r="BC203" s="275"/>
      <c r="BD203" s="275"/>
      <c r="BE203" s="275"/>
      <c r="BF203" s="275"/>
      <c r="BG203" s="275"/>
      <c r="BH203" s="275"/>
      <c r="BI203" s="275"/>
      <c r="BJ203" s="275"/>
      <c r="BK203" s="275"/>
      <c r="BL203" s="275"/>
      <c r="BM203" s="275"/>
      <c r="BN203" s="275"/>
      <c r="BO203" s="275"/>
      <c r="BP203" s="275"/>
      <c r="BQ203" s="275"/>
      <c r="BR203" s="275"/>
      <c r="BS203" s="275"/>
    </row>
    <row r="204" spans="1:71" x14ac:dyDescent="0.3">
      <c r="A204" s="275">
        <v>554</v>
      </c>
      <c r="B204" s="275">
        <v>554</v>
      </c>
      <c r="C204" s="275" t="s">
        <v>578</v>
      </c>
      <c r="D204" s="275" t="s">
        <v>579</v>
      </c>
      <c r="E204" s="275">
        <v>0</v>
      </c>
      <c r="F204" s="275">
        <v>0</v>
      </c>
      <c r="G204" s="275">
        <v>0</v>
      </c>
      <c r="H204" s="1112">
        <v>2618909</v>
      </c>
      <c r="I204" s="275">
        <v>0</v>
      </c>
      <c r="J204" s="275">
        <v>0</v>
      </c>
      <c r="K204" s="275">
        <v>0</v>
      </c>
      <c r="L204" s="275">
        <v>0</v>
      </c>
      <c r="M204" s="1112">
        <v>141950</v>
      </c>
      <c r="N204" s="275">
        <v>0</v>
      </c>
      <c r="O204" s="275">
        <v>0</v>
      </c>
      <c r="P204" s="275">
        <v>0</v>
      </c>
      <c r="Q204" s="1112">
        <v>704311</v>
      </c>
      <c r="R204" s="1112">
        <v>13480311</v>
      </c>
      <c r="S204" s="275">
        <v>0</v>
      </c>
      <c r="T204" s="275">
        <v>0</v>
      </c>
      <c r="U204" s="275">
        <v>0</v>
      </c>
      <c r="V204" s="1112">
        <v>1086645</v>
      </c>
      <c r="W204" s="275">
        <v>0</v>
      </c>
      <c r="X204" s="275">
        <v>0</v>
      </c>
      <c r="Y204" s="1112">
        <v>1646254</v>
      </c>
      <c r="Z204" s="275">
        <v>0</v>
      </c>
      <c r="AA204" s="275">
        <v>0</v>
      </c>
      <c r="AB204" s="275">
        <v>0</v>
      </c>
      <c r="AC204" s="275">
        <v>0</v>
      </c>
      <c r="AD204" s="275">
        <v>0</v>
      </c>
      <c r="AE204" s="275">
        <v>0</v>
      </c>
      <c r="AF204" s="275">
        <v>0</v>
      </c>
      <c r="AG204" s="275">
        <v>0</v>
      </c>
      <c r="AH204" s="1112">
        <v>658873</v>
      </c>
      <c r="AI204" s="275">
        <v>0</v>
      </c>
      <c r="AJ204" s="275">
        <v>0</v>
      </c>
      <c r="AK204" s="1112">
        <v>3043178</v>
      </c>
      <c r="AL204" s="275">
        <v>0</v>
      </c>
      <c r="AM204" s="275">
        <v>0</v>
      </c>
      <c r="AN204" s="1112">
        <v>2749000</v>
      </c>
      <c r="AO204" s="275">
        <v>0</v>
      </c>
      <c r="AP204" s="275">
        <v>0</v>
      </c>
      <c r="AQ204" s="275">
        <v>0</v>
      </c>
      <c r="AR204" s="275">
        <v>0</v>
      </c>
      <c r="AS204" s="275">
        <v>0</v>
      </c>
      <c r="AT204" s="275">
        <v>0</v>
      </c>
      <c r="AU204" s="275">
        <v>0</v>
      </c>
      <c r="AV204" s="275">
        <v>0</v>
      </c>
      <c r="AW204" s="275">
        <v>0</v>
      </c>
      <c r="AX204" s="275">
        <v>0</v>
      </c>
      <c r="AY204" s="275">
        <v>0</v>
      </c>
      <c r="AZ204" s="275">
        <v>0</v>
      </c>
      <c r="BA204" s="275">
        <v>0</v>
      </c>
      <c r="BB204" s="1112">
        <v>1012670</v>
      </c>
      <c r="BC204" s="275">
        <v>0</v>
      </c>
      <c r="BD204" s="275">
        <v>0</v>
      </c>
      <c r="BE204" s="275">
        <v>0</v>
      </c>
      <c r="BF204" s="1112">
        <v>34199551</v>
      </c>
      <c r="BG204" s="275">
        <v>0</v>
      </c>
      <c r="BH204" s="275">
        <v>0</v>
      </c>
      <c r="BI204" s="275">
        <v>0</v>
      </c>
      <c r="BJ204" s="275">
        <v>0</v>
      </c>
      <c r="BK204" s="275">
        <v>0</v>
      </c>
      <c r="BL204" s="275">
        <v>0</v>
      </c>
      <c r="BM204" s="275">
        <v>0</v>
      </c>
      <c r="BN204" s="275">
        <v>0</v>
      </c>
      <c r="BO204" s="275">
        <v>0</v>
      </c>
      <c r="BP204" s="275">
        <v>0</v>
      </c>
      <c r="BQ204" s="1112">
        <v>1322764</v>
      </c>
      <c r="BR204" s="1112">
        <v>821903</v>
      </c>
      <c r="BS204" s="1112">
        <v>1753357</v>
      </c>
    </row>
    <row r="205" spans="1:71" x14ac:dyDescent="0.3">
      <c r="A205" s="275">
        <v>555</v>
      </c>
      <c r="B205" s="275">
        <v>555</v>
      </c>
      <c r="C205" s="275" t="s">
        <v>580</v>
      </c>
      <c r="D205" s="275" t="s">
        <v>581</v>
      </c>
      <c r="E205" s="275">
        <v>0</v>
      </c>
      <c r="F205" s="275">
        <v>0</v>
      </c>
      <c r="G205" s="275">
        <v>0</v>
      </c>
      <c r="H205" s="1112">
        <v>1704693</v>
      </c>
      <c r="I205" s="275">
        <v>0</v>
      </c>
      <c r="J205" s="275">
        <v>0</v>
      </c>
      <c r="K205" s="275">
        <v>0</v>
      </c>
      <c r="L205" s="275">
        <v>0</v>
      </c>
      <c r="M205" s="275">
        <v>0</v>
      </c>
      <c r="N205" s="275">
        <v>0</v>
      </c>
      <c r="O205" s="275">
        <v>0</v>
      </c>
      <c r="P205" s="275">
        <v>0</v>
      </c>
      <c r="Q205" s="275">
        <v>0</v>
      </c>
      <c r="R205" s="1112">
        <v>7090913</v>
      </c>
      <c r="S205" s="275">
        <v>0</v>
      </c>
      <c r="T205" s="275">
        <v>0</v>
      </c>
      <c r="U205" s="275">
        <v>0</v>
      </c>
      <c r="V205" s="1112">
        <v>1086645</v>
      </c>
      <c r="W205" s="275">
        <v>0</v>
      </c>
      <c r="X205" s="275">
        <v>0</v>
      </c>
      <c r="Y205" s="1112">
        <v>652319</v>
      </c>
      <c r="Z205" s="275">
        <v>0</v>
      </c>
      <c r="AA205" s="275">
        <v>0</v>
      </c>
      <c r="AB205" s="275">
        <v>0</v>
      </c>
      <c r="AC205" s="275">
        <v>0</v>
      </c>
      <c r="AD205" s="275">
        <v>0</v>
      </c>
      <c r="AE205" s="275">
        <v>0</v>
      </c>
      <c r="AF205" s="275">
        <v>0</v>
      </c>
      <c r="AG205" s="275">
        <v>0</v>
      </c>
      <c r="AH205" s="275">
        <v>0</v>
      </c>
      <c r="AI205" s="275">
        <v>0</v>
      </c>
      <c r="AJ205" s="275">
        <v>0</v>
      </c>
      <c r="AK205" s="1112">
        <v>2054350</v>
      </c>
      <c r="AL205" s="275">
        <v>0</v>
      </c>
      <c r="AM205" s="275">
        <v>0</v>
      </c>
      <c r="AN205" s="1112">
        <v>2749000</v>
      </c>
      <c r="AO205" s="275">
        <v>0</v>
      </c>
      <c r="AP205" s="275">
        <v>0</v>
      </c>
      <c r="AQ205" s="275">
        <v>0</v>
      </c>
      <c r="AR205" s="275">
        <v>0</v>
      </c>
      <c r="AS205" s="275">
        <v>0</v>
      </c>
      <c r="AT205" s="275">
        <v>0</v>
      </c>
      <c r="AU205" s="275">
        <v>0</v>
      </c>
      <c r="AV205" s="275">
        <v>0</v>
      </c>
      <c r="AW205" s="275">
        <v>0</v>
      </c>
      <c r="AX205" s="275">
        <v>0</v>
      </c>
      <c r="AY205" s="275">
        <v>0</v>
      </c>
      <c r="AZ205" s="275">
        <v>0</v>
      </c>
      <c r="BA205" s="275">
        <v>0</v>
      </c>
      <c r="BB205" s="1112">
        <v>1009529</v>
      </c>
      <c r="BC205" s="275">
        <v>0</v>
      </c>
      <c r="BD205" s="275">
        <v>0</v>
      </c>
      <c r="BE205" s="275">
        <v>0</v>
      </c>
      <c r="BF205" s="1112">
        <v>34104903</v>
      </c>
      <c r="BG205" s="275">
        <v>0</v>
      </c>
      <c r="BH205" s="275">
        <v>0</v>
      </c>
      <c r="BI205" s="275">
        <v>0</v>
      </c>
      <c r="BJ205" s="275">
        <v>0</v>
      </c>
      <c r="BK205" s="275">
        <v>0</v>
      </c>
      <c r="BL205" s="275">
        <v>0</v>
      </c>
      <c r="BM205" s="275">
        <v>0</v>
      </c>
      <c r="BN205" s="275">
        <v>0</v>
      </c>
      <c r="BO205" s="275">
        <v>0</v>
      </c>
      <c r="BP205" s="275">
        <v>0</v>
      </c>
      <c r="BQ205" s="1112">
        <v>935310</v>
      </c>
      <c r="BR205" s="1112">
        <v>765123</v>
      </c>
      <c r="BS205" s="1112">
        <v>1747703</v>
      </c>
    </row>
    <row r="206" spans="1:71" x14ac:dyDescent="0.3">
      <c r="A206" s="275">
        <v>556</v>
      </c>
      <c r="B206" s="275">
        <v>556</v>
      </c>
      <c r="C206" s="275" t="s">
        <v>582</v>
      </c>
      <c r="D206" s="275" t="s">
        <v>583</v>
      </c>
      <c r="E206" s="275">
        <v>0</v>
      </c>
      <c r="F206" s="275">
        <v>0</v>
      </c>
      <c r="G206" s="275">
        <v>0</v>
      </c>
      <c r="H206" s="1112">
        <v>682897</v>
      </c>
      <c r="I206" s="275">
        <v>0</v>
      </c>
      <c r="J206" s="275">
        <v>0</v>
      </c>
      <c r="K206" s="275">
        <v>0</v>
      </c>
      <c r="L206" s="275">
        <v>0</v>
      </c>
      <c r="M206" s="1112">
        <v>1321563</v>
      </c>
      <c r="N206" s="275">
        <v>0</v>
      </c>
      <c r="O206" s="275">
        <v>0</v>
      </c>
      <c r="P206" s="275">
        <v>0</v>
      </c>
      <c r="Q206" s="1112">
        <v>1416191</v>
      </c>
      <c r="R206" s="1112">
        <v>4056920</v>
      </c>
      <c r="S206" s="275">
        <v>0</v>
      </c>
      <c r="T206" s="275">
        <v>0</v>
      </c>
      <c r="U206" s="275">
        <v>0</v>
      </c>
      <c r="V206" s="1112">
        <v>4152</v>
      </c>
      <c r="W206" s="275">
        <v>0</v>
      </c>
      <c r="X206" s="275">
        <v>0</v>
      </c>
      <c r="Y206" s="1112">
        <v>532759</v>
      </c>
      <c r="Z206" s="275">
        <v>0</v>
      </c>
      <c r="AA206" s="275">
        <v>0</v>
      </c>
      <c r="AB206" s="275">
        <v>0</v>
      </c>
      <c r="AC206" s="275">
        <v>0</v>
      </c>
      <c r="AD206" s="275">
        <v>0</v>
      </c>
      <c r="AE206" s="275">
        <v>0</v>
      </c>
      <c r="AF206" s="275">
        <v>0</v>
      </c>
      <c r="AG206" s="275">
        <v>0</v>
      </c>
      <c r="AH206" s="1112">
        <v>1594359</v>
      </c>
      <c r="AI206" s="275">
        <v>0</v>
      </c>
      <c r="AJ206" s="275">
        <v>0</v>
      </c>
      <c r="AK206" s="1112">
        <v>290485</v>
      </c>
      <c r="AL206" s="275">
        <v>0</v>
      </c>
      <c r="AM206" s="275">
        <v>0</v>
      </c>
      <c r="AN206" s="1112">
        <v>102116</v>
      </c>
      <c r="AO206" s="275">
        <v>0</v>
      </c>
      <c r="AP206" s="275">
        <v>0</v>
      </c>
      <c r="AQ206" s="275">
        <v>0</v>
      </c>
      <c r="AR206" s="275">
        <v>0</v>
      </c>
      <c r="AS206" s="275">
        <v>0</v>
      </c>
      <c r="AT206" s="275">
        <v>0</v>
      </c>
      <c r="AU206" s="275">
        <v>0</v>
      </c>
      <c r="AV206" s="275">
        <v>0</v>
      </c>
      <c r="AW206" s="275">
        <v>0</v>
      </c>
      <c r="AX206" s="275">
        <v>0</v>
      </c>
      <c r="AY206" s="275">
        <v>0</v>
      </c>
      <c r="AZ206" s="275">
        <v>0</v>
      </c>
      <c r="BA206" s="275">
        <v>0</v>
      </c>
      <c r="BB206" s="1112">
        <v>2026975</v>
      </c>
      <c r="BC206" s="275">
        <v>0</v>
      </c>
      <c r="BD206" s="275">
        <v>0</v>
      </c>
      <c r="BE206" s="275">
        <v>0</v>
      </c>
      <c r="BF206" s="275">
        <v>0</v>
      </c>
      <c r="BG206" s="275">
        <v>0</v>
      </c>
      <c r="BH206" s="275">
        <v>0</v>
      </c>
      <c r="BI206" s="275">
        <v>0</v>
      </c>
      <c r="BJ206" s="275">
        <v>0</v>
      </c>
      <c r="BK206" s="275">
        <v>0</v>
      </c>
      <c r="BL206" s="275">
        <v>0</v>
      </c>
      <c r="BM206" s="275">
        <v>0</v>
      </c>
      <c r="BN206" s="275">
        <v>0</v>
      </c>
      <c r="BO206" s="275">
        <v>0</v>
      </c>
      <c r="BP206" s="275">
        <v>0</v>
      </c>
      <c r="BQ206" s="1112">
        <v>1926457</v>
      </c>
      <c r="BR206" s="1112">
        <v>51952</v>
      </c>
      <c r="BS206" s="1112">
        <v>139898</v>
      </c>
    </row>
    <row r="207" spans="1:71" x14ac:dyDescent="0.3">
      <c r="A207" s="275">
        <v>557</v>
      </c>
      <c r="B207" s="275">
        <v>557</v>
      </c>
      <c r="C207" s="275" t="s">
        <v>584</v>
      </c>
      <c r="D207" s="275" t="s">
        <v>585</v>
      </c>
      <c r="E207" s="275">
        <v>0</v>
      </c>
      <c r="F207" s="275">
        <v>0</v>
      </c>
      <c r="G207" s="275">
        <v>0</v>
      </c>
      <c r="H207" s="1112">
        <v>584319</v>
      </c>
      <c r="I207" s="275">
        <v>0</v>
      </c>
      <c r="J207" s="275">
        <v>0</v>
      </c>
      <c r="K207" s="275">
        <v>0</v>
      </c>
      <c r="L207" s="275">
        <v>0</v>
      </c>
      <c r="M207" s="1112">
        <v>1257391</v>
      </c>
      <c r="N207" s="275">
        <v>0</v>
      </c>
      <c r="O207" s="275">
        <v>0</v>
      </c>
      <c r="P207" s="275">
        <v>0</v>
      </c>
      <c r="Q207" s="1112">
        <v>546796</v>
      </c>
      <c r="R207" s="1112">
        <v>2410271</v>
      </c>
      <c r="S207" s="275">
        <v>0</v>
      </c>
      <c r="T207" s="275">
        <v>0</v>
      </c>
      <c r="U207" s="275">
        <v>0</v>
      </c>
      <c r="V207" s="275">
        <v>0</v>
      </c>
      <c r="W207" s="275">
        <v>0</v>
      </c>
      <c r="X207" s="275">
        <v>0</v>
      </c>
      <c r="Y207" s="1112">
        <v>385292</v>
      </c>
      <c r="Z207" s="275">
        <v>0</v>
      </c>
      <c r="AA207" s="275">
        <v>0</v>
      </c>
      <c r="AB207" s="275">
        <v>0</v>
      </c>
      <c r="AC207" s="275">
        <v>0</v>
      </c>
      <c r="AD207" s="275">
        <v>0</v>
      </c>
      <c r="AE207" s="275">
        <v>0</v>
      </c>
      <c r="AF207" s="275">
        <v>0</v>
      </c>
      <c r="AG207" s="275">
        <v>0</v>
      </c>
      <c r="AH207" s="1112">
        <v>975091</v>
      </c>
      <c r="AI207" s="275">
        <v>0</v>
      </c>
      <c r="AJ207" s="275">
        <v>0</v>
      </c>
      <c r="AK207" s="275">
        <v>0</v>
      </c>
      <c r="AL207" s="275">
        <v>0</v>
      </c>
      <c r="AM207" s="275">
        <v>0</v>
      </c>
      <c r="AN207" s="275">
        <v>0</v>
      </c>
      <c r="AO207" s="275">
        <v>0</v>
      </c>
      <c r="AP207" s="275">
        <v>0</v>
      </c>
      <c r="AQ207" s="275">
        <v>0</v>
      </c>
      <c r="AR207" s="275">
        <v>0</v>
      </c>
      <c r="AS207" s="275">
        <v>0</v>
      </c>
      <c r="AT207" s="275">
        <v>0</v>
      </c>
      <c r="AU207" s="275">
        <v>0</v>
      </c>
      <c r="AV207" s="275">
        <v>0</v>
      </c>
      <c r="AW207" s="275">
        <v>0</v>
      </c>
      <c r="AX207" s="275">
        <v>0</v>
      </c>
      <c r="AY207" s="275">
        <v>0</v>
      </c>
      <c r="AZ207" s="275">
        <v>0</v>
      </c>
      <c r="BA207" s="275">
        <v>0</v>
      </c>
      <c r="BB207" s="1112">
        <v>1452464</v>
      </c>
      <c r="BC207" s="275">
        <v>0</v>
      </c>
      <c r="BD207" s="275">
        <v>0</v>
      </c>
      <c r="BE207" s="275">
        <v>0</v>
      </c>
      <c r="BF207" s="275">
        <v>0</v>
      </c>
      <c r="BG207" s="275">
        <v>0</v>
      </c>
      <c r="BH207" s="275">
        <v>0</v>
      </c>
      <c r="BI207" s="275">
        <v>0</v>
      </c>
      <c r="BJ207" s="275">
        <v>0</v>
      </c>
      <c r="BK207" s="275">
        <v>0</v>
      </c>
      <c r="BL207" s="275">
        <v>0</v>
      </c>
      <c r="BM207" s="275">
        <v>0</v>
      </c>
      <c r="BN207" s="275">
        <v>0</v>
      </c>
      <c r="BO207" s="275">
        <v>0</v>
      </c>
      <c r="BP207" s="275">
        <v>0</v>
      </c>
      <c r="BQ207" s="1112">
        <v>1428178</v>
      </c>
      <c r="BR207" s="275">
        <v>0</v>
      </c>
      <c r="BS207" s="275">
        <v>0</v>
      </c>
    </row>
    <row r="208" spans="1:71" x14ac:dyDescent="0.3">
      <c r="A208" s="275"/>
      <c r="B208" s="275">
        <v>558</v>
      </c>
      <c r="C208" s="275"/>
      <c r="D208" s="275" t="s">
        <v>586</v>
      </c>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75"/>
      <c r="AE208" s="275"/>
      <c r="AF208" s="275"/>
      <c r="AG208" s="275"/>
      <c r="AH208" s="275"/>
      <c r="AI208" s="275"/>
      <c r="AJ208" s="275"/>
      <c r="AK208" s="275"/>
      <c r="AL208" s="275"/>
      <c r="AM208" s="275"/>
      <c r="AN208" s="275"/>
      <c r="AO208" s="275"/>
      <c r="AP208" s="275"/>
      <c r="AQ208" s="275"/>
      <c r="AR208" s="275"/>
      <c r="AS208" s="275"/>
      <c r="AT208" s="275"/>
      <c r="AU208" s="275"/>
      <c r="AV208" s="275"/>
      <c r="AW208" s="275"/>
      <c r="AX208" s="275"/>
      <c r="AY208" s="275"/>
      <c r="AZ208" s="275"/>
      <c r="BA208" s="275"/>
      <c r="BB208" s="275"/>
      <c r="BC208" s="275"/>
      <c r="BD208" s="275"/>
      <c r="BE208" s="275"/>
      <c r="BF208" s="275"/>
      <c r="BG208" s="275"/>
      <c r="BH208" s="275"/>
      <c r="BI208" s="275"/>
      <c r="BJ208" s="275"/>
      <c r="BK208" s="275"/>
      <c r="BL208" s="275"/>
      <c r="BM208" s="275"/>
      <c r="BN208" s="275"/>
      <c r="BO208" s="275"/>
      <c r="BP208" s="275"/>
      <c r="BQ208" s="275"/>
      <c r="BR208" s="275"/>
      <c r="BS208" s="275"/>
    </row>
    <row r="209" spans="1:71" x14ac:dyDescent="0.3">
      <c r="A209" s="275"/>
      <c r="B209" s="275">
        <v>559</v>
      </c>
      <c r="C209" s="275"/>
      <c r="D209" s="275" t="s">
        <v>587</v>
      </c>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75"/>
      <c r="AE209" s="275"/>
      <c r="AF209" s="275"/>
      <c r="AG209" s="275"/>
      <c r="AH209" s="275"/>
      <c r="AI209" s="275"/>
      <c r="AJ209" s="275"/>
      <c r="AK209" s="275"/>
      <c r="AL209" s="275"/>
      <c r="AM209" s="275"/>
      <c r="AN209" s="275"/>
      <c r="AO209" s="275"/>
      <c r="AP209" s="275"/>
      <c r="AQ209" s="275"/>
      <c r="AR209" s="275"/>
      <c r="AS209" s="275"/>
      <c r="AT209" s="275"/>
      <c r="AU209" s="275"/>
      <c r="AV209" s="275"/>
      <c r="AW209" s="275"/>
      <c r="AX209" s="275"/>
      <c r="AY209" s="275"/>
      <c r="AZ209" s="275"/>
      <c r="BA209" s="275"/>
      <c r="BB209" s="275"/>
      <c r="BC209" s="275"/>
      <c r="BD209" s="275"/>
      <c r="BE209" s="275"/>
      <c r="BF209" s="275"/>
      <c r="BG209" s="275"/>
      <c r="BH209" s="275"/>
      <c r="BI209" s="275"/>
      <c r="BJ209" s="275"/>
      <c r="BK209" s="275"/>
      <c r="BL209" s="275"/>
      <c r="BM209" s="275"/>
      <c r="BN209" s="275"/>
      <c r="BO209" s="275"/>
      <c r="BP209" s="275"/>
      <c r="BQ209" s="275"/>
      <c r="BR209" s="275"/>
      <c r="BS209" s="275"/>
    </row>
    <row r="210" spans="1:71" x14ac:dyDescent="0.3">
      <c r="A210" s="275"/>
      <c r="B210" s="275">
        <v>560</v>
      </c>
      <c r="C210" s="275"/>
      <c r="D210" s="275" t="s">
        <v>588</v>
      </c>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75"/>
      <c r="AE210" s="275"/>
      <c r="AF210" s="275"/>
      <c r="AG210" s="275"/>
      <c r="AH210" s="275"/>
      <c r="AI210" s="275"/>
      <c r="AJ210" s="275"/>
      <c r="AK210" s="275"/>
      <c r="AL210" s="275"/>
      <c r="AM210" s="275"/>
      <c r="AN210" s="275"/>
      <c r="AO210" s="275"/>
      <c r="AP210" s="275"/>
      <c r="AQ210" s="275"/>
      <c r="AR210" s="275"/>
      <c r="AS210" s="275"/>
      <c r="AT210" s="275"/>
      <c r="AU210" s="275"/>
      <c r="AV210" s="275"/>
      <c r="AW210" s="275"/>
      <c r="AX210" s="275"/>
      <c r="AY210" s="275"/>
      <c r="AZ210" s="275"/>
      <c r="BA210" s="275"/>
      <c r="BB210" s="275"/>
      <c r="BC210" s="275"/>
      <c r="BD210" s="275"/>
      <c r="BE210" s="275"/>
      <c r="BF210" s="275"/>
      <c r="BG210" s="275"/>
      <c r="BH210" s="275"/>
      <c r="BI210" s="275"/>
      <c r="BJ210" s="275"/>
      <c r="BK210" s="275"/>
      <c r="BL210" s="275"/>
      <c r="BM210" s="275"/>
      <c r="BN210" s="275"/>
      <c r="BO210" s="275"/>
      <c r="BP210" s="275"/>
      <c r="BQ210" s="275"/>
      <c r="BR210" s="275"/>
      <c r="BS210" s="275"/>
    </row>
    <row r="211" spans="1:71" x14ac:dyDescent="0.3">
      <c r="A211" s="275"/>
      <c r="B211" s="275">
        <v>561</v>
      </c>
      <c r="C211" s="275"/>
      <c r="D211" s="275" t="s">
        <v>589</v>
      </c>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75"/>
      <c r="AE211" s="275"/>
      <c r="AF211" s="275"/>
      <c r="AG211" s="275"/>
      <c r="AH211" s="275"/>
      <c r="AI211" s="275"/>
      <c r="AJ211" s="275"/>
      <c r="AK211" s="275"/>
      <c r="AL211" s="275"/>
      <c r="AM211" s="275"/>
      <c r="AN211" s="275"/>
      <c r="AO211" s="275"/>
      <c r="AP211" s="275"/>
      <c r="AQ211" s="275"/>
      <c r="AR211" s="275"/>
      <c r="AS211" s="275"/>
      <c r="AT211" s="275"/>
      <c r="AU211" s="275"/>
      <c r="AV211" s="275"/>
      <c r="AW211" s="275"/>
      <c r="AX211" s="275"/>
      <c r="AY211" s="275"/>
      <c r="AZ211" s="275"/>
      <c r="BA211" s="275"/>
      <c r="BB211" s="275"/>
      <c r="BC211" s="275"/>
      <c r="BD211" s="275"/>
      <c r="BE211" s="275"/>
      <c r="BF211" s="275"/>
      <c r="BG211" s="275"/>
      <c r="BH211" s="275"/>
      <c r="BI211" s="275"/>
      <c r="BJ211" s="275"/>
      <c r="BK211" s="275"/>
      <c r="BL211" s="275"/>
      <c r="BM211" s="275"/>
      <c r="BN211" s="275"/>
      <c r="BO211" s="275"/>
      <c r="BP211" s="275"/>
      <c r="BQ211" s="275"/>
      <c r="BR211" s="275"/>
      <c r="BS211" s="275"/>
    </row>
    <row r="212" spans="1:71" x14ac:dyDescent="0.3">
      <c r="A212" s="275"/>
      <c r="B212" s="275">
        <v>562</v>
      </c>
      <c r="C212" s="275"/>
      <c r="D212" s="275" t="s">
        <v>590</v>
      </c>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75"/>
      <c r="AE212" s="275"/>
      <c r="AF212" s="275"/>
      <c r="AG212" s="275"/>
      <c r="AH212" s="275"/>
      <c r="AI212" s="275"/>
      <c r="AJ212" s="275"/>
      <c r="AK212" s="275"/>
      <c r="AL212" s="275"/>
      <c r="AM212" s="275"/>
      <c r="AN212" s="275"/>
      <c r="AO212" s="275"/>
      <c r="AP212" s="275"/>
      <c r="AQ212" s="275"/>
      <c r="AR212" s="275"/>
      <c r="AS212" s="275"/>
      <c r="AT212" s="275"/>
      <c r="AU212" s="275"/>
      <c r="AV212" s="275"/>
      <c r="AW212" s="275"/>
      <c r="AX212" s="275"/>
      <c r="AY212" s="275"/>
      <c r="AZ212" s="275"/>
      <c r="BA212" s="275"/>
      <c r="BB212" s="275"/>
      <c r="BC212" s="275"/>
      <c r="BD212" s="275"/>
      <c r="BE212" s="275"/>
      <c r="BF212" s="275"/>
      <c r="BG212" s="275"/>
      <c r="BH212" s="275"/>
      <c r="BI212" s="275"/>
      <c r="BJ212" s="275"/>
      <c r="BK212" s="275"/>
      <c r="BL212" s="275"/>
      <c r="BM212" s="275"/>
      <c r="BN212" s="275"/>
      <c r="BO212" s="275"/>
      <c r="BP212" s="275"/>
      <c r="BQ212" s="275"/>
      <c r="BR212" s="275"/>
      <c r="BS212" s="275"/>
    </row>
    <row r="213" spans="1:71" x14ac:dyDescent="0.3">
      <c r="A213" s="275"/>
      <c r="B213" s="275">
        <v>563</v>
      </c>
      <c r="C213" s="275"/>
      <c r="D213" s="275" t="s">
        <v>591</v>
      </c>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75"/>
      <c r="AE213" s="275"/>
      <c r="AF213" s="275"/>
      <c r="AG213" s="275"/>
      <c r="AH213" s="275"/>
      <c r="AI213" s="275"/>
      <c r="AJ213" s="275"/>
      <c r="AK213" s="275"/>
      <c r="AL213" s="275"/>
      <c r="AM213" s="275"/>
      <c r="AN213" s="275"/>
      <c r="AO213" s="275"/>
      <c r="AP213" s="275"/>
      <c r="AQ213" s="275"/>
      <c r="AR213" s="275"/>
      <c r="AS213" s="275"/>
      <c r="AT213" s="275"/>
      <c r="AU213" s="275"/>
      <c r="AV213" s="275"/>
      <c r="AW213" s="275"/>
      <c r="AX213" s="275"/>
      <c r="AY213" s="275"/>
      <c r="AZ213" s="275"/>
      <c r="BA213" s="275"/>
      <c r="BB213" s="275"/>
      <c r="BC213" s="275"/>
      <c r="BD213" s="275"/>
      <c r="BE213" s="275"/>
      <c r="BF213" s="275"/>
      <c r="BG213" s="275"/>
      <c r="BH213" s="275"/>
      <c r="BI213" s="275"/>
      <c r="BJ213" s="275"/>
      <c r="BK213" s="275"/>
      <c r="BL213" s="275"/>
      <c r="BM213" s="275"/>
      <c r="BN213" s="275"/>
      <c r="BO213" s="275"/>
      <c r="BP213" s="275"/>
      <c r="BQ213" s="275"/>
      <c r="BR213" s="275"/>
      <c r="BS213" s="275"/>
    </row>
    <row r="214" spans="1:71" x14ac:dyDescent="0.3">
      <c r="A214" s="275"/>
      <c r="B214" s="275">
        <v>564</v>
      </c>
      <c r="C214" s="275"/>
      <c r="D214" s="275" t="s">
        <v>592</v>
      </c>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275"/>
      <c r="AF214" s="275"/>
      <c r="AG214" s="275"/>
      <c r="AH214" s="275"/>
      <c r="AI214" s="275"/>
      <c r="AJ214" s="275"/>
      <c r="AK214" s="275"/>
      <c r="AL214" s="275"/>
      <c r="AM214" s="275"/>
      <c r="AN214" s="275"/>
      <c r="AO214" s="275"/>
      <c r="AP214" s="275"/>
      <c r="AQ214" s="275"/>
      <c r="AR214" s="275"/>
      <c r="AS214" s="275"/>
      <c r="AT214" s="275"/>
      <c r="AU214" s="275"/>
      <c r="AV214" s="275"/>
      <c r="AW214" s="275"/>
      <c r="AX214" s="275"/>
      <c r="AY214" s="275"/>
      <c r="AZ214" s="275"/>
      <c r="BA214" s="275"/>
      <c r="BB214" s="275"/>
      <c r="BC214" s="275"/>
      <c r="BD214" s="275"/>
      <c r="BE214" s="275"/>
      <c r="BF214" s="275"/>
      <c r="BG214" s="275"/>
      <c r="BH214" s="275"/>
      <c r="BI214" s="275"/>
      <c r="BJ214" s="275"/>
      <c r="BK214" s="275"/>
      <c r="BL214" s="275"/>
      <c r="BM214" s="275"/>
      <c r="BN214" s="275"/>
      <c r="BO214" s="275"/>
      <c r="BP214" s="275"/>
      <c r="BQ214" s="275"/>
      <c r="BR214" s="275"/>
      <c r="BS214" s="275"/>
    </row>
    <row r="215" spans="1:71" x14ac:dyDescent="0.3">
      <c r="A215" s="275"/>
      <c r="B215" s="275">
        <v>565</v>
      </c>
      <c r="C215" s="275"/>
      <c r="D215" s="275" t="s">
        <v>593</v>
      </c>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275"/>
      <c r="AF215" s="275"/>
      <c r="AG215" s="275"/>
      <c r="AH215" s="275"/>
      <c r="AI215" s="275"/>
      <c r="AJ215" s="275"/>
      <c r="AK215" s="275"/>
      <c r="AL215" s="275"/>
      <c r="AM215" s="275"/>
      <c r="AN215" s="275"/>
      <c r="AO215" s="275"/>
      <c r="AP215" s="275"/>
      <c r="AQ215" s="275"/>
      <c r="AR215" s="275"/>
      <c r="AS215" s="275"/>
      <c r="AT215" s="275"/>
      <c r="AU215" s="275"/>
      <c r="AV215" s="275"/>
      <c r="AW215" s="275"/>
      <c r="AX215" s="275"/>
      <c r="AY215" s="275"/>
      <c r="AZ215" s="275"/>
      <c r="BA215" s="275"/>
      <c r="BB215" s="275"/>
      <c r="BC215" s="275"/>
      <c r="BD215" s="275"/>
      <c r="BE215" s="275"/>
      <c r="BF215" s="275"/>
      <c r="BG215" s="275"/>
      <c r="BH215" s="275"/>
      <c r="BI215" s="275"/>
      <c r="BJ215" s="275"/>
      <c r="BK215" s="275"/>
      <c r="BL215" s="275"/>
      <c r="BM215" s="275"/>
      <c r="BN215" s="275"/>
      <c r="BO215" s="275"/>
      <c r="BP215" s="275"/>
      <c r="BQ215" s="275"/>
      <c r="BR215" s="275"/>
      <c r="BS215" s="275"/>
    </row>
    <row r="216" spans="1:71" x14ac:dyDescent="0.3">
      <c r="A216" s="275"/>
      <c r="B216" s="275">
        <v>566</v>
      </c>
      <c r="C216" s="275"/>
      <c r="D216" s="275" t="s">
        <v>594</v>
      </c>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275"/>
      <c r="AF216" s="275"/>
      <c r="AG216" s="275"/>
      <c r="AH216" s="275"/>
      <c r="AI216" s="275"/>
      <c r="AJ216" s="275"/>
      <c r="AK216" s="275"/>
      <c r="AL216" s="275"/>
      <c r="AM216" s="275"/>
      <c r="AN216" s="275"/>
      <c r="AO216" s="275"/>
      <c r="AP216" s="275"/>
      <c r="AQ216" s="275"/>
      <c r="AR216" s="275"/>
      <c r="AS216" s="275"/>
      <c r="AT216" s="275"/>
      <c r="AU216" s="275"/>
      <c r="AV216" s="275"/>
      <c r="AW216" s="275"/>
      <c r="AX216" s="275"/>
      <c r="AY216" s="275"/>
      <c r="AZ216" s="275"/>
      <c r="BA216" s="275"/>
      <c r="BB216" s="275"/>
      <c r="BC216" s="275"/>
      <c r="BD216" s="275"/>
      <c r="BE216" s="275"/>
      <c r="BF216" s="275"/>
      <c r="BG216" s="275"/>
      <c r="BH216" s="275"/>
      <c r="BI216" s="275"/>
      <c r="BJ216" s="275"/>
      <c r="BK216" s="275"/>
      <c r="BL216" s="275"/>
      <c r="BM216" s="275"/>
      <c r="BN216" s="275"/>
      <c r="BO216" s="275"/>
      <c r="BP216" s="275"/>
      <c r="BQ216" s="275"/>
      <c r="BR216" s="275"/>
      <c r="BS216" s="275"/>
    </row>
    <row r="217" spans="1:71" x14ac:dyDescent="0.3">
      <c r="A217" s="275"/>
      <c r="B217" s="275">
        <v>567</v>
      </c>
      <c r="C217" s="275"/>
      <c r="D217" s="275" t="s">
        <v>595</v>
      </c>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75"/>
      <c r="AE217" s="275"/>
      <c r="AF217" s="275"/>
      <c r="AG217" s="275"/>
      <c r="AH217" s="275"/>
      <c r="AI217" s="275"/>
      <c r="AJ217" s="275"/>
      <c r="AK217" s="275"/>
      <c r="AL217" s="275"/>
      <c r="AM217" s="275"/>
      <c r="AN217" s="275"/>
      <c r="AO217" s="275"/>
      <c r="AP217" s="275"/>
      <c r="AQ217" s="275"/>
      <c r="AR217" s="275"/>
      <c r="AS217" s="275"/>
      <c r="AT217" s="275"/>
      <c r="AU217" s="275"/>
      <c r="AV217" s="275"/>
      <c r="AW217" s="275"/>
      <c r="AX217" s="275"/>
      <c r="AY217" s="275"/>
      <c r="AZ217" s="275"/>
      <c r="BA217" s="275"/>
      <c r="BB217" s="275"/>
      <c r="BC217" s="275"/>
      <c r="BD217" s="275"/>
      <c r="BE217" s="275"/>
      <c r="BF217" s="275"/>
      <c r="BG217" s="275"/>
      <c r="BH217" s="275"/>
      <c r="BI217" s="275"/>
      <c r="BJ217" s="275"/>
      <c r="BK217" s="275"/>
      <c r="BL217" s="275"/>
      <c r="BM217" s="275"/>
      <c r="BN217" s="275"/>
      <c r="BO217" s="275"/>
      <c r="BP217" s="275"/>
      <c r="BQ217" s="275"/>
      <c r="BR217" s="275"/>
      <c r="BS217" s="275"/>
    </row>
    <row r="218" spans="1:71" x14ac:dyDescent="0.3">
      <c r="A218" s="275"/>
      <c r="B218" s="275">
        <v>568</v>
      </c>
      <c r="C218" s="275"/>
      <c r="D218" s="275" t="s">
        <v>596</v>
      </c>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c r="AF218" s="275"/>
      <c r="AG218" s="275"/>
      <c r="AH218" s="275"/>
      <c r="AI218" s="275"/>
      <c r="AJ218" s="275"/>
      <c r="AK218" s="275"/>
      <c r="AL218" s="275"/>
      <c r="AM218" s="275"/>
      <c r="AN218" s="275"/>
      <c r="AO218" s="275"/>
      <c r="AP218" s="275"/>
      <c r="AQ218" s="275"/>
      <c r="AR218" s="275"/>
      <c r="AS218" s="275"/>
      <c r="AT218" s="275"/>
      <c r="AU218" s="275"/>
      <c r="AV218" s="275"/>
      <c r="AW218" s="275"/>
      <c r="AX218" s="275"/>
      <c r="AY218" s="275"/>
      <c r="AZ218" s="275"/>
      <c r="BA218" s="275"/>
      <c r="BB218" s="275"/>
      <c r="BC218" s="275"/>
      <c r="BD218" s="275"/>
      <c r="BE218" s="275"/>
      <c r="BF218" s="275"/>
      <c r="BG218" s="275"/>
      <c r="BH218" s="275"/>
      <c r="BI218" s="275"/>
      <c r="BJ218" s="275"/>
      <c r="BK218" s="275"/>
      <c r="BL218" s="275"/>
      <c r="BM218" s="275"/>
      <c r="BN218" s="275"/>
      <c r="BO218" s="275"/>
      <c r="BP218" s="275"/>
      <c r="BQ218" s="275"/>
      <c r="BR218" s="275"/>
      <c r="BS218" s="275"/>
    </row>
    <row r="219" spans="1:71" x14ac:dyDescent="0.3">
      <c r="A219" s="275"/>
      <c r="B219" s="275">
        <v>569</v>
      </c>
      <c r="C219" s="275"/>
      <c r="D219" s="275" t="s">
        <v>597</v>
      </c>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75"/>
      <c r="AE219" s="275"/>
      <c r="AF219" s="275"/>
      <c r="AG219" s="275"/>
      <c r="AH219" s="275"/>
      <c r="AI219" s="275"/>
      <c r="AJ219" s="275"/>
      <c r="AK219" s="275"/>
      <c r="AL219" s="275"/>
      <c r="AM219" s="275"/>
      <c r="AN219" s="275"/>
      <c r="AO219" s="275"/>
      <c r="AP219" s="275"/>
      <c r="AQ219" s="275"/>
      <c r="AR219" s="275"/>
      <c r="AS219" s="275"/>
      <c r="AT219" s="275"/>
      <c r="AU219" s="275"/>
      <c r="AV219" s="275"/>
      <c r="AW219" s="275"/>
      <c r="AX219" s="275"/>
      <c r="AY219" s="275"/>
      <c r="AZ219" s="275"/>
      <c r="BA219" s="275"/>
      <c r="BB219" s="275"/>
      <c r="BC219" s="275"/>
      <c r="BD219" s="275"/>
      <c r="BE219" s="275"/>
      <c r="BF219" s="275"/>
      <c r="BG219" s="275"/>
      <c r="BH219" s="275"/>
      <c r="BI219" s="275"/>
      <c r="BJ219" s="275"/>
      <c r="BK219" s="275"/>
      <c r="BL219" s="275"/>
      <c r="BM219" s="275"/>
      <c r="BN219" s="275"/>
      <c r="BO219" s="275"/>
      <c r="BP219" s="275"/>
      <c r="BQ219" s="275"/>
      <c r="BR219" s="275"/>
      <c r="BS219" s="275"/>
    </row>
    <row r="220" spans="1:71" x14ac:dyDescent="0.3">
      <c r="A220" s="275"/>
      <c r="B220" s="275">
        <v>570</v>
      </c>
      <c r="C220" s="275"/>
      <c r="D220" s="275" t="s">
        <v>598</v>
      </c>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75"/>
      <c r="AE220" s="275"/>
      <c r="AF220" s="275"/>
      <c r="AG220" s="275"/>
      <c r="AH220" s="275"/>
      <c r="AI220" s="275"/>
      <c r="AJ220" s="275"/>
      <c r="AK220" s="275"/>
      <c r="AL220" s="275"/>
      <c r="AM220" s="275"/>
      <c r="AN220" s="275"/>
      <c r="AO220" s="275"/>
      <c r="AP220" s="275"/>
      <c r="AQ220" s="275"/>
      <c r="AR220" s="275"/>
      <c r="AS220" s="275"/>
      <c r="AT220" s="275"/>
      <c r="AU220" s="275"/>
      <c r="AV220" s="275"/>
      <c r="AW220" s="275"/>
      <c r="AX220" s="275"/>
      <c r="AY220" s="275"/>
      <c r="AZ220" s="275"/>
      <c r="BA220" s="275"/>
      <c r="BB220" s="275"/>
      <c r="BC220" s="275"/>
      <c r="BD220" s="275"/>
      <c r="BE220" s="275"/>
      <c r="BF220" s="275"/>
      <c r="BG220" s="275"/>
      <c r="BH220" s="275"/>
      <c r="BI220" s="275"/>
      <c r="BJ220" s="275"/>
      <c r="BK220" s="275"/>
      <c r="BL220" s="275"/>
      <c r="BM220" s="275"/>
      <c r="BN220" s="275"/>
      <c r="BO220" s="275"/>
      <c r="BP220" s="275"/>
      <c r="BQ220" s="275"/>
      <c r="BR220" s="275"/>
      <c r="BS220" s="275"/>
    </row>
    <row r="221" spans="1:71" x14ac:dyDescent="0.3">
      <c r="A221" s="275"/>
      <c r="B221" s="275">
        <v>571</v>
      </c>
      <c r="C221" s="275"/>
      <c r="D221" s="275" t="s">
        <v>599</v>
      </c>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75"/>
      <c r="AE221" s="275"/>
      <c r="AF221" s="275"/>
      <c r="AG221" s="275"/>
      <c r="AH221" s="275"/>
      <c r="AI221" s="275"/>
      <c r="AJ221" s="275"/>
      <c r="AK221" s="275"/>
      <c r="AL221" s="275"/>
      <c r="AM221" s="275"/>
      <c r="AN221" s="275"/>
      <c r="AO221" s="275"/>
      <c r="AP221" s="275"/>
      <c r="AQ221" s="275"/>
      <c r="AR221" s="275"/>
      <c r="AS221" s="275"/>
      <c r="AT221" s="275"/>
      <c r="AU221" s="275"/>
      <c r="AV221" s="275"/>
      <c r="AW221" s="275"/>
      <c r="AX221" s="275"/>
      <c r="AY221" s="275"/>
      <c r="AZ221" s="275"/>
      <c r="BA221" s="275"/>
      <c r="BB221" s="275"/>
      <c r="BC221" s="275"/>
      <c r="BD221" s="275"/>
      <c r="BE221" s="275"/>
      <c r="BF221" s="275"/>
      <c r="BG221" s="275"/>
      <c r="BH221" s="275"/>
      <c r="BI221" s="275"/>
      <c r="BJ221" s="275"/>
      <c r="BK221" s="275"/>
      <c r="BL221" s="275"/>
      <c r="BM221" s="275"/>
      <c r="BN221" s="275"/>
      <c r="BO221" s="275"/>
      <c r="BP221" s="275"/>
      <c r="BQ221" s="275"/>
      <c r="BR221" s="275"/>
      <c r="BS221" s="275"/>
    </row>
    <row r="222" spans="1:71" x14ac:dyDescent="0.3">
      <c r="A222" s="275"/>
      <c r="B222" s="275">
        <v>572</v>
      </c>
      <c r="C222" s="275"/>
      <c r="D222" s="275" t="s">
        <v>600</v>
      </c>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75"/>
      <c r="AE222" s="275"/>
      <c r="AF222" s="275"/>
      <c r="AG222" s="275"/>
      <c r="AH222" s="275"/>
      <c r="AI222" s="275"/>
      <c r="AJ222" s="275"/>
      <c r="AK222" s="275"/>
      <c r="AL222" s="275"/>
      <c r="AM222" s="275"/>
      <c r="AN222" s="275"/>
      <c r="AO222" s="275"/>
      <c r="AP222" s="275"/>
      <c r="AQ222" s="275"/>
      <c r="AR222" s="275"/>
      <c r="AS222" s="275"/>
      <c r="AT222" s="275"/>
      <c r="AU222" s="275"/>
      <c r="AV222" s="275"/>
      <c r="AW222" s="275"/>
      <c r="AX222" s="275"/>
      <c r="AY222" s="275"/>
      <c r="AZ222" s="275"/>
      <c r="BA222" s="275"/>
      <c r="BB222" s="275"/>
      <c r="BC222" s="275"/>
      <c r="BD222" s="275"/>
      <c r="BE222" s="275"/>
      <c r="BF222" s="275"/>
      <c r="BG222" s="275"/>
      <c r="BH222" s="275"/>
      <c r="BI222" s="275"/>
      <c r="BJ222" s="275"/>
      <c r="BK222" s="275"/>
      <c r="BL222" s="275"/>
      <c r="BM222" s="275"/>
      <c r="BN222" s="275"/>
      <c r="BO222" s="275"/>
      <c r="BP222" s="275"/>
      <c r="BQ222" s="275"/>
      <c r="BR222" s="275"/>
      <c r="BS222" s="275"/>
    </row>
    <row r="223" spans="1:71" x14ac:dyDescent="0.3">
      <c r="A223" s="275"/>
      <c r="B223" s="275">
        <v>573</v>
      </c>
      <c r="C223" s="275"/>
      <c r="D223" s="275" t="s">
        <v>601</v>
      </c>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s="275"/>
      <c r="AG223" s="275"/>
      <c r="AH223" s="275"/>
      <c r="AI223" s="275"/>
      <c r="AJ223" s="275"/>
      <c r="AK223" s="275"/>
      <c r="AL223" s="275"/>
      <c r="AM223" s="275"/>
      <c r="AN223" s="275"/>
      <c r="AO223" s="275"/>
      <c r="AP223" s="275"/>
      <c r="AQ223" s="275"/>
      <c r="AR223" s="275"/>
      <c r="AS223" s="275"/>
      <c r="AT223" s="275"/>
      <c r="AU223" s="275"/>
      <c r="AV223" s="275"/>
      <c r="AW223" s="275"/>
      <c r="AX223" s="275"/>
      <c r="AY223" s="275"/>
      <c r="AZ223" s="275"/>
      <c r="BA223" s="275"/>
      <c r="BB223" s="275"/>
      <c r="BC223" s="275"/>
      <c r="BD223" s="275"/>
      <c r="BE223" s="275"/>
      <c r="BF223" s="275"/>
      <c r="BG223" s="275"/>
      <c r="BH223" s="275"/>
      <c r="BI223" s="275"/>
      <c r="BJ223" s="275"/>
      <c r="BK223" s="275"/>
      <c r="BL223" s="275"/>
      <c r="BM223" s="275"/>
      <c r="BN223" s="275"/>
      <c r="BO223" s="275"/>
      <c r="BP223" s="275"/>
      <c r="BQ223" s="275"/>
      <c r="BR223" s="275"/>
      <c r="BS223" s="275"/>
    </row>
    <row r="224" spans="1:71" x14ac:dyDescent="0.3">
      <c r="A224" s="275"/>
      <c r="B224" s="275">
        <v>574</v>
      </c>
      <c r="C224" s="275"/>
      <c r="D224" s="275" t="s">
        <v>602</v>
      </c>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275"/>
      <c r="AF224" s="275"/>
      <c r="AG224" s="275"/>
      <c r="AH224" s="275"/>
      <c r="AI224" s="275"/>
      <c r="AJ224" s="275"/>
      <c r="AK224" s="275"/>
      <c r="AL224" s="275"/>
      <c r="AM224" s="275"/>
      <c r="AN224" s="275"/>
      <c r="AO224" s="275"/>
      <c r="AP224" s="275"/>
      <c r="AQ224" s="275"/>
      <c r="AR224" s="275"/>
      <c r="AS224" s="275"/>
      <c r="AT224" s="275"/>
      <c r="AU224" s="275"/>
      <c r="AV224" s="275"/>
      <c r="AW224" s="275"/>
      <c r="AX224" s="275"/>
      <c r="AY224" s="275"/>
      <c r="AZ224" s="275"/>
      <c r="BA224" s="275"/>
      <c r="BB224" s="275"/>
      <c r="BC224" s="275"/>
      <c r="BD224" s="275"/>
      <c r="BE224" s="275"/>
      <c r="BF224" s="275"/>
      <c r="BG224" s="275"/>
      <c r="BH224" s="275"/>
      <c r="BI224" s="275"/>
      <c r="BJ224" s="275"/>
      <c r="BK224" s="275"/>
      <c r="BL224" s="275"/>
      <c r="BM224" s="275"/>
      <c r="BN224" s="275"/>
      <c r="BO224" s="275"/>
      <c r="BP224" s="275"/>
      <c r="BQ224" s="275"/>
      <c r="BR224" s="275"/>
      <c r="BS224" s="275"/>
    </row>
    <row r="225" spans="1:71" x14ac:dyDescent="0.3">
      <c r="A225" s="275">
        <v>575</v>
      </c>
      <c r="B225" s="275">
        <v>575</v>
      </c>
      <c r="C225" s="275" t="s">
        <v>547</v>
      </c>
      <c r="D225" s="275" t="s">
        <v>643</v>
      </c>
      <c r="E225" s="275">
        <v>0</v>
      </c>
      <c r="F225" s="275">
        <v>0</v>
      </c>
      <c r="G225" s="275">
        <v>0</v>
      </c>
      <c r="H225" s="275">
        <v>0</v>
      </c>
      <c r="I225" s="275">
        <v>0</v>
      </c>
      <c r="J225" s="1112">
        <v>226273</v>
      </c>
      <c r="K225" s="275">
        <v>0</v>
      </c>
      <c r="L225" s="1112">
        <v>6184</v>
      </c>
      <c r="M225" s="275">
        <v>0</v>
      </c>
      <c r="N225" s="275">
        <v>0</v>
      </c>
      <c r="O225" s="275">
        <v>0</v>
      </c>
      <c r="P225" s="275">
        <v>0</v>
      </c>
      <c r="Q225" s="1112">
        <v>15470</v>
      </c>
      <c r="R225" s="275">
        <v>0</v>
      </c>
      <c r="S225" s="275">
        <v>0</v>
      </c>
      <c r="T225" s="275">
        <v>0</v>
      </c>
      <c r="U225" s="275">
        <v>0</v>
      </c>
      <c r="V225" s="1112">
        <v>253180</v>
      </c>
      <c r="W225" s="275">
        <v>0</v>
      </c>
      <c r="X225" s="275">
        <v>313</v>
      </c>
      <c r="Y225" s="1112">
        <v>27297</v>
      </c>
      <c r="Z225" s="275">
        <v>0</v>
      </c>
      <c r="AA225" s="275">
        <v>0</v>
      </c>
      <c r="AB225" s="275">
        <v>0</v>
      </c>
      <c r="AC225" s="275">
        <v>0</v>
      </c>
      <c r="AD225" s="275">
        <v>0</v>
      </c>
      <c r="AE225" s="1112">
        <v>232523</v>
      </c>
      <c r="AF225" s="275">
        <v>0</v>
      </c>
      <c r="AG225" s="275">
        <v>0</v>
      </c>
      <c r="AH225" s="275">
        <v>0</v>
      </c>
      <c r="AI225" s="275">
        <v>0</v>
      </c>
      <c r="AJ225" s="1112">
        <v>59002</v>
      </c>
      <c r="AK225" s="275">
        <v>0</v>
      </c>
      <c r="AL225" s="275">
        <v>0</v>
      </c>
      <c r="AM225" s="275">
        <v>0</v>
      </c>
      <c r="AN225" s="275">
        <v>0</v>
      </c>
      <c r="AO225" s="275">
        <v>0</v>
      </c>
      <c r="AP225" s="275">
        <v>0</v>
      </c>
      <c r="AQ225" s="275">
        <v>0</v>
      </c>
      <c r="AR225" s="1112">
        <v>249900</v>
      </c>
      <c r="AS225" s="275">
        <v>0</v>
      </c>
      <c r="AT225" s="275">
        <v>0</v>
      </c>
      <c r="AU225" s="275">
        <v>0</v>
      </c>
      <c r="AV225" s="275">
        <v>0</v>
      </c>
      <c r="AW225" s="275">
        <v>0</v>
      </c>
      <c r="AX225" s="275">
        <v>0</v>
      </c>
      <c r="AY225" s="275">
        <v>0</v>
      </c>
      <c r="AZ225" s="275">
        <v>0</v>
      </c>
      <c r="BA225" s="275">
        <v>0</v>
      </c>
      <c r="BB225" s="275">
        <v>0</v>
      </c>
      <c r="BC225" s="275">
        <v>0</v>
      </c>
      <c r="BD225" s="275">
        <v>0</v>
      </c>
      <c r="BE225" s="275">
        <v>0</v>
      </c>
      <c r="BF225" s="275">
        <v>0</v>
      </c>
      <c r="BG225" s="1112">
        <v>16769</v>
      </c>
      <c r="BH225" s="275">
        <v>0</v>
      </c>
      <c r="BI225" s="275">
        <v>0</v>
      </c>
      <c r="BJ225" s="1112">
        <v>5916</v>
      </c>
      <c r="BK225" s="1112">
        <v>90000</v>
      </c>
      <c r="BL225" s="275">
        <v>0</v>
      </c>
      <c r="BM225" s="275">
        <v>0</v>
      </c>
      <c r="BN225" s="275">
        <v>0</v>
      </c>
      <c r="BO225" s="1112">
        <v>23476</v>
      </c>
      <c r="BP225" s="275">
        <v>0</v>
      </c>
      <c r="BQ225" s="1112">
        <v>1304022</v>
      </c>
      <c r="BR225" s="275">
        <v>0</v>
      </c>
      <c r="BS225" s="1112">
        <v>39046</v>
      </c>
    </row>
    <row r="226" spans="1:71" x14ac:dyDescent="0.3">
      <c r="A226" s="275">
        <v>576</v>
      </c>
      <c r="B226" s="275">
        <v>576</v>
      </c>
      <c r="C226" s="275" t="s">
        <v>548</v>
      </c>
      <c r="D226" s="275" t="s">
        <v>644</v>
      </c>
      <c r="E226" s="275">
        <v>0</v>
      </c>
      <c r="F226" s="1112">
        <v>29069</v>
      </c>
      <c r="G226" s="275">
        <v>0</v>
      </c>
      <c r="H226" s="1112">
        <v>849375</v>
      </c>
      <c r="I226" s="275">
        <v>0</v>
      </c>
      <c r="J226" s="275">
        <v>0</v>
      </c>
      <c r="K226" s="275">
        <v>0</v>
      </c>
      <c r="L226" s="275">
        <v>0</v>
      </c>
      <c r="M226" s="1112">
        <v>26272</v>
      </c>
      <c r="N226" s="275">
        <v>0</v>
      </c>
      <c r="O226" s="275">
        <v>0</v>
      </c>
      <c r="P226" s="275">
        <v>0</v>
      </c>
      <c r="Q226" s="275">
        <v>0</v>
      </c>
      <c r="R226" s="275">
        <v>0</v>
      </c>
      <c r="S226" s="275">
        <v>0</v>
      </c>
      <c r="T226" s="275">
        <v>0</v>
      </c>
      <c r="U226" s="275">
        <v>0</v>
      </c>
      <c r="V226" s="275">
        <v>0</v>
      </c>
      <c r="W226" s="275">
        <v>0</v>
      </c>
      <c r="X226" s="275">
        <v>0</v>
      </c>
      <c r="Y226" s="275">
        <v>0</v>
      </c>
      <c r="Z226" s="275">
        <v>0</v>
      </c>
      <c r="AA226" s="1112">
        <v>2340</v>
      </c>
      <c r="AB226" s="275">
        <v>0</v>
      </c>
      <c r="AC226" s="275">
        <v>0</v>
      </c>
      <c r="AD226" s="275">
        <v>0</v>
      </c>
      <c r="AE226" s="275">
        <v>0</v>
      </c>
      <c r="AF226" s="275">
        <v>0</v>
      </c>
      <c r="AG226" s="275">
        <v>0</v>
      </c>
      <c r="AH226" s="275">
        <v>0</v>
      </c>
      <c r="AI226" s="275">
        <v>0</v>
      </c>
      <c r="AJ226" s="275">
        <v>0</v>
      </c>
      <c r="AK226" s="275">
        <v>0</v>
      </c>
      <c r="AL226" s="275">
        <v>0</v>
      </c>
      <c r="AM226" s="275">
        <v>0</v>
      </c>
      <c r="AN226" s="275">
        <v>0</v>
      </c>
      <c r="AO226" s="275">
        <v>0</v>
      </c>
      <c r="AP226" s="275">
        <v>0</v>
      </c>
      <c r="AQ226" s="275">
        <v>0</v>
      </c>
      <c r="AR226" s="275">
        <v>0</v>
      </c>
      <c r="AS226" s="275">
        <v>0</v>
      </c>
      <c r="AT226" s="275">
        <v>0</v>
      </c>
      <c r="AU226" s="275">
        <v>0</v>
      </c>
      <c r="AV226" s="275">
        <v>0</v>
      </c>
      <c r="AW226" s="1112">
        <v>377542</v>
      </c>
      <c r="AX226" s="275">
        <v>0</v>
      </c>
      <c r="AY226" s="275">
        <v>0</v>
      </c>
      <c r="AZ226" s="275">
        <v>0</v>
      </c>
      <c r="BA226" s="275">
        <v>0</v>
      </c>
      <c r="BB226" s="275">
        <v>0</v>
      </c>
      <c r="BC226" s="275">
        <v>0</v>
      </c>
      <c r="BD226" s="275">
        <v>0</v>
      </c>
      <c r="BE226" s="275">
        <v>0</v>
      </c>
      <c r="BF226" s="1112">
        <v>207248</v>
      </c>
      <c r="BG226" s="275">
        <v>0</v>
      </c>
      <c r="BH226" s="275">
        <v>0</v>
      </c>
      <c r="BI226" s="275">
        <v>0</v>
      </c>
      <c r="BJ226" s="275">
        <v>0</v>
      </c>
      <c r="BK226" s="275">
        <v>0</v>
      </c>
      <c r="BL226" s="275">
        <v>0</v>
      </c>
      <c r="BM226" s="275">
        <v>0</v>
      </c>
      <c r="BN226" s="275">
        <v>0</v>
      </c>
      <c r="BO226" s="275">
        <v>0</v>
      </c>
      <c r="BP226" s="275">
        <v>0</v>
      </c>
      <c r="BQ226" s="275">
        <v>0</v>
      </c>
      <c r="BR226" s="275">
        <v>0</v>
      </c>
      <c r="BS226" s="275">
        <v>0</v>
      </c>
    </row>
    <row r="227" spans="1:71" x14ac:dyDescent="0.3">
      <c r="A227" s="275">
        <v>577</v>
      </c>
      <c r="B227" s="275">
        <v>577</v>
      </c>
      <c r="C227" s="275" t="s">
        <v>645</v>
      </c>
      <c r="D227" s="275" t="s">
        <v>646</v>
      </c>
      <c r="E227" s="275">
        <v>2</v>
      </c>
      <c r="F227" s="275">
        <v>0</v>
      </c>
      <c r="G227" s="275">
        <v>0</v>
      </c>
      <c r="H227" s="275">
        <v>2</v>
      </c>
      <c r="I227" s="275">
        <v>0</v>
      </c>
      <c r="J227" s="275">
        <v>2</v>
      </c>
      <c r="K227" s="275">
        <v>2</v>
      </c>
      <c r="L227" s="275">
        <v>2</v>
      </c>
      <c r="M227" s="275">
        <v>2</v>
      </c>
      <c r="N227" s="275">
        <v>0</v>
      </c>
      <c r="O227" s="275">
        <v>2</v>
      </c>
      <c r="P227" s="275">
        <v>2</v>
      </c>
      <c r="Q227" s="275">
        <v>0</v>
      </c>
      <c r="R227" s="275">
        <v>2</v>
      </c>
      <c r="S227" s="275">
        <v>0</v>
      </c>
      <c r="T227" s="275">
        <v>2</v>
      </c>
      <c r="U227" s="275">
        <v>2</v>
      </c>
      <c r="V227" s="275">
        <v>2</v>
      </c>
      <c r="W227" s="275">
        <v>0</v>
      </c>
      <c r="X227" s="275">
        <v>0</v>
      </c>
      <c r="Y227" s="275">
        <v>2</v>
      </c>
      <c r="Z227" s="275">
        <v>2</v>
      </c>
      <c r="AA227" s="275">
        <v>2</v>
      </c>
      <c r="AB227" s="275">
        <v>2</v>
      </c>
      <c r="AC227" s="275">
        <v>2</v>
      </c>
      <c r="AD227" s="275">
        <v>2</v>
      </c>
      <c r="AE227" s="275">
        <v>0</v>
      </c>
      <c r="AF227" s="275">
        <v>2</v>
      </c>
      <c r="AG227" s="275">
        <v>0</v>
      </c>
      <c r="AH227" s="275">
        <v>2</v>
      </c>
      <c r="AI227" s="275">
        <v>2</v>
      </c>
      <c r="AJ227" s="275">
        <v>2</v>
      </c>
      <c r="AK227" s="275">
        <v>2</v>
      </c>
      <c r="AL227" s="275">
        <v>0</v>
      </c>
      <c r="AM227" s="275">
        <v>2</v>
      </c>
      <c r="AN227" s="275">
        <v>2</v>
      </c>
      <c r="AO227" s="275">
        <v>2</v>
      </c>
      <c r="AP227" s="275">
        <v>2</v>
      </c>
      <c r="AQ227" s="275">
        <v>0</v>
      </c>
      <c r="AR227" s="275">
        <v>2</v>
      </c>
      <c r="AS227" s="275">
        <v>2</v>
      </c>
      <c r="AT227" s="275">
        <v>1</v>
      </c>
      <c r="AU227" s="275">
        <v>2</v>
      </c>
      <c r="AV227" s="275">
        <v>0</v>
      </c>
      <c r="AW227" s="275">
        <v>1</v>
      </c>
      <c r="AX227" s="275">
        <v>2</v>
      </c>
      <c r="AY227" s="275">
        <v>2</v>
      </c>
      <c r="AZ227" s="275">
        <v>2</v>
      </c>
      <c r="BA227" s="275">
        <v>2</v>
      </c>
      <c r="BB227" s="275">
        <v>2</v>
      </c>
      <c r="BC227" s="275">
        <v>2</v>
      </c>
      <c r="BD227" s="275">
        <v>2</v>
      </c>
      <c r="BE227" s="275">
        <v>2</v>
      </c>
      <c r="BF227" s="275">
        <v>2</v>
      </c>
      <c r="BG227" s="275">
        <v>2</v>
      </c>
      <c r="BH227" s="275">
        <v>2</v>
      </c>
      <c r="BI227" s="275">
        <v>1</v>
      </c>
      <c r="BJ227" s="275">
        <v>2</v>
      </c>
      <c r="BK227" s="275">
        <v>2</v>
      </c>
      <c r="BL227" s="275">
        <v>2</v>
      </c>
      <c r="BM227" s="275">
        <v>2</v>
      </c>
      <c r="BN227" s="275">
        <v>2</v>
      </c>
      <c r="BO227" s="275">
        <v>2</v>
      </c>
      <c r="BP227" s="275">
        <v>2</v>
      </c>
      <c r="BQ227" s="275">
        <v>2</v>
      </c>
      <c r="BR227" s="275">
        <v>2</v>
      </c>
      <c r="BS227" s="275">
        <v>2</v>
      </c>
    </row>
    <row r="228" spans="1:71" x14ac:dyDescent="0.3">
      <c r="A228" s="275">
        <v>578</v>
      </c>
      <c r="B228" s="275">
        <v>578</v>
      </c>
      <c r="C228" s="275" t="s">
        <v>647</v>
      </c>
      <c r="D228" s="275" t="s">
        <v>648</v>
      </c>
      <c r="E228" s="275">
        <v>0</v>
      </c>
      <c r="F228" s="275">
        <v>0</v>
      </c>
      <c r="G228" s="275">
        <v>0</v>
      </c>
      <c r="H228" s="275">
        <v>0</v>
      </c>
      <c r="I228" s="275">
        <v>0</v>
      </c>
      <c r="J228" s="1112">
        <v>226273</v>
      </c>
      <c r="K228" s="275">
        <v>0</v>
      </c>
      <c r="L228" s="275">
        <v>0</v>
      </c>
      <c r="M228" s="275">
        <v>0</v>
      </c>
      <c r="N228" s="275">
        <v>0</v>
      </c>
      <c r="O228" s="275">
        <v>0</v>
      </c>
      <c r="P228" s="275">
        <v>0</v>
      </c>
      <c r="Q228" s="275">
        <v>0</v>
      </c>
      <c r="R228" s="275">
        <v>0</v>
      </c>
      <c r="S228" s="275">
        <v>0</v>
      </c>
      <c r="T228" s="275">
        <v>0</v>
      </c>
      <c r="U228" s="275">
        <v>0</v>
      </c>
      <c r="V228" s="275">
        <v>0</v>
      </c>
      <c r="W228" s="275">
        <v>0</v>
      </c>
      <c r="X228" s="275">
        <v>0</v>
      </c>
      <c r="Y228" s="275">
        <v>0</v>
      </c>
      <c r="Z228" s="275">
        <v>0</v>
      </c>
      <c r="AA228" s="275">
        <v>0</v>
      </c>
      <c r="AB228" s="275">
        <v>0</v>
      </c>
      <c r="AC228" s="275">
        <v>0</v>
      </c>
      <c r="AD228" s="275">
        <v>0</v>
      </c>
      <c r="AE228" s="275">
        <v>0</v>
      </c>
      <c r="AF228" s="275">
        <v>0</v>
      </c>
      <c r="AG228" s="275">
        <v>0</v>
      </c>
      <c r="AH228" s="275">
        <v>0</v>
      </c>
      <c r="AI228" s="275">
        <v>0</v>
      </c>
      <c r="AJ228" s="275">
        <v>0</v>
      </c>
      <c r="AK228" s="275">
        <v>0</v>
      </c>
      <c r="AL228" s="275">
        <v>0</v>
      </c>
      <c r="AM228" s="275">
        <v>0</v>
      </c>
      <c r="AN228" s="275">
        <v>0</v>
      </c>
      <c r="AO228" s="275">
        <v>0</v>
      </c>
      <c r="AP228" s="275">
        <v>0</v>
      </c>
      <c r="AQ228" s="275">
        <v>0</v>
      </c>
      <c r="AR228" s="275">
        <v>0</v>
      </c>
      <c r="AS228" s="275">
        <v>0</v>
      </c>
      <c r="AT228" s="275">
        <v>0</v>
      </c>
      <c r="AU228" s="275">
        <v>0</v>
      </c>
      <c r="AV228" s="275">
        <v>0</v>
      </c>
      <c r="AW228" s="275">
        <v>0</v>
      </c>
      <c r="AX228" s="275">
        <v>0</v>
      </c>
      <c r="AY228" s="275">
        <v>0</v>
      </c>
      <c r="AZ228" s="275">
        <v>0</v>
      </c>
      <c r="BA228" s="275">
        <v>0</v>
      </c>
      <c r="BB228" s="275">
        <v>0</v>
      </c>
      <c r="BC228" s="275">
        <v>0</v>
      </c>
      <c r="BD228" s="275">
        <v>0</v>
      </c>
      <c r="BE228" s="275">
        <v>0</v>
      </c>
      <c r="BF228" s="275">
        <v>0</v>
      </c>
      <c r="BG228" s="275">
        <v>0</v>
      </c>
      <c r="BH228" s="275">
        <v>0</v>
      </c>
      <c r="BI228" s="275">
        <v>0</v>
      </c>
      <c r="BJ228" s="275">
        <v>0</v>
      </c>
      <c r="BK228" s="1112">
        <v>90000</v>
      </c>
      <c r="BL228" s="275">
        <v>0</v>
      </c>
      <c r="BM228" s="275">
        <v>0</v>
      </c>
      <c r="BN228" s="275">
        <v>0</v>
      </c>
      <c r="BO228" s="275">
        <v>0</v>
      </c>
      <c r="BP228" s="275">
        <v>0</v>
      </c>
      <c r="BQ228" s="275">
        <v>0</v>
      </c>
      <c r="BR228" s="275">
        <v>0</v>
      </c>
      <c r="BS228" s="275">
        <v>0</v>
      </c>
    </row>
    <row r="229" spans="1:71" x14ac:dyDescent="0.3">
      <c r="A229" s="275">
        <v>579</v>
      </c>
      <c r="B229" s="275">
        <v>579</v>
      </c>
      <c r="C229" s="275" t="s">
        <v>649</v>
      </c>
      <c r="D229" s="275" t="s">
        <v>650</v>
      </c>
      <c r="E229" s="275">
        <v>0</v>
      </c>
      <c r="F229" s="1112">
        <v>29069</v>
      </c>
      <c r="G229" s="275">
        <v>0</v>
      </c>
      <c r="H229" s="275">
        <v>0</v>
      </c>
      <c r="I229" s="275">
        <v>0</v>
      </c>
      <c r="J229" s="275">
        <v>0</v>
      </c>
      <c r="K229" s="275">
        <v>0</v>
      </c>
      <c r="L229" s="275">
        <v>0</v>
      </c>
      <c r="M229" s="275">
        <v>0</v>
      </c>
      <c r="N229" s="275">
        <v>0</v>
      </c>
      <c r="O229" s="275">
        <v>0</v>
      </c>
      <c r="P229" s="275">
        <v>0</v>
      </c>
      <c r="Q229" s="275">
        <v>0</v>
      </c>
      <c r="R229" s="275">
        <v>0</v>
      </c>
      <c r="S229" s="275">
        <v>0</v>
      </c>
      <c r="T229" s="275">
        <v>0</v>
      </c>
      <c r="U229" s="275">
        <v>0</v>
      </c>
      <c r="V229" s="275">
        <v>0</v>
      </c>
      <c r="W229" s="275">
        <v>0</v>
      </c>
      <c r="X229" s="275">
        <v>0</v>
      </c>
      <c r="Y229" s="275">
        <v>0</v>
      </c>
      <c r="Z229" s="275">
        <v>0</v>
      </c>
      <c r="AA229" s="1112">
        <v>2340</v>
      </c>
      <c r="AB229" s="275">
        <v>0</v>
      </c>
      <c r="AC229" s="275">
        <v>0</v>
      </c>
      <c r="AD229" s="275">
        <v>0</v>
      </c>
      <c r="AE229" s="275">
        <v>0</v>
      </c>
      <c r="AF229" s="275">
        <v>0</v>
      </c>
      <c r="AG229" s="275">
        <v>0</v>
      </c>
      <c r="AH229" s="275">
        <v>0</v>
      </c>
      <c r="AI229" s="275">
        <v>0</v>
      </c>
      <c r="AJ229" s="275">
        <v>0</v>
      </c>
      <c r="AK229" s="275">
        <v>0</v>
      </c>
      <c r="AL229" s="275">
        <v>0</v>
      </c>
      <c r="AM229" s="275">
        <v>0</v>
      </c>
      <c r="AN229" s="275">
        <v>0</v>
      </c>
      <c r="AO229" s="275">
        <v>0</v>
      </c>
      <c r="AP229" s="275">
        <v>0</v>
      </c>
      <c r="AQ229" s="275">
        <v>0</v>
      </c>
      <c r="AR229" s="275">
        <v>0</v>
      </c>
      <c r="AS229" s="275">
        <v>0</v>
      </c>
      <c r="AT229" s="275">
        <v>0</v>
      </c>
      <c r="AU229" s="1112">
        <v>126200</v>
      </c>
      <c r="AV229" s="275">
        <v>0</v>
      </c>
      <c r="AW229" s="275">
        <v>0</v>
      </c>
      <c r="AX229" s="275">
        <v>0</v>
      </c>
      <c r="AY229" s="275">
        <v>0</v>
      </c>
      <c r="AZ229" s="275">
        <v>0</v>
      </c>
      <c r="BA229" s="275">
        <v>0</v>
      </c>
      <c r="BB229" s="275">
        <v>0</v>
      </c>
      <c r="BC229" s="275">
        <v>0</v>
      </c>
      <c r="BD229" s="275">
        <v>0</v>
      </c>
      <c r="BE229" s="275">
        <v>0</v>
      </c>
      <c r="BF229" s="275">
        <v>0</v>
      </c>
      <c r="BG229" s="275">
        <v>0</v>
      </c>
      <c r="BH229" s="275">
        <v>0</v>
      </c>
      <c r="BI229" s="275">
        <v>0</v>
      </c>
      <c r="BJ229" s="275">
        <v>0</v>
      </c>
      <c r="BK229" s="275">
        <v>0</v>
      </c>
      <c r="BL229" s="275">
        <v>0</v>
      </c>
      <c r="BM229" s="275">
        <v>0</v>
      </c>
      <c r="BN229" s="275">
        <v>0</v>
      </c>
      <c r="BO229" s="275">
        <v>0</v>
      </c>
      <c r="BP229" s="275">
        <v>0</v>
      </c>
      <c r="BQ229" s="275">
        <v>0</v>
      </c>
      <c r="BR229" s="275">
        <v>0</v>
      </c>
      <c r="BS229" s="275">
        <v>0</v>
      </c>
    </row>
    <row r="230" spans="1:71" x14ac:dyDescent="0.3">
      <c r="A230" s="275">
        <v>580</v>
      </c>
      <c r="B230" s="275">
        <v>580</v>
      </c>
      <c r="C230" s="275" t="s">
        <v>651</v>
      </c>
      <c r="D230" s="275" t="s">
        <v>652</v>
      </c>
      <c r="E230" s="275">
        <v>0</v>
      </c>
      <c r="F230" s="275">
        <v>0</v>
      </c>
      <c r="G230" s="275">
        <v>0</v>
      </c>
      <c r="H230" s="275">
        <v>0</v>
      </c>
      <c r="I230" s="275">
        <v>0</v>
      </c>
      <c r="J230" s="275">
        <v>0</v>
      </c>
      <c r="K230" s="275">
        <v>0</v>
      </c>
      <c r="L230" s="275">
        <v>0</v>
      </c>
      <c r="M230" s="275">
        <v>0</v>
      </c>
      <c r="N230" s="275">
        <v>0</v>
      </c>
      <c r="O230" s="275">
        <v>0</v>
      </c>
      <c r="P230" s="275">
        <v>0</v>
      </c>
      <c r="Q230" s="275">
        <v>0</v>
      </c>
      <c r="R230" s="275">
        <v>0</v>
      </c>
      <c r="S230" s="275">
        <v>0</v>
      </c>
      <c r="T230" s="275">
        <v>0</v>
      </c>
      <c r="U230" s="275">
        <v>0</v>
      </c>
      <c r="V230" s="275">
        <v>0</v>
      </c>
      <c r="W230" s="275">
        <v>0</v>
      </c>
      <c r="X230" s="275">
        <v>0</v>
      </c>
      <c r="Y230" s="275">
        <v>0</v>
      </c>
      <c r="Z230" s="275">
        <v>0</v>
      </c>
      <c r="AA230" s="275">
        <v>0</v>
      </c>
      <c r="AB230" s="275">
        <v>0</v>
      </c>
      <c r="AC230" s="275">
        <v>0</v>
      </c>
      <c r="AD230" s="275">
        <v>0</v>
      </c>
      <c r="AE230" s="275">
        <v>0</v>
      </c>
      <c r="AF230" s="275">
        <v>0</v>
      </c>
      <c r="AG230" s="275">
        <v>0</v>
      </c>
      <c r="AH230" s="275">
        <v>0</v>
      </c>
      <c r="AI230" s="275">
        <v>0</v>
      </c>
      <c r="AJ230" s="275">
        <v>0</v>
      </c>
      <c r="AK230" s="275">
        <v>0</v>
      </c>
      <c r="AL230" s="275">
        <v>0</v>
      </c>
      <c r="AM230" s="275">
        <v>0</v>
      </c>
      <c r="AN230" s="275">
        <v>0</v>
      </c>
      <c r="AO230" s="275">
        <v>0</v>
      </c>
      <c r="AP230" s="275">
        <v>0</v>
      </c>
      <c r="AQ230" s="275">
        <v>0</v>
      </c>
      <c r="AR230" s="275">
        <v>0</v>
      </c>
      <c r="AS230" s="275">
        <v>0</v>
      </c>
      <c r="AT230" s="275">
        <v>0</v>
      </c>
      <c r="AU230" s="275">
        <v>0</v>
      </c>
      <c r="AV230" s="275">
        <v>0</v>
      </c>
      <c r="AW230" s="275">
        <v>0</v>
      </c>
      <c r="AX230" s="275">
        <v>0</v>
      </c>
      <c r="AY230" s="275">
        <v>0</v>
      </c>
      <c r="AZ230" s="275">
        <v>0</v>
      </c>
      <c r="BA230" s="275">
        <v>0</v>
      </c>
      <c r="BB230" s="275">
        <v>0</v>
      </c>
      <c r="BC230" s="275">
        <v>0</v>
      </c>
      <c r="BD230" s="275">
        <v>0</v>
      </c>
      <c r="BE230" s="275">
        <v>0</v>
      </c>
      <c r="BF230" s="275">
        <v>0</v>
      </c>
      <c r="BG230" s="275">
        <v>0</v>
      </c>
      <c r="BH230" s="275">
        <v>0</v>
      </c>
      <c r="BI230" s="275">
        <v>0</v>
      </c>
      <c r="BJ230" s="275">
        <v>0</v>
      </c>
      <c r="BK230" s="275">
        <v>0</v>
      </c>
      <c r="BL230" s="275">
        <v>0</v>
      </c>
      <c r="BM230" s="275">
        <v>0</v>
      </c>
      <c r="BN230" s="275">
        <v>0</v>
      </c>
      <c r="BO230" s="275">
        <v>0</v>
      </c>
      <c r="BP230" s="275">
        <v>0</v>
      </c>
      <c r="BQ230" s="275">
        <v>0</v>
      </c>
      <c r="BR230" s="275">
        <v>0</v>
      </c>
      <c r="BS230" s="275">
        <v>0</v>
      </c>
    </row>
    <row r="231" spans="1:71" x14ac:dyDescent="0.3">
      <c r="A231" s="275">
        <v>581</v>
      </c>
      <c r="B231" s="275">
        <v>581</v>
      </c>
      <c r="C231" s="275" t="s">
        <v>653</v>
      </c>
      <c r="D231" s="275" t="s">
        <v>654</v>
      </c>
      <c r="E231" s="275">
        <v>0</v>
      </c>
      <c r="F231" s="275">
        <v>0</v>
      </c>
      <c r="G231" s="275">
        <v>0</v>
      </c>
      <c r="H231" s="1112">
        <v>222788</v>
      </c>
      <c r="I231" s="275">
        <v>0</v>
      </c>
      <c r="J231" s="275">
        <v>0</v>
      </c>
      <c r="K231" s="275">
        <v>0</v>
      </c>
      <c r="L231" s="275">
        <v>0</v>
      </c>
      <c r="M231" s="275">
        <v>0</v>
      </c>
      <c r="N231" s="275">
        <v>0</v>
      </c>
      <c r="O231" s="275">
        <v>0</v>
      </c>
      <c r="P231" s="275">
        <v>0</v>
      </c>
      <c r="Q231" s="275">
        <v>0</v>
      </c>
      <c r="R231" s="275">
        <v>0</v>
      </c>
      <c r="S231" s="275">
        <v>0</v>
      </c>
      <c r="T231" s="275">
        <v>0</v>
      </c>
      <c r="U231" s="275">
        <v>0</v>
      </c>
      <c r="V231" s="275">
        <v>0</v>
      </c>
      <c r="W231" s="275">
        <v>0</v>
      </c>
      <c r="X231" s="275">
        <v>0</v>
      </c>
      <c r="Y231" s="275">
        <v>0</v>
      </c>
      <c r="Z231" s="275">
        <v>0</v>
      </c>
      <c r="AA231" s="275">
        <v>0</v>
      </c>
      <c r="AB231" s="275">
        <v>0</v>
      </c>
      <c r="AC231" s="275">
        <v>0</v>
      </c>
      <c r="AD231" s="275">
        <v>0</v>
      </c>
      <c r="AE231" s="275">
        <v>0</v>
      </c>
      <c r="AF231" s="275">
        <v>0</v>
      </c>
      <c r="AG231" s="275">
        <v>0</v>
      </c>
      <c r="AH231" s="275">
        <v>0</v>
      </c>
      <c r="AI231" s="275">
        <v>0</v>
      </c>
      <c r="AJ231" s="275">
        <v>0</v>
      </c>
      <c r="AK231" s="275">
        <v>0</v>
      </c>
      <c r="AL231" s="275">
        <v>0</v>
      </c>
      <c r="AM231" s="275">
        <v>0</v>
      </c>
      <c r="AN231" s="275">
        <v>0</v>
      </c>
      <c r="AO231" s="275">
        <v>0</v>
      </c>
      <c r="AP231" s="275">
        <v>0</v>
      </c>
      <c r="AQ231" s="275">
        <v>0</v>
      </c>
      <c r="AR231" s="275">
        <v>0</v>
      </c>
      <c r="AS231" s="275">
        <v>0</v>
      </c>
      <c r="AT231" s="275">
        <v>0</v>
      </c>
      <c r="AU231" s="275">
        <v>0</v>
      </c>
      <c r="AV231" s="275">
        <v>0</v>
      </c>
      <c r="AW231" s="275">
        <v>0</v>
      </c>
      <c r="AX231" s="275">
        <v>0</v>
      </c>
      <c r="AY231" s="275">
        <v>0</v>
      </c>
      <c r="AZ231" s="275">
        <v>0</v>
      </c>
      <c r="BA231" s="275">
        <v>0</v>
      </c>
      <c r="BB231" s="275">
        <v>0</v>
      </c>
      <c r="BC231" s="275">
        <v>0</v>
      </c>
      <c r="BD231" s="275">
        <v>0</v>
      </c>
      <c r="BE231" s="275">
        <v>0</v>
      </c>
      <c r="BF231" s="275">
        <v>0</v>
      </c>
      <c r="BG231" s="275">
        <v>0</v>
      </c>
      <c r="BH231" s="275">
        <v>0</v>
      </c>
      <c r="BI231" s="275">
        <v>0</v>
      </c>
      <c r="BJ231" s="275">
        <v>0</v>
      </c>
      <c r="BK231" s="275">
        <v>0</v>
      </c>
      <c r="BL231" s="275">
        <v>0</v>
      </c>
      <c r="BM231" s="275">
        <v>0</v>
      </c>
      <c r="BN231" s="275">
        <v>0</v>
      </c>
      <c r="BO231" s="275">
        <v>0</v>
      </c>
      <c r="BP231" s="275">
        <v>0</v>
      </c>
      <c r="BQ231" s="275">
        <v>0</v>
      </c>
      <c r="BR231" s="275">
        <v>0</v>
      </c>
      <c r="BS231" s="275">
        <v>0</v>
      </c>
    </row>
    <row r="232" spans="1:71" x14ac:dyDescent="0.3">
      <c r="A232" s="275"/>
      <c r="B232" s="275">
        <v>582</v>
      </c>
      <c r="C232" s="275" t="s">
        <v>655</v>
      </c>
      <c r="D232" s="275" t="s">
        <v>656</v>
      </c>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75"/>
      <c r="AE232" s="275"/>
      <c r="AF232" s="275"/>
      <c r="AG232" s="275"/>
      <c r="AH232" s="275"/>
      <c r="AI232" s="275"/>
      <c r="AJ232" s="275"/>
      <c r="AK232" s="275"/>
      <c r="AL232" s="275"/>
      <c r="AM232" s="275"/>
      <c r="AN232" s="275"/>
      <c r="AO232" s="275"/>
      <c r="AP232" s="275"/>
      <c r="AQ232" s="275"/>
      <c r="AR232" s="275"/>
      <c r="AS232" s="275"/>
      <c r="AT232" s="275"/>
      <c r="AU232" s="275"/>
      <c r="AV232" s="275"/>
      <c r="AW232" s="275"/>
      <c r="AX232" s="275"/>
      <c r="AY232" s="275"/>
      <c r="AZ232" s="275"/>
      <c r="BA232" s="275"/>
      <c r="BB232" s="275"/>
      <c r="BC232" s="275"/>
      <c r="BD232" s="275"/>
      <c r="BE232" s="275"/>
      <c r="BF232" s="275"/>
      <c r="BG232" s="275"/>
      <c r="BH232" s="275"/>
      <c r="BI232" s="275"/>
      <c r="BJ232" s="275"/>
      <c r="BK232" s="275"/>
      <c r="BL232" s="275"/>
      <c r="BM232" s="275"/>
      <c r="BN232" s="275"/>
      <c r="BO232" s="275"/>
      <c r="BP232" s="275"/>
      <c r="BQ232" s="275"/>
      <c r="BR232" s="275"/>
      <c r="BS232" s="275"/>
    </row>
    <row r="233" spans="1:71" x14ac:dyDescent="0.3">
      <c r="A233" s="275"/>
      <c r="B233" s="275">
        <v>583</v>
      </c>
      <c r="C233" s="275" t="s">
        <v>657</v>
      </c>
      <c r="D233" s="275" t="s">
        <v>658</v>
      </c>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275"/>
      <c r="AF233" s="275"/>
      <c r="AG233" s="275"/>
      <c r="AH233" s="275"/>
      <c r="AI233" s="275"/>
      <c r="AJ233" s="275"/>
      <c r="AK233" s="275"/>
      <c r="AL233" s="275"/>
      <c r="AM233" s="275"/>
      <c r="AN233" s="275"/>
      <c r="AO233" s="275"/>
      <c r="AP233" s="275"/>
      <c r="AQ233" s="275"/>
      <c r="AR233" s="275"/>
      <c r="AS233" s="275"/>
      <c r="AT233" s="275"/>
      <c r="AU233" s="275"/>
      <c r="AV233" s="275"/>
      <c r="AW233" s="275"/>
      <c r="AX233" s="275"/>
      <c r="AY233" s="275"/>
      <c r="AZ233" s="275"/>
      <c r="BA233" s="275"/>
      <c r="BB233" s="275"/>
      <c r="BC233" s="275"/>
      <c r="BD233" s="275"/>
      <c r="BE233" s="275"/>
      <c r="BF233" s="275"/>
      <c r="BG233" s="275"/>
      <c r="BH233" s="275"/>
      <c r="BI233" s="275"/>
      <c r="BJ233" s="275"/>
      <c r="BK233" s="275"/>
      <c r="BL233" s="275"/>
      <c r="BM233" s="275"/>
      <c r="BN233" s="275"/>
      <c r="BO233" s="275"/>
      <c r="BP233" s="275"/>
      <c r="BQ233" s="275"/>
      <c r="BR233" s="275"/>
      <c r="BS233" s="275"/>
    </row>
    <row r="234" spans="1:71" x14ac:dyDescent="0.3">
      <c r="A234" s="275"/>
      <c r="B234" s="275">
        <v>584</v>
      </c>
      <c r="C234" s="275" t="s">
        <v>659</v>
      </c>
      <c r="D234" s="275" t="s">
        <v>660</v>
      </c>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75"/>
      <c r="AE234" s="275"/>
      <c r="AF234" s="275"/>
      <c r="AG234" s="275"/>
      <c r="AH234" s="275"/>
      <c r="AI234" s="275"/>
      <c r="AJ234" s="275"/>
      <c r="AK234" s="275"/>
      <c r="AL234" s="275"/>
      <c r="AM234" s="275"/>
      <c r="AN234" s="275"/>
      <c r="AO234" s="275"/>
      <c r="AP234" s="275"/>
      <c r="AQ234" s="275"/>
      <c r="AR234" s="275"/>
      <c r="AS234" s="275"/>
      <c r="AT234" s="275"/>
      <c r="AU234" s="275"/>
      <c r="AV234" s="275"/>
      <c r="AW234" s="275"/>
      <c r="AX234" s="275"/>
      <c r="AY234" s="275"/>
      <c r="AZ234" s="275"/>
      <c r="BA234" s="275"/>
      <c r="BB234" s="275"/>
      <c r="BC234" s="275"/>
      <c r="BD234" s="275"/>
      <c r="BE234" s="275"/>
      <c r="BF234" s="275"/>
      <c r="BG234" s="275"/>
      <c r="BH234" s="275"/>
      <c r="BI234" s="275"/>
      <c r="BJ234" s="275"/>
      <c r="BK234" s="275"/>
      <c r="BL234" s="275"/>
      <c r="BM234" s="275"/>
      <c r="BN234" s="275"/>
      <c r="BO234" s="275"/>
      <c r="BP234" s="275"/>
      <c r="BQ234" s="275"/>
      <c r="BR234" s="275"/>
      <c r="BS234" s="275"/>
    </row>
    <row r="235" spans="1:71" x14ac:dyDescent="0.3">
      <c r="A235" s="275"/>
      <c r="B235" s="275">
        <v>585</v>
      </c>
      <c r="C235" s="275" t="s">
        <v>661</v>
      </c>
      <c r="D235" s="275" t="s">
        <v>662</v>
      </c>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75"/>
      <c r="AE235" s="275"/>
      <c r="AF235" s="275"/>
      <c r="AG235" s="275"/>
      <c r="AH235" s="275"/>
      <c r="AI235" s="275"/>
      <c r="AJ235" s="275"/>
      <c r="AK235" s="275"/>
      <c r="AL235" s="275"/>
      <c r="AM235" s="275"/>
      <c r="AN235" s="275"/>
      <c r="AO235" s="275"/>
      <c r="AP235" s="275"/>
      <c r="AQ235" s="275"/>
      <c r="AR235" s="275"/>
      <c r="AS235" s="275"/>
      <c r="AT235" s="275"/>
      <c r="AU235" s="275"/>
      <c r="AV235" s="275"/>
      <c r="AW235" s="275"/>
      <c r="AX235" s="275"/>
      <c r="AY235" s="275"/>
      <c r="AZ235" s="275"/>
      <c r="BA235" s="275"/>
      <c r="BB235" s="275"/>
      <c r="BC235" s="275"/>
      <c r="BD235" s="275"/>
      <c r="BE235" s="275"/>
      <c r="BF235" s="275"/>
      <c r="BG235" s="275"/>
      <c r="BH235" s="275"/>
      <c r="BI235" s="275"/>
      <c r="BJ235" s="275"/>
      <c r="BK235" s="275"/>
      <c r="BL235" s="275"/>
      <c r="BM235" s="275"/>
      <c r="BN235" s="275"/>
      <c r="BO235" s="275"/>
      <c r="BP235" s="275"/>
      <c r="BQ235" s="275"/>
      <c r="BR235" s="275"/>
      <c r="BS235" s="275"/>
    </row>
    <row r="236" spans="1:71" x14ac:dyDescent="0.3">
      <c r="A236" s="275">
        <v>586</v>
      </c>
      <c r="B236" s="275">
        <v>586</v>
      </c>
      <c r="C236" s="275" t="s">
        <v>663</v>
      </c>
      <c r="D236" s="275" t="s">
        <v>664</v>
      </c>
      <c r="E236" s="275">
        <v>0</v>
      </c>
      <c r="F236" s="275">
        <v>0</v>
      </c>
      <c r="G236" s="275">
        <v>0</v>
      </c>
      <c r="H236" s="275">
        <v>0</v>
      </c>
      <c r="I236" s="275">
        <v>0</v>
      </c>
      <c r="J236" s="275">
        <v>0</v>
      </c>
      <c r="K236" s="275">
        <v>0</v>
      </c>
      <c r="L236" s="275">
        <v>0</v>
      </c>
      <c r="M236" s="275">
        <v>0</v>
      </c>
      <c r="N236" s="275">
        <v>0</v>
      </c>
      <c r="O236" s="275">
        <v>0</v>
      </c>
      <c r="P236" s="275">
        <v>0</v>
      </c>
      <c r="Q236" s="275">
        <v>0</v>
      </c>
      <c r="R236" s="275">
        <v>0</v>
      </c>
      <c r="S236" s="275">
        <v>0</v>
      </c>
      <c r="T236" s="275">
        <v>0</v>
      </c>
      <c r="U236" s="275">
        <v>0</v>
      </c>
      <c r="V236" s="275">
        <v>0</v>
      </c>
      <c r="W236" s="275">
        <v>0</v>
      </c>
      <c r="X236" s="275">
        <v>0</v>
      </c>
      <c r="Y236" s="275">
        <v>0</v>
      </c>
      <c r="Z236" s="275">
        <v>0</v>
      </c>
      <c r="AA236" s="275">
        <v>0</v>
      </c>
      <c r="AB236" s="275">
        <v>0</v>
      </c>
      <c r="AC236" s="275">
        <v>0</v>
      </c>
      <c r="AD236" s="275">
        <v>0</v>
      </c>
      <c r="AE236" s="275">
        <v>0</v>
      </c>
      <c r="AF236" s="275">
        <v>0</v>
      </c>
      <c r="AG236" s="275">
        <v>0</v>
      </c>
      <c r="AH236" s="275">
        <v>0</v>
      </c>
      <c r="AI236" s="275">
        <v>0</v>
      </c>
      <c r="AJ236" s="275">
        <v>0</v>
      </c>
      <c r="AK236" s="275">
        <v>0</v>
      </c>
      <c r="AL236" s="275">
        <v>0</v>
      </c>
      <c r="AM236" s="275">
        <v>0</v>
      </c>
      <c r="AN236" s="275">
        <v>0</v>
      </c>
      <c r="AO236" s="275">
        <v>0</v>
      </c>
      <c r="AP236" s="275">
        <v>0</v>
      </c>
      <c r="AQ236" s="275">
        <v>0</v>
      </c>
      <c r="AR236" s="275">
        <v>0</v>
      </c>
      <c r="AS236" s="275">
        <v>0</v>
      </c>
      <c r="AT236" s="275">
        <v>0</v>
      </c>
      <c r="AU236" s="275">
        <v>0</v>
      </c>
      <c r="AV236" s="275">
        <v>0</v>
      </c>
      <c r="AW236" s="275">
        <v>0</v>
      </c>
      <c r="AX236" s="275">
        <v>0</v>
      </c>
      <c r="AY236" s="275">
        <v>0</v>
      </c>
      <c r="AZ236" s="275">
        <v>0</v>
      </c>
      <c r="BA236" s="275">
        <v>0</v>
      </c>
      <c r="BB236" s="275">
        <v>0</v>
      </c>
      <c r="BC236" s="275">
        <v>0</v>
      </c>
      <c r="BD236" s="275">
        <v>0</v>
      </c>
      <c r="BE236" s="275">
        <v>0</v>
      </c>
      <c r="BF236" s="275">
        <v>0</v>
      </c>
      <c r="BG236" s="275">
        <v>0</v>
      </c>
      <c r="BH236" s="275">
        <v>0</v>
      </c>
      <c r="BI236" s="275">
        <v>0</v>
      </c>
      <c r="BJ236" s="275">
        <v>0</v>
      </c>
      <c r="BK236" s="275">
        <v>0</v>
      </c>
      <c r="BL236" s="275">
        <v>0</v>
      </c>
      <c r="BM236" s="275">
        <v>0</v>
      </c>
      <c r="BN236" s="275">
        <v>0</v>
      </c>
      <c r="BO236" s="275">
        <v>0</v>
      </c>
      <c r="BP236" s="275">
        <v>0</v>
      </c>
      <c r="BQ236" s="275">
        <v>0</v>
      </c>
      <c r="BR236" s="275">
        <v>0</v>
      </c>
      <c r="BS236" s="275">
        <v>0</v>
      </c>
    </row>
    <row r="237" spans="1:71" x14ac:dyDescent="0.3">
      <c r="A237" s="275"/>
      <c r="B237" s="275">
        <v>587</v>
      </c>
      <c r="C237" s="275" t="s">
        <v>665</v>
      </c>
      <c r="D237" s="275" t="s">
        <v>666</v>
      </c>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75"/>
      <c r="AE237" s="275"/>
      <c r="AF237" s="275"/>
      <c r="AG237" s="275"/>
      <c r="AH237" s="275"/>
      <c r="AI237" s="275"/>
      <c r="AJ237" s="275"/>
      <c r="AK237" s="275"/>
      <c r="AL237" s="275"/>
      <c r="AM237" s="275"/>
      <c r="AN237" s="275"/>
      <c r="AO237" s="275"/>
      <c r="AP237" s="275"/>
      <c r="AQ237" s="275"/>
      <c r="AR237" s="275"/>
      <c r="AS237" s="275"/>
      <c r="AT237" s="275"/>
      <c r="AU237" s="275"/>
      <c r="AV237" s="275"/>
      <c r="AW237" s="275"/>
      <c r="AX237" s="275"/>
      <c r="AY237" s="275"/>
      <c r="AZ237" s="275"/>
      <c r="BA237" s="275"/>
      <c r="BB237" s="275"/>
      <c r="BC237" s="275"/>
      <c r="BD237" s="275"/>
      <c r="BE237" s="275"/>
      <c r="BF237" s="275"/>
      <c r="BG237" s="275"/>
      <c r="BH237" s="275"/>
      <c r="BI237" s="275"/>
      <c r="BJ237" s="275"/>
      <c r="BK237" s="275"/>
      <c r="BL237" s="275"/>
      <c r="BM237" s="275"/>
      <c r="BN237" s="275"/>
      <c r="BO237" s="275"/>
      <c r="BP237" s="275"/>
      <c r="BQ237" s="275"/>
      <c r="BR237" s="275"/>
      <c r="BS237" s="275"/>
    </row>
    <row r="238" spans="1:71" x14ac:dyDescent="0.3">
      <c r="A238" s="275"/>
      <c r="B238" s="275">
        <v>588</v>
      </c>
      <c r="C238" s="275" t="s">
        <v>667</v>
      </c>
      <c r="D238" s="275" t="s">
        <v>668</v>
      </c>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75"/>
      <c r="AE238" s="275"/>
      <c r="AF238" s="275"/>
      <c r="AG238" s="275"/>
      <c r="AH238" s="275"/>
      <c r="AI238" s="275"/>
      <c r="AJ238" s="275"/>
      <c r="AK238" s="275"/>
      <c r="AL238" s="275"/>
      <c r="AM238" s="275"/>
      <c r="AN238" s="275"/>
      <c r="AO238" s="275"/>
      <c r="AP238" s="275"/>
      <c r="AQ238" s="275"/>
      <c r="AR238" s="275"/>
      <c r="AS238" s="275"/>
      <c r="AT238" s="275"/>
      <c r="AU238" s="275"/>
      <c r="AV238" s="275"/>
      <c r="AW238" s="275"/>
      <c r="AX238" s="275"/>
      <c r="AY238" s="275"/>
      <c r="AZ238" s="275"/>
      <c r="BA238" s="275"/>
      <c r="BB238" s="275"/>
      <c r="BC238" s="275"/>
      <c r="BD238" s="275"/>
      <c r="BE238" s="275"/>
      <c r="BF238" s="275"/>
      <c r="BG238" s="275"/>
      <c r="BH238" s="275"/>
      <c r="BI238" s="275"/>
      <c r="BJ238" s="275"/>
      <c r="BK238" s="275"/>
      <c r="BL238" s="275"/>
      <c r="BM238" s="275"/>
      <c r="BN238" s="275"/>
      <c r="BO238" s="275"/>
      <c r="BP238" s="275"/>
      <c r="BQ238" s="275"/>
      <c r="BR238" s="275"/>
      <c r="BS238" s="275"/>
    </row>
    <row r="239" spans="1:71" x14ac:dyDescent="0.3">
      <c r="A239" s="275"/>
      <c r="B239" s="275">
        <v>589</v>
      </c>
      <c r="C239" s="275" t="s">
        <v>669</v>
      </c>
      <c r="D239" s="275" t="s">
        <v>670</v>
      </c>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75"/>
      <c r="AE239" s="275"/>
      <c r="AF239" s="275"/>
      <c r="AG239" s="275"/>
      <c r="AH239" s="275"/>
      <c r="AI239" s="275"/>
      <c r="AJ239" s="275"/>
      <c r="AK239" s="275"/>
      <c r="AL239" s="275"/>
      <c r="AM239" s="275"/>
      <c r="AN239" s="275"/>
      <c r="AO239" s="275"/>
      <c r="AP239" s="275"/>
      <c r="AQ239" s="275"/>
      <c r="AR239" s="275"/>
      <c r="AS239" s="275"/>
      <c r="AT239" s="275"/>
      <c r="AU239" s="275"/>
      <c r="AV239" s="275"/>
      <c r="AW239" s="275"/>
      <c r="AX239" s="275"/>
      <c r="AY239" s="275"/>
      <c r="AZ239" s="275"/>
      <c r="BA239" s="275"/>
      <c r="BB239" s="275"/>
      <c r="BC239" s="275"/>
      <c r="BD239" s="275"/>
      <c r="BE239" s="275"/>
      <c r="BF239" s="275"/>
      <c r="BG239" s="275"/>
      <c r="BH239" s="275"/>
      <c r="BI239" s="275"/>
      <c r="BJ239" s="275"/>
      <c r="BK239" s="275"/>
      <c r="BL239" s="275"/>
      <c r="BM239" s="275"/>
      <c r="BN239" s="275"/>
      <c r="BO239" s="275"/>
      <c r="BP239" s="275"/>
      <c r="BQ239" s="275"/>
      <c r="BR239" s="275"/>
      <c r="BS239" s="275"/>
    </row>
    <row r="240" spans="1:71" x14ac:dyDescent="0.3">
      <c r="A240" s="275"/>
      <c r="B240" s="275">
        <v>590</v>
      </c>
      <c r="C240" s="275" t="s">
        <v>671</v>
      </c>
      <c r="D240" s="275" t="s">
        <v>672</v>
      </c>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75"/>
      <c r="AE240" s="275"/>
      <c r="AF240" s="275"/>
      <c r="AG240" s="275"/>
      <c r="AH240" s="275"/>
      <c r="AI240" s="275"/>
      <c r="AJ240" s="275"/>
      <c r="AK240" s="275"/>
      <c r="AL240" s="275"/>
      <c r="AM240" s="275"/>
      <c r="AN240" s="275"/>
      <c r="AO240" s="275"/>
      <c r="AP240" s="275"/>
      <c r="AQ240" s="275"/>
      <c r="AR240" s="275"/>
      <c r="AS240" s="275"/>
      <c r="AT240" s="275"/>
      <c r="AU240" s="275"/>
      <c r="AV240" s="275"/>
      <c r="AW240" s="275"/>
      <c r="AX240" s="275"/>
      <c r="AY240" s="275"/>
      <c r="AZ240" s="275"/>
      <c r="BA240" s="275"/>
      <c r="BB240" s="275"/>
      <c r="BC240" s="275"/>
      <c r="BD240" s="275"/>
      <c r="BE240" s="275"/>
      <c r="BF240" s="275"/>
      <c r="BG240" s="275"/>
      <c r="BH240" s="275"/>
      <c r="BI240" s="275"/>
      <c r="BJ240" s="275"/>
      <c r="BK240" s="275"/>
      <c r="BL240" s="275"/>
      <c r="BM240" s="275"/>
      <c r="BN240" s="275"/>
      <c r="BO240" s="275"/>
      <c r="BP240" s="275"/>
      <c r="BQ240" s="275"/>
      <c r="BR240" s="275"/>
      <c r="BS240" s="275"/>
    </row>
    <row r="241" spans="1:71" x14ac:dyDescent="0.3">
      <c r="A241" s="275"/>
      <c r="B241" s="275">
        <v>992</v>
      </c>
      <c r="C241" s="275"/>
      <c r="D241" s="275" t="s">
        <v>603</v>
      </c>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75"/>
      <c r="AE241" s="275"/>
      <c r="AF241" s="275"/>
      <c r="AG241" s="275"/>
      <c r="AH241" s="275"/>
      <c r="AI241" s="275"/>
      <c r="AJ241" s="275"/>
      <c r="AK241" s="275"/>
      <c r="AL241" s="275"/>
      <c r="AM241" s="275"/>
      <c r="AN241" s="275"/>
      <c r="AO241" s="275"/>
      <c r="AP241" s="275"/>
      <c r="AQ241" s="275"/>
      <c r="AR241" s="275"/>
      <c r="AS241" s="275"/>
      <c r="AT241" s="275"/>
      <c r="AU241" s="275"/>
      <c r="AV241" s="275"/>
      <c r="AW241" s="275"/>
      <c r="AX241" s="275"/>
      <c r="AY241" s="275"/>
      <c r="AZ241" s="275"/>
      <c r="BA241" s="275"/>
      <c r="BB241" s="275"/>
      <c r="BC241" s="275"/>
      <c r="BD241" s="275"/>
      <c r="BE241" s="275"/>
      <c r="BF241" s="275"/>
      <c r="BG241" s="275"/>
      <c r="BH241" s="275"/>
      <c r="BI241" s="275"/>
      <c r="BJ241" s="275"/>
      <c r="BK241" s="275"/>
      <c r="BL241" s="275"/>
      <c r="BM241" s="275"/>
      <c r="BN241" s="275"/>
      <c r="BO241" s="275"/>
      <c r="BP241" s="275"/>
      <c r="BQ241" s="275"/>
      <c r="BR241" s="275"/>
      <c r="BS241" s="275"/>
    </row>
    <row r="242" spans="1:71" x14ac:dyDescent="0.3">
      <c r="A242" s="275"/>
      <c r="B242" s="275">
        <v>993</v>
      </c>
      <c r="C242" s="275" t="s">
        <v>515</v>
      </c>
      <c r="D242" s="275" t="s">
        <v>516</v>
      </c>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275"/>
      <c r="AF242" s="275"/>
      <c r="AG242" s="275"/>
      <c r="AH242" s="275"/>
      <c r="AI242" s="275"/>
      <c r="AJ242" s="275"/>
      <c r="AK242" s="275"/>
      <c r="AL242" s="275"/>
      <c r="AM242" s="275"/>
      <c r="AN242" s="275"/>
      <c r="AO242" s="275"/>
      <c r="AP242" s="275"/>
      <c r="AQ242" s="275"/>
      <c r="AR242" s="275"/>
      <c r="AS242" s="275"/>
      <c r="AT242" s="275"/>
      <c r="AU242" s="275"/>
      <c r="AV242" s="275"/>
      <c r="AW242" s="275"/>
      <c r="AX242" s="275"/>
      <c r="AY242" s="275"/>
      <c r="AZ242" s="275"/>
      <c r="BA242" s="275"/>
      <c r="BB242" s="275"/>
      <c r="BC242" s="275"/>
      <c r="BD242" s="275"/>
      <c r="BE242" s="275"/>
      <c r="BF242" s="275"/>
      <c r="BG242" s="275"/>
      <c r="BH242" s="275"/>
      <c r="BI242" s="275"/>
      <c r="BJ242" s="275"/>
      <c r="BK242" s="275"/>
      <c r="BL242" s="275"/>
      <c r="BM242" s="275"/>
      <c r="BN242" s="275"/>
      <c r="BO242" s="275"/>
      <c r="BP242" s="275"/>
      <c r="BQ242" s="275"/>
      <c r="BR242" s="275"/>
      <c r="BS242" s="275"/>
    </row>
    <row r="243" spans="1:71" x14ac:dyDescent="0.3">
      <c r="A243" s="275"/>
      <c r="B243" s="275">
        <v>994</v>
      </c>
      <c r="C243" s="275" t="s">
        <v>517</v>
      </c>
      <c r="D243" s="275" t="s">
        <v>518</v>
      </c>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275"/>
      <c r="AF243" s="275"/>
      <c r="AG243" s="275"/>
      <c r="AH243" s="275"/>
      <c r="AI243" s="275"/>
      <c r="AJ243" s="275"/>
      <c r="AK243" s="275"/>
      <c r="AL243" s="275"/>
      <c r="AM243" s="275"/>
      <c r="AN243" s="275"/>
      <c r="AO243" s="275"/>
      <c r="AP243" s="275"/>
      <c r="AQ243" s="275"/>
      <c r="AR243" s="275"/>
      <c r="AS243" s="275"/>
      <c r="AT243" s="275"/>
      <c r="AU243" s="275"/>
      <c r="AV243" s="275"/>
      <c r="AW243" s="275"/>
      <c r="AX243" s="275"/>
      <c r="AY243" s="275"/>
      <c r="AZ243" s="275"/>
      <c r="BA243" s="275"/>
      <c r="BB243" s="275"/>
      <c r="BC243" s="275"/>
      <c r="BD243" s="275"/>
      <c r="BE243" s="275"/>
      <c r="BF243" s="275"/>
      <c r="BG243" s="275"/>
      <c r="BH243" s="275"/>
      <c r="BI243" s="275"/>
      <c r="BJ243" s="275"/>
      <c r="BK243" s="275"/>
      <c r="BL243" s="275"/>
      <c r="BM243" s="275"/>
      <c r="BN243" s="275"/>
      <c r="BO243" s="275"/>
      <c r="BP243" s="275"/>
      <c r="BQ243" s="275"/>
      <c r="BR243" s="275"/>
      <c r="BS243" s="275"/>
    </row>
    <row r="244" spans="1:71" x14ac:dyDescent="0.3">
      <c r="A244" s="275">
        <v>995</v>
      </c>
      <c r="B244" s="275">
        <v>995</v>
      </c>
      <c r="C244" s="275" t="s">
        <v>519</v>
      </c>
      <c r="D244" s="275" t="s">
        <v>520</v>
      </c>
      <c r="E244" s="275">
        <v>0</v>
      </c>
      <c r="F244" s="275">
        <v>0</v>
      </c>
      <c r="G244" s="275">
        <v>0</v>
      </c>
      <c r="H244" s="275">
        <v>7.0000000000000007E-2</v>
      </c>
      <c r="I244" s="275">
        <v>0</v>
      </c>
      <c r="J244" s="275">
        <v>0</v>
      </c>
      <c r="K244" s="275">
        <v>0</v>
      </c>
      <c r="L244" s="275">
        <v>0</v>
      </c>
      <c r="M244" s="275">
        <v>0.08</v>
      </c>
      <c r="N244" s="275">
        <v>0</v>
      </c>
      <c r="O244" s="275">
        <v>0</v>
      </c>
      <c r="P244" s="275">
        <v>0</v>
      </c>
      <c r="Q244" s="275">
        <v>0</v>
      </c>
      <c r="R244" s="275">
        <v>0</v>
      </c>
      <c r="S244" s="275">
        <v>0</v>
      </c>
      <c r="T244" s="275">
        <v>0</v>
      </c>
      <c r="U244" s="275">
        <v>0</v>
      </c>
      <c r="V244" s="275">
        <v>0</v>
      </c>
      <c r="W244" s="275">
        <v>0</v>
      </c>
      <c r="X244" s="275">
        <v>0</v>
      </c>
      <c r="Y244" s="275">
        <v>0.08</v>
      </c>
      <c r="Z244" s="275">
        <v>0</v>
      </c>
      <c r="AA244" s="275">
        <v>0</v>
      </c>
      <c r="AB244" s="275">
        <v>0</v>
      </c>
      <c r="AC244" s="275">
        <v>0</v>
      </c>
      <c r="AD244" s="275">
        <v>0</v>
      </c>
      <c r="AE244" s="275">
        <v>0</v>
      </c>
      <c r="AF244" s="275">
        <v>0</v>
      </c>
      <c r="AG244" s="275">
        <v>0</v>
      </c>
      <c r="AH244" s="275">
        <v>0</v>
      </c>
      <c r="AI244" s="275">
        <v>0</v>
      </c>
      <c r="AJ244" s="275">
        <v>0.08</v>
      </c>
      <c r="AK244" s="275">
        <v>0</v>
      </c>
      <c r="AL244" s="275">
        <v>0</v>
      </c>
      <c r="AM244" s="275">
        <v>0</v>
      </c>
      <c r="AN244" s="275">
        <v>0.08</v>
      </c>
      <c r="AO244" s="275">
        <v>0</v>
      </c>
      <c r="AP244" s="275">
        <v>0</v>
      </c>
      <c r="AQ244" s="275">
        <v>0</v>
      </c>
      <c r="AR244" s="275">
        <v>0</v>
      </c>
      <c r="AS244" s="275">
        <v>0</v>
      </c>
      <c r="AT244" s="275">
        <v>0</v>
      </c>
      <c r="AU244" s="275">
        <v>0</v>
      </c>
      <c r="AV244" s="275">
        <v>0.09</v>
      </c>
      <c r="AW244" s="275">
        <v>0</v>
      </c>
      <c r="AX244" s="275">
        <v>0</v>
      </c>
      <c r="AY244" s="275">
        <v>0</v>
      </c>
      <c r="AZ244" s="275">
        <v>0</v>
      </c>
      <c r="BA244" s="275">
        <v>0</v>
      </c>
      <c r="BB244" s="275">
        <v>0</v>
      </c>
      <c r="BC244" s="275">
        <v>0</v>
      </c>
      <c r="BD244" s="275">
        <v>0</v>
      </c>
      <c r="BE244" s="275">
        <v>0</v>
      </c>
      <c r="BF244" s="275">
        <v>0</v>
      </c>
      <c r="BG244" s="275">
        <v>0</v>
      </c>
      <c r="BH244" s="275">
        <v>7.0000000000000007E-2</v>
      </c>
      <c r="BI244" s="275">
        <v>0</v>
      </c>
      <c r="BJ244" s="275">
        <v>0</v>
      </c>
      <c r="BK244" s="275">
        <v>0</v>
      </c>
      <c r="BL244" s="275">
        <v>0</v>
      </c>
      <c r="BM244" s="275">
        <v>0</v>
      </c>
      <c r="BN244" s="275">
        <v>0</v>
      </c>
      <c r="BO244" s="275">
        <v>0</v>
      </c>
      <c r="BP244" s="275">
        <v>0</v>
      </c>
      <c r="BQ244" s="275">
        <v>0</v>
      </c>
      <c r="BR244" s="275">
        <v>0</v>
      </c>
      <c r="BS244" s="275">
        <v>0</v>
      </c>
    </row>
    <row r="245" spans="1:71" x14ac:dyDescent="0.3">
      <c r="A245" s="275">
        <v>996</v>
      </c>
      <c r="B245" s="275">
        <v>996</v>
      </c>
      <c r="C245" s="275" t="s">
        <v>521</v>
      </c>
      <c r="D245" s="275" t="s">
        <v>522</v>
      </c>
      <c r="E245" s="275">
        <v>0.01</v>
      </c>
      <c r="F245" s="275">
        <v>0.01</v>
      </c>
      <c r="G245" s="275">
        <v>0.01</v>
      </c>
      <c r="H245" s="275">
        <v>0.01</v>
      </c>
      <c r="I245" s="275">
        <v>0</v>
      </c>
      <c r="J245" s="275">
        <v>0.01</v>
      </c>
      <c r="K245" s="275">
        <v>0.01</v>
      </c>
      <c r="L245" s="275">
        <v>0.01</v>
      </c>
      <c r="M245" s="275">
        <v>0.01</v>
      </c>
      <c r="N245" s="275">
        <v>0</v>
      </c>
      <c r="O245" s="275">
        <v>0.01</v>
      </c>
      <c r="P245" s="275">
        <v>0</v>
      </c>
      <c r="Q245" s="275">
        <v>0.01</v>
      </c>
      <c r="R245" s="275">
        <v>0.01</v>
      </c>
      <c r="S245" s="275">
        <v>0.01</v>
      </c>
      <c r="T245" s="275">
        <v>0.01</v>
      </c>
      <c r="U245" s="275">
        <v>0.01</v>
      </c>
      <c r="V245" s="275">
        <v>0.01</v>
      </c>
      <c r="W245" s="275">
        <v>0.01</v>
      </c>
      <c r="X245" s="275">
        <v>0.01</v>
      </c>
      <c r="Y245" s="275">
        <v>0.01</v>
      </c>
      <c r="Z245" s="275">
        <v>0</v>
      </c>
      <c r="AA245" s="275">
        <v>0.01</v>
      </c>
      <c r="AB245" s="275">
        <v>0.01</v>
      </c>
      <c r="AC245" s="275">
        <v>0.01</v>
      </c>
      <c r="AD245" s="275">
        <v>0.01</v>
      </c>
      <c r="AE245" s="275">
        <v>0.01</v>
      </c>
      <c r="AF245" s="275">
        <v>0</v>
      </c>
      <c r="AG245" s="275">
        <v>0</v>
      </c>
      <c r="AH245" s="275">
        <v>0.01</v>
      </c>
      <c r="AI245" s="275">
        <v>0.01</v>
      </c>
      <c r="AJ245" s="275">
        <v>0.01</v>
      </c>
      <c r="AK245" s="275">
        <v>0.01</v>
      </c>
      <c r="AL245" s="275">
        <v>0</v>
      </c>
      <c r="AM245" s="275">
        <v>0</v>
      </c>
      <c r="AN245" s="275">
        <v>0.01</v>
      </c>
      <c r="AO245" s="275">
        <v>0.01</v>
      </c>
      <c r="AP245" s="275">
        <v>0.01</v>
      </c>
      <c r="AQ245" s="275">
        <v>0</v>
      </c>
      <c r="AR245" s="275">
        <v>0.01</v>
      </c>
      <c r="AS245" s="275">
        <v>0.01</v>
      </c>
      <c r="AT245" s="275">
        <v>0.01</v>
      </c>
      <c r="AU245" s="275">
        <v>0.01</v>
      </c>
      <c r="AV245" s="275">
        <v>0.01</v>
      </c>
      <c r="AW245" s="275">
        <v>0.01</v>
      </c>
      <c r="AX245" s="275">
        <v>0.01</v>
      </c>
      <c r="AY245" s="275">
        <v>0.01</v>
      </c>
      <c r="AZ245" s="275">
        <v>0.01</v>
      </c>
      <c r="BA245" s="275">
        <v>0</v>
      </c>
      <c r="BB245" s="275">
        <v>0</v>
      </c>
      <c r="BC245" s="275">
        <v>0.01</v>
      </c>
      <c r="BD245" s="275">
        <v>0</v>
      </c>
      <c r="BE245" s="275">
        <v>0.01</v>
      </c>
      <c r="BF245" s="275">
        <v>0.01</v>
      </c>
      <c r="BG245" s="275">
        <v>0.01</v>
      </c>
      <c r="BH245" s="275">
        <v>0.01</v>
      </c>
      <c r="BI245" s="275">
        <v>0.01</v>
      </c>
      <c r="BJ245" s="275">
        <v>0.01</v>
      </c>
      <c r="BK245" s="275">
        <v>0.01</v>
      </c>
      <c r="BL245" s="275">
        <v>0</v>
      </c>
      <c r="BM245" s="275">
        <v>0.01</v>
      </c>
      <c r="BN245" s="275">
        <v>0.01</v>
      </c>
      <c r="BO245" s="275">
        <v>0.01</v>
      </c>
      <c r="BP245" s="275">
        <v>0.01</v>
      </c>
      <c r="BQ245" s="275">
        <v>0.01</v>
      </c>
      <c r="BR245" s="275">
        <v>0.01</v>
      </c>
      <c r="BS245" s="275">
        <v>0</v>
      </c>
    </row>
    <row r="246" spans="1:71" x14ac:dyDescent="0.3">
      <c r="A246" s="275"/>
      <c r="B246" s="275">
        <v>997</v>
      </c>
      <c r="C246" s="275"/>
      <c r="D246" s="275" t="s">
        <v>1760</v>
      </c>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275"/>
      <c r="AE246" s="275"/>
      <c r="AF246" s="275"/>
      <c r="AG246" s="275"/>
      <c r="AH246" s="275"/>
      <c r="AI246" s="275"/>
      <c r="AJ246" s="275"/>
      <c r="AK246" s="275"/>
      <c r="AL246" s="275"/>
      <c r="AM246" s="275"/>
      <c r="AN246" s="275"/>
      <c r="AO246" s="275"/>
      <c r="AP246" s="275"/>
      <c r="AQ246" s="275"/>
      <c r="AR246" s="275"/>
      <c r="AS246" s="275"/>
      <c r="AT246" s="275"/>
      <c r="AU246" s="275"/>
      <c r="AV246" s="275"/>
      <c r="AW246" s="275"/>
      <c r="AX246" s="275"/>
      <c r="AY246" s="275"/>
      <c r="AZ246" s="275"/>
      <c r="BA246" s="275"/>
      <c r="BB246" s="275"/>
      <c r="BC246" s="275"/>
      <c r="BD246" s="275"/>
      <c r="BE246" s="275"/>
      <c r="BF246" s="275"/>
      <c r="BG246" s="275"/>
      <c r="BH246" s="275"/>
      <c r="BI246" s="275"/>
      <c r="BJ246" s="275"/>
      <c r="BK246" s="275"/>
      <c r="BL246" s="275"/>
      <c r="BM246" s="275"/>
      <c r="BN246" s="275"/>
      <c r="BO246" s="275"/>
      <c r="BP246" s="275"/>
      <c r="BQ246" s="275"/>
      <c r="BR246" s="275"/>
      <c r="BS246" s="275"/>
    </row>
    <row r="247" spans="1:71" x14ac:dyDescent="0.3">
      <c r="A247" s="275">
        <v>998</v>
      </c>
      <c r="B247" s="275">
        <v>998</v>
      </c>
      <c r="C247" s="275" t="s">
        <v>292</v>
      </c>
      <c r="D247" s="275" t="s">
        <v>523</v>
      </c>
      <c r="E247" s="275">
        <v>50</v>
      </c>
      <c r="F247" s="275">
        <v>50</v>
      </c>
      <c r="G247" s="275">
        <v>50</v>
      </c>
      <c r="H247" s="275">
        <v>50</v>
      </c>
      <c r="I247" s="275">
        <v>50</v>
      </c>
      <c r="J247" s="275">
        <v>50</v>
      </c>
      <c r="K247" s="275">
        <v>50</v>
      </c>
      <c r="L247" s="275">
        <v>50</v>
      </c>
      <c r="M247" s="275">
        <v>50</v>
      </c>
      <c r="N247" s="275">
        <v>50</v>
      </c>
      <c r="O247" s="275">
        <v>50</v>
      </c>
      <c r="P247" s="275">
        <v>50</v>
      </c>
      <c r="Q247" s="275">
        <v>50</v>
      </c>
      <c r="R247" s="275">
        <v>50</v>
      </c>
      <c r="S247" s="275">
        <v>50</v>
      </c>
      <c r="T247" s="275">
        <v>50</v>
      </c>
      <c r="U247" s="275">
        <v>50</v>
      </c>
      <c r="V247" s="275">
        <v>50</v>
      </c>
      <c r="W247" s="275">
        <v>50</v>
      </c>
      <c r="X247" s="275">
        <v>50</v>
      </c>
      <c r="Y247" s="275">
        <v>50</v>
      </c>
      <c r="Z247" s="275">
        <v>50</v>
      </c>
      <c r="AA247" s="275">
        <v>50</v>
      </c>
      <c r="AB247" s="275">
        <v>50</v>
      </c>
      <c r="AC247" s="275">
        <v>50</v>
      </c>
      <c r="AD247" s="275">
        <v>50</v>
      </c>
      <c r="AE247" s="275">
        <v>50</v>
      </c>
      <c r="AF247" s="275">
        <v>50</v>
      </c>
      <c r="AG247" s="275">
        <v>50</v>
      </c>
      <c r="AH247" s="275">
        <v>50</v>
      </c>
      <c r="AI247" s="275">
        <v>50</v>
      </c>
      <c r="AJ247" s="275">
        <v>50</v>
      </c>
      <c r="AK247" s="275">
        <v>50</v>
      </c>
      <c r="AL247" s="275">
        <v>50</v>
      </c>
      <c r="AM247" s="275">
        <v>50</v>
      </c>
      <c r="AN247" s="275">
        <v>50</v>
      </c>
      <c r="AO247" s="275">
        <v>50</v>
      </c>
      <c r="AP247" s="275">
        <v>50</v>
      </c>
      <c r="AQ247" s="275">
        <v>50</v>
      </c>
      <c r="AR247" s="275">
        <v>50</v>
      </c>
      <c r="AS247" s="275">
        <v>50</v>
      </c>
      <c r="AT247" s="275">
        <v>50</v>
      </c>
      <c r="AU247" s="275">
        <v>50</v>
      </c>
      <c r="AV247" s="275">
        <v>50</v>
      </c>
      <c r="AW247" s="275">
        <v>50</v>
      </c>
      <c r="AX247" s="275">
        <v>50</v>
      </c>
      <c r="AY247" s="275">
        <v>50</v>
      </c>
      <c r="AZ247" s="275">
        <v>50</v>
      </c>
      <c r="BA247" s="275">
        <v>50</v>
      </c>
      <c r="BB247" s="275">
        <v>50</v>
      </c>
      <c r="BC247" s="275">
        <v>50</v>
      </c>
      <c r="BD247" s="275">
        <v>50</v>
      </c>
      <c r="BE247" s="275">
        <v>50</v>
      </c>
      <c r="BF247" s="275">
        <v>50</v>
      </c>
      <c r="BG247" s="275">
        <v>50</v>
      </c>
      <c r="BH247" s="275">
        <v>50</v>
      </c>
      <c r="BI247" s="275">
        <v>50</v>
      </c>
      <c r="BJ247" s="275">
        <v>50</v>
      </c>
      <c r="BK247" s="275">
        <v>50</v>
      </c>
      <c r="BL247" s="275">
        <v>50</v>
      </c>
      <c r="BM247" s="275">
        <v>50</v>
      </c>
      <c r="BN247" s="275">
        <v>50</v>
      </c>
      <c r="BO247" s="275">
        <v>50</v>
      </c>
      <c r="BP247" s="275">
        <v>50</v>
      </c>
      <c r="BQ247" s="275">
        <v>50</v>
      </c>
      <c r="BR247" s="275">
        <v>50</v>
      </c>
      <c r="BS247" s="275">
        <v>50</v>
      </c>
    </row>
    <row r="248" spans="1:71" x14ac:dyDescent="0.3">
      <c r="A248" s="275">
        <v>999</v>
      </c>
      <c r="B248" s="275">
        <v>999</v>
      </c>
      <c r="C248" s="275" t="s">
        <v>293</v>
      </c>
      <c r="D248" s="275" t="s">
        <v>524</v>
      </c>
      <c r="E248" s="275">
        <v>50001</v>
      </c>
      <c r="F248" s="275">
        <v>50002</v>
      </c>
      <c r="G248" s="275">
        <v>50471</v>
      </c>
      <c r="H248" s="275">
        <v>50003</v>
      </c>
      <c r="I248" s="275">
        <v>50005</v>
      </c>
      <c r="J248" s="275">
        <v>50006</v>
      </c>
      <c r="K248" s="275">
        <v>50007</v>
      </c>
      <c r="L248" s="275">
        <v>50008</v>
      </c>
      <c r="M248" s="275">
        <v>50009</v>
      </c>
      <c r="N248" s="275">
        <v>50464</v>
      </c>
      <c r="O248" s="275">
        <v>50442</v>
      </c>
      <c r="P248" s="275">
        <v>50569</v>
      </c>
      <c r="Q248" s="275">
        <v>50011</v>
      </c>
      <c r="R248" s="275">
        <v>50012</v>
      </c>
      <c r="S248" s="275">
        <v>50013</v>
      </c>
      <c r="T248" s="275">
        <v>50014</v>
      </c>
      <c r="U248" s="275">
        <v>50015</v>
      </c>
      <c r="V248" s="275">
        <v>50016</v>
      </c>
      <c r="W248" s="275">
        <v>50017</v>
      </c>
      <c r="X248" s="275">
        <v>50018</v>
      </c>
      <c r="Y248" s="275">
        <v>50019</v>
      </c>
      <c r="Z248" s="275">
        <v>50504</v>
      </c>
      <c r="AA248" s="275">
        <v>50021</v>
      </c>
      <c r="AB248" s="275">
        <v>50022</v>
      </c>
      <c r="AC248" s="275">
        <v>50505</v>
      </c>
      <c r="AD248" s="275">
        <v>50023</v>
      </c>
      <c r="AE248" s="275">
        <v>50024</v>
      </c>
      <c r="AF248" s="275">
        <v>50026</v>
      </c>
      <c r="AG248" s="275">
        <v>50027</v>
      </c>
      <c r="AH248" s="275">
        <v>50028</v>
      </c>
      <c r="AI248" s="275">
        <v>50491</v>
      </c>
      <c r="AJ248" s="275">
        <v>50029</v>
      </c>
      <c r="AK248" s="275">
        <v>50031</v>
      </c>
      <c r="AL248" s="275">
        <v>50469</v>
      </c>
      <c r="AM248" s="275">
        <v>50459</v>
      </c>
      <c r="AN248" s="275">
        <v>50032</v>
      </c>
      <c r="AO248" s="275">
        <v>50556</v>
      </c>
      <c r="AP248" s="275">
        <v>50033</v>
      </c>
      <c r="AQ248" s="275">
        <v>50030</v>
      </c>
      <c r="AR248" s="275">
        <v>50034</v>
      </c>
      <c r="AS248" s="275">
        <v>50035</v>
      </c>
      <c r="AT248" s="275">
        <v>50036</v>
      </c>
      <c r="AU248" s="275">
        <v>50037</v>
      </c>
      <c r="AV248" s="275">
        <v>50038</v>
      </c>
      <c r="AW248" s="275">
        <v>50039</v>
      </c>
      <c r="AX248" s="275">
        <v>50040</v>
      </c>
      <c r="AY248" s="275">
        <v>50041</v>
      </c>
      <c r="AZ248" s="275">
        <v>50506</v>
      </c>
      <c r="BA248" s="275">
        <v>50507</v>
      </c>
      <c r="BB248" s="275">
        <v>50043</v>
      </c>
      <c r="BC248" s="275">
        <v>50042</v>
      </c>
      <c r="BD248" s="275">
        <v>50044</v>
      </c>
      <c r="BE248" s="275">
        <v>50045</v>
      </c>
      <c r="BF248" s="275">
        <v>50046</v>
      </c>
      <c r="BG248" s="275">
        <v>50047</v>
      </c>
      <c r="BH248" s="275">
        <v>50048</v>
      </c>
      <c r="BI248" s="275">
        <v>50049</v>
      </c>
      <c r="BJ248" s="275">
        <v>50050</v>
      </c>
      <c r="BK248" s="275">
        <v>50051</v>
      </c>
      <c r="BL248" s="275">
        <v>50052</v>
      </c>
      <c r="BM248" s="275">
        <v>50053</v>
      </c>
      <c r="BN248" s="275">
        <v>50054</v>
      </c>
      <c r="BO248" s="275">
        <v>50055</v>
      </c>
      <c r="BP248" s="275">
        <v>50057</v>
      </c>
      <c r="BQ248" s="275">
        <v>50058</v>
      </c>
      <c r="BR248" s="275">
        <v>50059</v>
      </c>
      <c r="BS248" s="275">
        <v>50567</v>
      </c>
    </row>
    <row r="249" spans="1:71" x14ac:dyDescent="0.3">
      <c r="A249" s="275"/>
      <c r="B249" s="275">
        <v>1000</v>
      </c>
      <c r="C249" s="275"/>
      <c r="D249" s="275"/>
      <c r="E249" s="275" t="str">
        <f>IF(E245=0.01,"LGC Records indicate that your unit has an operational Water and/or Sewer system and needs to complete the Water Sewer Question",)</f>
        <v>LGC Records indicate that your unit has an operational Water and/or Sewer system and needs to complete the Water Sewer Question</v>
      </c>
      <c r="F249" s="275" t="s">
        <v>1761</v>
      </c>
      <c r="G249" s="275" t="s">
        <v>1761</v>
      </c>
      <c r="H249" s="275" t="s">
        <v>1761</v>
      </c>
      <c r="I249" s="275" t="s">
        <v>31</v>
      </c>
      <c r="J249" s="275" t="s">
        <v>1761</v>
      </c>
      <c r="K249" s="275" t="s">
        <v>1761</v>
      </c>
      <c r="L249" s="275" t="s">
        <v>1761</v>
      </c>
      <c r="M249" s="275" t="s">
        <v>1761</v>
      </c>
      <c r="N249" s="275" t="s">
        <v>31</v>
      </c>
      <c r="O249" s="275" t="s">
        <v>1761</v>
      </c>
      <c r="P249" s="275" t="s">
        <v>31</v>
      </c>
      <c r="Q249" s="275" t="s">
        <v>1761</v>
      </c>
      <c r="R249" s="275" t="s">
        <v>1761</v>
      </c>
      <c r="S249" s="275" t="s">
        <v>1761</v>
      </c>
      <c r="T249" s="275" t="s">
        <v>1761</v>
      </c>
      <c r="U249" s="275" t="s">
        <v>1761</v>
      </c>
      <c r="V249" s="275" t="s">
        <v>1761</v>
      </c>
      <c r="W249" s="275" t="s">
        <v>1761</v>
      </c>
      <c r="X249" s="275" t="s">
        <v>1761</v>
      </c>
      <c r="Y249" s="275" t="s">
        <v>1761</v>
      </c>
      <c r="Z249" s="275" t="s">
        <v>31</v>
      </c>
      <c r="AA249" s="275" t="s">
        <v>1761</v>
      </c>
      <c r="AB249" s="275" t="s">
        <v>1761</v>
      </c>
      <c r="AC249" s="275" t="s">
        <v>1761</v>
      </c>
      <c r="AD249" s="275" t="s">
        <v>1761</v>
      </c>
      <c r="AE249" s="275" t="s">
        <v>1761</v>
      </c>
      <c r="AF249" s="275" t="s">
        <v>31</v>
      </c>
      <c r="AG249" s="275" t="s">
        <v>31</v>
      </c>
      <c r="AH249" s="275" t="s">
        <v>1761</v>
      </c>
      <c r="AI249" s="275" t="s">
        <v>1761</v>
      </c>
      <c r="AJ249" s="275" t="s">
        <v>1761</v>
      </c>
      <c r="AK249" s="275" t="s">
        <v>1761</v>
      </c>
      <c r="AL249" s="275" t="s">
        <v>31</v>
      </c>
      <c r="AM249" s="275" t="s">
        <v>31</v>
      </c>
      <c r="AN249" s="275" t="s">
        <v>1761</v>
      </c>
      <c r="AO249" s="275" t="s">
        <v>1761</v>
      </c>
      <c r="AP249" s="275" t="s">
        <v>1761</v>
      </c>
      <c r="AQ249" s="275" t="s">
        <v>31</v>
      </c>
      <c r="AR249" s="275" t="s">
        <v>1761</v>
      </c>
      <c r="AS249" s="275" t="s">
        <v>1761</v>
      </c>
      <c r="AT249" s="275" t="s">
        <v>1761</v>
      </c>
      <c r="AU249" s="275" t="s">
        <v>1761</v>
      </c>
      <c r="AV249" s="275" t="s">
        <v>1761</v>
      </c>
      <c r="AW249" s="275" t="s">
        <v>1761</v>
      </c>
      <c r="AX249" s="275" t="s">
        <v>1761</v>
      </c>
      <c r="AY249" s="275" t="s">
        <v>1761</v>
      </c>
      <c r="AZ249" s="275" t="s">
        <v>1761</v>
      </c>
      <c r="BA249" s="275" t="s">
        <v>31</v>
      </c>
      <c r="BB249" s="275" t="s">
        <v>31</v>
      </c>
      <c r="BC249" s="275" t="s">
        <v>1761</v>
      </c>
      <c r="BD249" s="275" t="s">
        <v>31</v>
      </c>
      <c r="BE249" s="275" t="s">
        <v>1761</v>
      </c>
      <c r="BF249" s="275" t="s">
        <v>1761</v>
      </c>
      <c r="BG249" s="275" t="s">
        <v>1761</v>
      </c>
      <c r="BH249" s="275" t="s">
        <v>1761</v>
      </c>
      <c r="BI249" s="275" t="s">
        <v>1761</v>
      </c>
      <c r="BJ249" s="275" t="s">
        <v>1761</v>
      </c>
      <c r="BK249" s="275" t="s">
        <v>1761</v>
      </c>
      <c r="BL249" s="275" t="s">
        <v>31</v>
      </c>
      <c r="BM249" s="275" t="s">
        <v>1761</v>
      </c>
      <c r="BN249" s="275" t="s">
        <v>1761</v>
      </c>
      <c r="BO249" s="275" t="s">
        <v>1761</v>
      </c>
      <c r="BP249" s="275" t="s">
        <v>1761</v>
      </c>
      <c r="BQ249" s="275" t="s">
        <v>1761</v>
      </c>
      <c r="BR249" s="275" t="s">
        <v>1761</v>
      </c>
      <c r="BS249" s="275" t="s">
        <v>31</v>
      </c>
    </row>
    <row r="250" spans="1:71" x14ac:dyDescent="0.3">
      <c r="A250" s="275"/>
      <c r="B250" s="275">
        <v>537</v>
      </c>
      <c r="C250" s="275"/>
      <c r="D250" s="275"/>
      <c r="E250" s="275" t="s">
        <v>51</v>
      </c>
      <c r="F250" s="275" t="s">
        <v>51</v>
      </c>
      <c r="G250" s="275" t="s">
        <v>52</v>
      </c>
      <c r="H250" s="275" t="s">
        <v>52</v>
      </c>
      <c r="I250" s="275"/>
      <c r="J250" s="275" t="s">
        <v>51</v>
      </c>
      <c r="K250" s="275" t="s">
        <v>51</v>
      </c>
      <c r="L250" s="275"/>
      <c r="M250" s="275" t="s">
        <v>51</v>
      </c>
      <c r="N250" s="275"/>
      <c r="O250" s="275" t="s">
        <v>51</v>
      </c>
      <c r="P250" s="275"/>
      <c r="Q250" s="275" t="s">
        <v>52</v>
      </c>
      <c r="R250" s="275" t="s">
        <v>51</v>
      </c>
      <c r="S250" s="275"/>
      <c r="T250" s="275" t="s">
        <v>52</v>
      </c>
      <c r="U250" s="275" t="s">
        <v>52</v>
      </c>
      <c r="V250" s="275" t="s">
        <v>52</v>
      </c>
      <c r="W250" s="275" t="s">
        <v>52</v>
      </c>
      <c r="X250" s="275" t="s">
        <v>52</v>
      </c>
      <c r="Y250" s="275"/>
      <c r="Z250" s="275"/>
      <c r="AA250" s="275" t="s">
        <v>52</v>
      </c>
      <c r="AB250" s="275" t="s">
        <v>52</v>
      </c>
      <c r="AC250" s="275" t="s">
        <v>51</v>
      </c>
      <c r="AD250" s="275" t="s">
        <v>51</v>
      </c>
      <c r="AE250" s="275" t="s">
        <v>52</v>
      </c>
      <c r="AF250" s="275"/>
      <c r="AG250" s="275"/>
      <c r="AH250" s="275" t="s">
        <v>51</v>
      </c>
      <c r="AI250" s="275" t="s">
        <v>52</v>
      </c>
      <c r="AJ250" s="275" t="s">
        <v>52</v>
      </c>
      <c r="AK250" s="275" t="s">
        <v>51</v>
      </c>
      <c r="AL250" s="275"/>
      <c r="AM250" s="275"/>
      <c r="AN250" s="275" t="s">
        <v>52</v>
      </c>
      <c r="AO250" s="275"/>
      <c r="AP250" s="275" t="s">
        <v>52</v>
      </c>
      <c r="AQ250" s="275"/>
      <c r="AR250" s="275" t="s">
        <v>52</v>
      </c>
      <c r="AS250" s="275" t="s">
        <v>51</v>
      </c>
      <c r="AT250" s="275" t="s">
        <v>52</v>
      </c>
      <c r="AU250" s="275" t="s">
        <v>52</v>
      </c>
      <c r="AV250" s="275"/>
      <c r="AW250" s="275" t="s">
        <v>51</v>
      </c>
      <c r="AX250" s="275" t="s">
        <v>51</v>
      </c>
      <c r="AY250" s="275" t="s">
        <v>51</v>
      </c>
      <c r="AZ250" s="275" t="s">
        <v>52</v>
      </c>
      <c r="BA250" s="275" t="s">
        <v>52</v>
      </c>
      <c r="BB250" s="275" t="s">
        <v>52</v>
      </c>
      <c r="BC250" s="275" t="s">
        <v>52</v>
      </c>
      <c r="BD250" s="275" t="s">
        <v>52</v>
      </c>
      <c r="BE250" s="275" t="s">
        <v>52</v>
      </c>
      <c r="BF250" s="275" t="s">
        <v>52</v>
      </c>
      <c r="BG250" s="275" t="s">
        <v>52</v>
      </c>
      <c r="BH250" s="275" t="s">
        <v>52</v>
      </c>
      <c r="BI250" s="275" t="s">
        <v>51</v>
      </c>
      <c r="BJ250" s="275" t="s">
        <v>52</v>
      </c>
      <c r="BK250" s="275" t="s">
        <v>52</v>
      </c>
      <c r="BL250" s="275"/>
      <c r="BM250" s="275" t="s">
        <v>52</v>
      </c>
      <c r="BN250" s="275" t="s">
        <v>51</v>
      </c>
      <c r="BO250" s="275" t="s">
        <v>52</v>
      </c>
      <c r="BP250" s="275" t="s">
        <v>52</v>
      </c>
      <c r="BQ250" s="275" t="s">
        <v>51</v>
      </c>
      <c r="BR250" s="275" t="s">
        <v>52</v>
      </c>
      <c r="BS250" s="275"/>
    </row>
    <row r="251" spans="1:71" x14ac:dyDescent="0.3">
      <c r="A251" s="275"/>
      <c r="B251" s="275">
        <v>538</v>
      </c>
      <c r="C251" s="275"/>
      <c r="D251" s="275"/>
      <c r="E251" s="275" t="s">
        <v>51</v>
      </c>
      <c r="F251" s="275" t="s">
        <v>52</v>
      </c>
      <c r="G251" s="275" t="s">
        <v>52</v>
      </c>
      <c r="H251" s="275" t="s">
        <v>52</v>
      </c>
      <c r="I251" s="275"/>
      <c r="J251" s="275" t="s">
        <v>52</v>
      </c>
      <c r="K251" s="275" t="s">
        <v>51</v>
      </c>
      <c r="L251" s="275"/>
      <c r="M251" s="275" t="s">
        <v>51</v>
      </c>
      <c r="N251" s="275"/>
      <c r="O251" s="275" t="s">
        <v>51</v>
      </c>
      <c r="P251" s="275"/>
      <c r="Q251" s="275" t="s">
        <v>52</v>
      </c>
      <c r="R251" s="275" t="s">
        <v>51</v>
      </c>
      <c r="S251" s="275"/>
      <c r="T251" s="275" t="s">
        <v>52</v>
      </c>
      <c r="U251" s="275" t="s">
        <v>52</v>
      </c>
      <c r="V251" s="275" t="s">
        <v>52</v>
      </c>
      <c r="W251" s="275" t="s">
        <v>52</v>
      </c>
      <c r="X251" s="275" t="s">
        <v>52</v>
      </c>
      <c r="Y251" s="275"/>
      <c r="Z251" s="275"/>
      <c r="AA251" s="275" t="s">
        <v>52</v>
      </c>
      <c r="AB251" s="275" t="s">
        <v>52</v>
      </c>
      <c r="AC251" s="275" t="s">
        <v>51</v>
      </c>
      <c r="AD251" s="275" t="s">
        <v>52</v>
      </c>
      <c r="AE251" s="275" t="s">
        <v>52</v>
      </c>
      <c r="AF251" s="275"/>
      <c r="AG251" s="275"/>
      <c r="AH251" s="275" t="s">
        <v>52</v>
      </c>
      <c r="AI251" s="275" t="s">
        <v>52</v>
      </c>
      <c r="AJ251" s="275" t="s">
        <v>52</v>
      </c>
      <c r="AK251" s="275" t="s">
        <v>52</v>
      </c>
      <c r="AL251" s="275"/>
      <c r="AM251" s="275"/>
      <c r="AN251" s="275" t="s">
        <v>52</v>
      </c>
      <c r="AO251" s="275" t="s">
        <v>52</v>
      </c>
      <c r="AP251" s="275" t="s">
        <v>52</v>
      </c>
      <c r="AQ251" s="275"/>
      <c r="AR251" s="275" t="s">
        <v>52</v>
      </c>
      <c r="AS251" s="275" t="s">
        <v>51</v>
      </c>
      <c r="AT251" s="275" t="s">
        <v>52</v>
      </c>
      <c r="AU251" s="275" t="s">
        <v>52</v>
      </c>
      <c r="AV251" s="275"/>
      <c r="AW251" s="275" t="s">
        <v>52</v>
      </c>
      <c r="AX251" s="275" t="s">
        <v>52</v>
      </c>
      <c r="AY251" s="275" t="s">
        <v>51</v>
      </c>
      <c r="AZ251" s="275" t="s">
        <v>52</v>
      </c>
      <c r="BA251" s="275"/>
      <c r="BB251" s="275" t="s">
        <v>52</v>
      </c>
      <c r="BC251" s="275" t="s">
        <v>51</v>
      </c>
      <c r="BD251" s="275" t="s">
        <v>52</v>
      </c>
      <c r="BE251" s="275" t="s">
        <v>52</v>
      </c>
      <c r="BF251" s="275" t="s">
        <v>52</v>
      </c>
      <c r="BG251" s="275" t="s">
        <v>51</v>
      </c>
      <c r="BH251" s="275" t="s">
        <v>52</v>
      </c>
      <c r="BI251" s="275" t="s">
        <v>51</v>
      </c>
      <c r="BJ251" s="275" t="s">
        <v>52</v>
      </c>
      <c r="BK251" s="275" t="s">
        <v>52</v>
      </c>
      <c r="BL251" s="275"/>
      <c r="BM251" s="275" t="s">
        <v>52</v>
      </c>
      <c r="BN251" s="275" t="s">
        <v>51</v>
      </c>
      <c r="BO251" s="275" t="s">
        <v>52</v>
      </c>
      <c r="BP251" s="275" t="s">
        <v>52</v>
      </c>
      <c r="BQ251" s="275" t="s">
        <v>51</v>
      </c>
      <c r="BR251" s="275" t="s">
        <v>52</v>
      </c>
      <c r="BS251" s="275"/>
    </row>
    <row r="252" spans="1:71" x14ac:dyDescent="0.3">
      <c r="A252" s="275">
        <v>591</v>
      </c>
      <c r="B252" s="275">
        <v>591</v>
      </c>
      <c r="C252" s="275" t="s">
        <v>610</v>
      </c>
      <c r="D252" s="275"/>
      <c r="E252" s="1112">
        <v>3211284</v>
      </c>
      <c r="F252" s="1112">
        <v>3404648</v>
      </c>
      <c r="G252" s="1112">
        <v>421576</v>
      </c>
      <c r="H252" s="1112">
        <v>46114980</v>
      </c>
      <c r="I252" s="275">
        <v>0</v>
      </c>
      <c r="J252" s="1112">
        <v>1481937</v>
      </c>
      <c r="K252" s="1112">
        <v>2515089</v>
      </c>
      <c r="L252" s="1112">
        <v>399980</v>
      </c>
      <c r="M252" s="1112">
        <v>61479766</v>
      </c>
      <c r="N252" s="275">
        <v>0</v>
      </c>
      <c r="O252" s="1112">
        <v>3743768</v>
      </c>
      <c r="P252" s="275">
        <v>0</v>
      </c>
      <c r="Q252" s="1112">
        <v>14052448</v>
      </c>
      <c r="R252" s="1112">
        <v>58302647</v>
      </c>
      <c r="S252" s="275">
        <v>0</v>
      </c>
      <c r="T252" s="1112">
        <v>112243</v>
      </c>
      <c r="U252" s="1112">
        <v>1376132</v>
      </c>
      <c r="V252" s="1112">
        <v>556874</v>
      </c>
      <c r="W252" s="1112">
        <v>237049</v>
      </c>
      <c r="X252" s="1112">
        <v>101398</v>
      </c>
      <c r="Y252" s="1112">
        <v>15811881</v>
      </c>
      <c r="Z252" s="275">
        <v>0</v>
      </c>
      <c r="AA252" s="1112">
        <v>334948</v>
      </c>
      <c r="AB252" s="1112">
        <v>201539</v>
      </c>
      <c r="AC252" s="1112">
        <v>2327168</v>
      </c>
      <c r="AD252" s="1112">
        <v>801617</v>
      </c>
      <c r="AE252" s="1112">
        <v>301220</v>
      </c>
      <c r="AF252" s="275">
        <v>0</v>
      </c>
      <c r="AG252" s="275">
        <v>0</v>
      </c>
      <c r="AH252" s="1112">
        <v>3517932</v>
      </c>
      <c r="AI252" s="1112">
        <v>2905281</v>
      </c>
      <c r="AJ252" s="1112">
        <v>3286322</v>
      </c>
      <c r="AK252" s="1112">
        <v>8947100</v>
      </c>
      <c r="AL252" s="275">
        <v>0</v>
      </c>
      <c r="AM252" s="275">
        <v>0</v>
      </c>
      <c r="AN252" s="1112">
        <v>8581857</v>
      </c>
      <c r="AO252" s="1112">
        <v>289516</v>
      </c>
      <c r="AP252" s="1112">
        <v>5911366</v>
      </c>
      <c r="AQ252" s="275">
        <v>0</v>
      </c>
      <c r="AR252" s="1112">
        <v>1597820</v>
      </c>
      <c r="AS252" s="1112">
        <v>829810</v>
      </c>
      <c r="AT252" s="1112">
        <v>750256</v>
      </c>
      <c r="AU252" s="1112">
        <v>1464092</v>
      </c>
      <c r="AV252" s="275">
        <v>0</v>
      </c>
      <c r="AW252" s="1112">
        <v>1953410</v>
      </c>
      <c r="AX252" s="1112">
        <v>820855</v>
      </c>
      <c r="AY252" s="1112">
        <v>1920239</v>
      </c>
      <c r="AZ252" s="1112">
        <v>205449</v>
      </c>
      <c r="BA252" s="275">
        <v>0</v>
      </c>
      <c r="BB252" s="275">
        <v>0</v>
      </c>
      <c r="BC252" s="1112">
        <v>1405786</v>
      </c>
      <c r="BD252" s="275">
        <v>0</v>
      </c>
      <c r="BE252" s="1112">
        <v>334965</v>
      </c>
      <c r="BF252" s="1112">
        <v>7992595</v>
      </c>
      <c r="BG252" s="1112">
        <v>550786</v>
      </c>
      <c r="BH252" s="1112">
        <v>421409</v>
      </c>
      <c r="BI252" s="1112">
        <v>5858315</v>
      </c>
      <c r="BJ252" s="1112">
        <v>157185</v>
      </c>
      <c r="BK252" s="1112">
        <v>403264</v>
      </c>
      <c r="BL252" s="1112">
        <v>9323</v>
      </c>
      <c r="BM252" s="1112">
        <v>158500</v>
      </c>
      <c r="BN252" s="1112">
        <v>1642959</v>
      </c>
      <c r="BO252" s="1112">
        <v>1039669</v>
      </c>
      <c r="BP252" s="1112">
        <v>2080106</v>
      </c>
      <c r="BQ252" s="1112">
        <v>28866118</v>
      </c>
      <c r="BR252" s="1112">
        <v>2263866</v>
      </c>
      <c r="BS252" s="1112">
        <v>234650</v>
      </c>
    </row>
    <row r="253" spans="1:71" x14ac:dyDescent="0.3">
      <c r="A253" s="275">
        <v>592</v>
      </c>
      <c r="B253" s="275">
        <v>592</v>
      </c>
      <c r="C253" s="275" t="s">
        <v>611</v>
      </c>
      <c r="D253" s="275"/>
      <c r="E253" s="1112">
        <v>-197564</v>
      </c>
      <c r="F253" s="1112">
        <v>-223267</v>
      </c>
      <c r="G253" s="1112">
        <v>-85158</v>
      </c>
      <c r="H253" s="1112">
        <v>3908689</v>
      </c>
      <c r="I253" s="275">
        <v>0</v>
      </c>
      <c r="J253" s="1112">
        <v>312484</v>
      </c>
      <c r="K253" s="1112">
        <v>60336</v>
      </c>
      <c r="L253" s="1112">
        <v>-80553</v>
      </c>
      <c r="M253" s="1112">
        <v>-2179963</v>
      </c>
      <c r="N253" s="275">
        <v>0</v>
      </c>
      <c r="O253" s="1112">
        <v>841895</v>
      </c>
      <c r="P253" s="275">
        <v>0</v>
      </c>
      <c r="Q253" s="1112">
        <v>-731000</v>
      </c>
      <c r="R253" s="1112">
        <v>18025768</v>
      </c>
      <c r="S253" s="275">
        <v>0</v>
      </c>
      <c r="T253" s="1112">
        <v>-32723</v>
      </c>
      <c r="U253" s="1112">
        <v>-38605</v>
      </c>
      <c r="V253" s="1112">
        <v>1017017</v>
      </c>
      <c r="W253" s="1112">
        <v>12422</v>
      </c>
      <c r="X253" s="1112">
        <v>-8338</v>
      </c>
      <c r="Y253" s="1112">
        <v>324827</v>
      </c>
      <c r="Z253" s="275">
        <v>0</v>
      </c>
      <c r="AA253" s="1112">
        <v>22978</v>
      </c>
      <c r="AB253" s="1112">
        <v>229454</v>
      </c>
      <c r="AC253" s="1112">
        <v>769610</v>
      </c>
      <c r="AD253" s="1112">
        <v>145940</v>
      </c>
      <c r="AE253" s="1112">
        <v>-67217</v>
      </c>
      <c r="AF253" s="275">
        <v>0</v>
      </c>
      <c r="AG253" s="275">
        <v>0</v>
      </c>
      <c r="AH253" s="1112">
        <v>-597470</v>
      </c>
      <c r="AI253" s="1112">
        <v>4986</v>
      </c>
      <c r="AJ253" s="1112">
        <v>177990</v>
      </c>
      <c r="AK253" s="1112">
        <v>3803610</v>
      </c>
      <c r="AL253" s="275">
        <v>0</v>
      </c>
      <c r="AM253" s="275">
        <v>0</v>
      </c>
      <c r="AN253" s="1112">
        <v>-70343</v>
      </c>
      <c r="AO253" s="1112">
        <v>259731</v>
      </c>
      <c r="AP253" s="1112">
        <v>-1054</v>
      </c>
      <c r="AQ253" s="275">
        <v>0</v>
      </c>
      <c r="AR253" s="1112">
        <v>-340267</v>
      </c>
      <c r="AS253" s="1112">
        <v>-174390</v>
      </c>
      <c r="AT253" s="1112">
        <v>15007</v>
      </c>
      <c r="AU253" s="1112">
        <v>271459</v>
      </c>
      <c r="AV253" s="275">
        <v>0</v>
      </c>
      <c r="AW253" s="1112">
        <v>112706</v>
      </c>
      <c r="AX253" s="1112">
        <v>-198573</v>
      </c>
      <c r="AY253" s="1112">
        <v>-205868</v>
      </c>
      <c r="AZ253" s="1112">
        <v>-110732</v>
      </c>
      <c r="BA253" s="275">
        <v>0</v>
      </c>
      <c r="BB253" s="275">
        <v>0</v>
      </c>
      <c r="BC253" s="1112">
        <v>183825</v>
      </c>
      <c r="BD253" s="275">
        <v>0</v>
      </c>
      <c r="BE253" s="1112">
        <v>-178622</v>
      </c>
      <c r="BF253" s="1112">
        <v>3060797</v>
      </c>
      <c r="BG253" s="1112">
        <v>-73174</v>
      </c>
      <c r="BH253" s="1112">
        <v>188775</v>
      </c>
      <c r="BI253" s="1112">
        <v>91666</v>
      </c>
      <c r="BJ253" s="1112">
        <v>-86684</v>
      </c>
      <c r="BK253" s="1112">
        <v>90834</v>
      </c>
      <c r="BL253" s="275">
        <v>160</v>
      </c>
      <c r="BM253" s="1112">
        <v>133970</v>
      </c>
      <c r="BN253" s="1112">
        <v>386146</v>
      </c>
      <c r="BO253" s="1112">
        <v>-16274</v>
      </c>
      <c r="BP253" s="1112">
        <v>-31208</v>
      </c>
      <c r="BQ253" s="1112">
        <v>3894269</v>
      </c>
      <c r="BR253" s="1112">
        <v>784010</v>
      </c>
      <c r="BS253" s="1112">
        <v>160392</v>
      </c>
    </row>
    <row r="254" spans="1:71" x14ac:dyDescent="0.3">
      <c r="A254" s="275"/>
      <c r="B254" s="275">
        <v>595</v>
      </c>
      <c r="C254" s="275" t="s">
        <v>683</v>
      </c>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c r="AA254" s="275"/>
      <c r="AB254" s="275"/>
      <c r="AC254" s="275"/>
      <c r="AD254" s="275"/>
      <c r="AE254" s="275"/>
      <c r="AF254" s="275"/>
      <c r="AG254" s="275"/>
      <c r="AH254" s="275"/>
      <c r="AI254" s="275"/>
      <c r="AJ254" s="275"/>
      <c r="AK254" s="275"/>
      <c r="AL254" s="275"/>
      <c r="AM254" s="275"/>
      <c r="AN254" s="275"/>
      <c r="AO254" s="275"/>
      <c r="AP254" s="275"/>
      <c r="AQ254" s="275"/>
      <c r="AR254" s="275"/>
      <c r="AS254" s="275"/>
      <c r="AT254" s="275"/>
      <c r="AU254" s="275"/>
      <c r="AV254" s="275"/>
      <c r="AW254" s="275"/>
      <c r="AX254" s="275"/>
      <c r="AY254" s="275"/>
      <c r="AZ254" s="275"/>
      <c r="BA254" s="275"/>
      <c r="BB254" s="275"/>
      <c r="BC254" s="275"/>
      <c r="BD254" s="275"/>
      <c r="BE254" s="275"/>
      <c r="BF254" s="275"/>
      <c r="BG254" s="275"/>
      <c r="BH254" s="275"/>
      <c r="BI254" s="275"/>
      <c r="BJ254" s="275"/>
      <c r="BK254" s="275"/>
      <c r="BL254" s="275"/>
      <c r="BM254" s="275"/>
      <c r="BN254" s="275"/>
      <c r="BO254" s="275"/>
      <c r="BP254" s="275"/>
      <c r="BQ254" s="275"/>
      <c r="BR254" s="275"/>
      <c r="BS254" s="275"/>
    </row>
    <row r="255" spans="1:71" x14ac:dyDescent="0.3">
      <c r="A255" s="275">
        <v>596</v>
      </c>
      <c r="B255" s="275">
        <v>596</v>
      </c>
      <c r="C255" s="275" t="s">
        <v>617</v>
      </c>
      <c r="D255" s="275"/>
      <c r="E255" s="275">
        <v>52</v>
      </c>
      <c r="F255" s="275">
        <v>52</v>
      </c>
      <c r="G255" s="275">
        <v>52</v>
      </c>
      <c r="H255" s="275">
        <v>52</v>
      </c>
      <c r="I255" s="275">
        <v>52</v>
      </c>
      <c r="J255" s="275">
        <v>52</v>
      </c>
      <c r="K255" s="275">
        <v>52</v>
      </c>
      <c r="L255" s="275">
        <v>52</v>
      </c>
      <c r="M255" s="275">
        <v>52</v>
      </c>
      <c r="N255" s="275">
        <v>52</v>
      </c>
      <c r="O255" s="275">
        <v>52</v>
      </c>
      <c r="P255" s="275">
        <v>0</v>
      </c>
      <c r="Q255" s="275">
        <v>52</v>
      </c>
      <c r="R255" s="275">
        <v>52</v>
      </c>
      <c r="S255" s="275">
        <v>0</v>
      </c>
      <c r="T255" s="275">
        <v>52</v>
      </c>
      <c r="U255" s="275">
        <v>52</v>
      </c>
      <c r="V255" s="275">
        <v>52</v>
      </c>
      <c r="W255" s="275">
        <v>52</v>
      </c>
      <c r="X255" s="275">
        <v>52</v>
      </c>
      <c r="Y255" s="275">
        <v>52</v>
      </c>
      <c r="Z255" s="275">
        <v>52</v>
      </c>
      <c r="AA255" s="275">
        <v>52</v>
      </c>
      <c r="AB255" s="275">
        <v>52</v>
      </c>
      <c r="AC255" s="275">
        <v>52</v>
      </c>
      <c r="AD255" s="275">
        <v>52</v>
      </c>
      <c r="AE255" s="275">
        <v>52</v>
      </c>
      <c r="AF255" s="275">
        <v>52</v>
      </c>
      <c r="AG255" s="275">
        <v>52</v>
      </c>
      <c r="AH255" s="275">
        <v>52</v>
      </c>
      <c r="AI255" s="275">
        <v>52</v>
      </c>
      <c r="AJ255" s="275">
        <v>52</v>
      </c>
      <c r="AK255" s="275">
        <v>52</v>
      </c>
      <c r="AL255" s="275">
        <v>0</v>
      </c>
      <c r="AM255" s="275">
        <v>0</v>
      </c>
      <c r="AN255" s="275">
        <v>52</v>
      </c>
      <c r="AO255" s="275">
        <v>52</v>
      </c>
      <c r="AP255" s="275">
        <v>52</v>
      </c>
      <c r="AQ255" s="275">
        <v>52</v>
      </c>
      <c r="AR255" s="275">
        <v>52</v>
      </c>
      <c r="AS255" s="275">
        <v>52</v>
      </c>
      <c r="AT255" s="275">
        <v>52</v>
      </c>
      <c r="AU255" s="275">
        <v>52</v>
      </c>
      <c r="AV255" s="275">
        <v>0</v>
      </c>
      <c r="AW255" s="275">
        <v>52</v>
      </c>
      <c r="AX255" s="275">
        <v>52</v>
      </c>
      <c r="AY255" s="275">
        <v>52</v>
      </c>
      <c r="AZ255" s="275">
        <v>52</v>
      </c>
      <c r="BA255" s="275">
        <v>52</v>
      </c>
      <c r="BB255" s="275">
        <v>52</v>
      </c>
      <c r="BC255" s="275">
        <v>52</v>
      </c>
      <c r="BD255" s="275">
        <v>52</v>
      </c>
      <c r="BE255" s="275">
        <v>52</v>
      </c>
      <c r="BF255" s="275">
        <v>52</v>
      </c>
      <c r="BG255" s="275">
        <v>52</v>
      </c>
      <c r="BH255" s="275">
        <v>52</v>
      </c>
      <c r="BI255" s="275">
        <v>52</v>
      </c>
      <c r="BJ255" s="275">
        <v>52</v>
      </c>
      <c r="BK255" s="275">
        <v>52</v>
      </c>
      <c r="BL255" s="275">
        <v>0</v>
      </c>
      <c r="BM255" s="275">
        <v>52</v>
      </c>
      <c r="BN255" s="275">
        <v>52</v>
      </c>
      <c r="BO255" s="275">
        <v>52</v>
      </c>
      <c r="BP255" s="275">
        <v>52</v>
      </c>
      <c r="BQ255" s="275">
        <v>52</v>
      </c>
      <c r="BR255" s="275">
        <v>52</v>
      </c>
      <c r="BS255" s="275">
        <v>52</v>
      </c>
    </row>
    <row r="256" spans="1:71" x14ac:dyDescent="0.3">
      <c r="A256" s="275">
        <v>597</v>
      </c>
      <c r="B256" s="275">
        <v>597</v>
      </c>
      <c r="C256" s="275" t="s">
        <v>684</v>
      </c>
      <c r="D256" s="275"/>
      <c r="E256" s="1112">
        <v>97531</v>
      </c>
      <c r="F256" s="1112">
        <v>4986</v>
      </c>
      <c r="G256" s="1112">
        <v>27369</v>
      </c>
      <c r="H256" s="1112">
        <v>478624</v>
      </c>
      <c r="I256" s="1112">
        <v>3822</v>
      </c>
      <c r="J256" s="275">
        <v>204</v>
      </c>
      <c r="K256" s="1112">
        <v>133193</v>
      </c>
      <c r="L256" s="1112">
        <v>1149</v>
      </c>
      <c r="M256" s="1112">
        <v>3074162</v>
      </c>
      <c r="N256" s="275">
        <v>0</v>
      </c>
      <c r="O256" s="1112">
        <v>314667</v>
      </c>
      <c r="P256" s="1112">
        <v>38902</v>
      </c>
      <c r="Q256" s="1112">
        <v>304201</v>
      </c>
      <c r="R256" s="1112">
        <v>4406029</v>
      </c>
      <c r="S256" s="275">
        <v>0</v>
      </c>
      <c r="T256" s="1112">
        <v>45455</v>
      </c>
      <c r="U256" s="1112">
        <v>21038</v>
      </c>
      <c r="V256" s="1112">
        <v>8264</v>
      </c>
      <c r="W256" s="275">
        <v>872</v>
      </c>
      <c r="X256" s="275">
        <v>135</v>
      </c>
      <c r="Y256" s="1112">
        <v>208230</v>
      </c>
      <c r="Z256" s="1112">
        <v>8950</v>
      </c>
      <c r="AA256" s="1112">
        <v>3042</v>
      </c>
      <c r="AB256" s="1112">
        <v>11176</v>
      </c>
      <c r="AC256" s="1112">
        <v>126953</v>
      </c>
      <c r="AD256" s="1112">
        <v>85351</v>
      </c>
      <c r="AE256" s="275">
        <v>209</v>
      </c>
      <c r="AF256" s="1112">
        <v>1627</v>
      </c>
      <c r="AG256" s="1112">
        <v>1338</v>
      </c>
      <c r="AH256" s="1112">
        <v>131715</v>
      </c>
      <c r="AI256" s="1112">
        <v>219462</v>
      </c>
      <c r="AJ256" s="1112">
        <v>8353</v>
      </c>
      <c r="AK256" s="1112">
        <v>208717</v>
      </c>
      <c r="AL256" s="275">
        <v>0</v>
      </c>
      <c r="AM256" s="275">
        <v>267</v>
      </c>
      <c r="AN256" s="1112">
        <v>19884</v>
      </c>
      <c r="AO256" s="1112">
        <v>20874</v>
      </c>
      <c r="AP256" s="1112">
        <v>48523</v>
      </c>
      <c r="AQ256" s="1112">
        <v>8422</v>
      </c>
      <c r="AR256" s="1112">
        <v>8000</v>
      </c>
      <c r="AS256" s="1112">
        <v>6307</v>
      </c>
      <c r="AT256" s="1112">
        <v>82072</v>
      </c>
      <c r="AU256" s="1112">
        <v>24243</v>
      </c>
      <c r="AV256" s="275">
        <v>0</v>
      </c>
      <c r="AW256" s="1112">
        <v>125374</v>
      </c>
      <c r="AX256" s="1112">
        <v>2491</v>
      </c>
      <c r="AY256" s="1112">
        <v>138658</v>
      </c>
      <c r="AZ256" s="275">
        <v>71</v>
      </c>
      <c r="BA256" s="275">
        <v>213</v>
      </c>
      <c r="BB256" s="1112">
        <v>1623</v>
      </c>
      <c r="BC256" s="1112">
        <v>17745</v>
      </c>
      <c r="BD256" s="1112">
        <v>11804</v>
      </c>
      <c r="BE256" s="1112">
        <v>4105</v>
      </c>
      <c r="BF256" s="1112">
        <v>978693</v>
      </c>
      <c r="BG256" s="275">
        <v>689</v>
      </c>
      <c r="BH256" s="1112">
        <v>16305</v>
      </c>
      <c r="BI256" s="1112">
        <v>94521</v>
      </c>
      <c r="BJ256" s="275">
        <v>48</v>
      </c>
      <c r="BK256" s="1112">
        <v>10578</v>
      </c>
      <c r="BL256" s="1112">
        <v>7558</v>
      </c>
      <c r="BM256" s="275">
        <v>348</v>
      </c>
      <c r="BN256" s="1112">
        <v>24060</v>
      </c>
      <c r="BO256" s="1112">
        <v>1473</v>
      </c>
      <c r="BP256" s="1112">
        <v>65636</v>
      </c>
      <c r="BQ256" s="1112">
        <v>2343649</v>
      </c>
      <c r="BR256" s="1112">
        <v>12246</v>
      </c>
      <c r="BS256" s="1112">
        <v>179462</v>
      </c>
    </row>
    <row r="257" spans="1:71" x14ac:dyDescent="0.3">
      <c r="A257" s="275"/>
      <c r="B257" s="275"/>
      <c r="C257" s="275"/>
      <c r="D257" s="275"/>
      <c r="E257" s="275" t="s">
        <v>1761</v>
      </c>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75"/>
      <c r="AE257" s="275"/>
      <c r="AF257" s="275"/>
      <c r="AG257" s="275"/>
      <c r="AH257" s="275"/>
      <c r="AI257" s="275"/>
      <c r="AJ257" s="275"/>
      <c r="AK257" s="275"/>
      <c r="AL257" s="275"/>
      <c r="AM257" s="275"/>
      <c r="AN257" s="275"/>
      <c r="AO257" s="275"/>
      <c r="AP257" s="275"/>
      <c r="AQ257" s="275"/>
      <c r="AR257" s="275"/>
      <c r="AS257" s="275"/>
      <c r="AT257" s="275"/>
      <c r="AU257" s="275"/>
      <c r="AV257" s="275"/>
      <c r="AW257" s="275"/>
      <c r="AX257" s="275"/>
      <c r="AY257" s="275"/>
      <c r="AZ257" s="275"/>
      <c r="BA257" s="275"/>
      <c r="BB257" s="275"/>
      <c r="BC257" s="275"/>
      <c r="BD257" s="275"/>
      <c r="BE257" s="275"/>
      <c r="BF257" s="275"/>
      <c r="BG257" s="275"/>
      <c r="BH257" s="275"/>
      <c r="BI257" s="275"/>
      <c r="BJ257" s="275"/>
      <c r="BK257" s="275"/>
      <c r="BL257" s="275"/>
      <c r="BM257" s="275"/>
      <c r="BN257" s="275"/>
      <c r="BO257" s="275"/>
      <c r="BP257" s="275"/>
      <c r="BQ257" s="275"/>
      <c r="BR257" s="275"/>
      <c r="BS257" s="275"/>
    </row>
    <row r="258" spans="1:71" x14ac:dyDescent="0.3">
      <c r="A258" s="275">
        <v>598</v>
      </c>
      <c r="B258" s="275">
        <v>598</v>
      </c>
      <c r="C258" s="275" t="s">
        <v>678</v>
      </c>
      <c r="D258" s="275"/>
      <c r="E258" s="1112">
        <v>54173</v>
      </c>
      <c r="F258" s="275">
        <v>0</v>
      </c>
      <c r="G258" s="275">
        <v>0</v>
      </c>
      <c r="H258" s="1112">
        <v>149079</v>
      </c>
      <c r="I258" s="275">
        <v>0</v>
      </c>
      <c r="J258" s="275">
        <v>0</v>
      </c>
      <c r="K258" s="275">
        <v>0</v>
      </c>
      <c r="L258" s="275">
        <v>0</v>
      </c>
      <c r="M258" s="1112">
        <v>112197</v>
      </c>
      <c r="N258" s="275">
        <v>0</v>
      </c>
      <c r="O258" s="1112">
        <v>69770</v>
      </c>
      <c r="P258" s="275">
        <v>0</v>
      </c>
      <c r="Q258" s="1112">
        <v>337199</v>
      </c>
      <c r="R258" s="1112">
        <v>720265</v>
      </c>
      <c r="S258" s="275">
        <v>0</v>
      </c>
      <c r="T258" s="275">
        <v>0</v>
      </c>
      <c r="U258" s="1112">
        <v>47548</v>
      </c>
      <c r="V258" s="275">
        <v>0</v>
      </c>
      <c r="W258" s="275">
        <v>0</v>
      </c>
      <c r="X258" s="275">
        <v>0</v>
      </c>
      <c r="Y258" s="1112">
        <v>24334</v>
      </c>
      <c r="Z258" s="275">
        <v>0</v>
      </c>
      <c r="AA258" s="275">
        <v>0</v>
      </c>
      <c r="AB258" s="275">
        <v>0</v>
      </c>
      <c r="AC258" s="1112">
        <v>11698</v>
      </c>
      <c r="AD258" s="1112">
        <v>42357</v>
      </c>
      <c r="AE258" s="275">
        <v>0</v>
      </c>
      <c r="AF258" s="275">
        <v>0</v>
      </c>
      <c r="AG258" s="275">
        <v>0</v>
      </c>
      <c r="AH258" s="1112">
        <v>42121</v>
      </c>
      <c r="AI258" s="1112">
        <v>4524</v>
      </c>
      <c r="AJ258" s="275">
        <v>0</v>
      </c>
      <c r="AK258" s="1112">
        <v>47056</v>
      </c>
      <c r="AL258" s="275">
        <v>0</v>
      </c>
      <c r="AM258" s="275">
        <v>0</v>
      </c>
      <c r="AN258" s="275">
        <v>0</v>
      </c>
      <c r="AO258" s="275">
        <v>0</v>
      </c>
      <c r="AP258" s="275">
        <v>0</v>
      </c>
      <c r="AQ258" s="275">
        <v>0</v>
      </c>
      <c r="AR258" s="275">
        <v>0</v>
      </c>
      <c r="AS258" s="1112">
        <v>10443</v>
      </c>
      <c r="AT258" s="1112">
        <v>30617</v>
      </c>
      <c r="AU258" s="1112">
        <v>11730</v>
      </c>
      <c r="AV258" s="275">
        <v>0</v>
      </c>
      <c r="AW258" s="1112">
        <v>58644</v>
      </c>
      <c r="AX258" s="1112">
        <v>16872</v>
      </c>
      <c r="AY258" s="1112">
        <v>15348</v>
      </c>
      <c r="AZ258" s="275">
        <v>0</v>
      </c>
      <c r="BA258" s="275">
        <v>0</v>
      </c>
      <c r="BB258" s="275">
        <v>0</v>
      </c>
      <c r="BC258" s="1112">
        <v>12642</v>
      </c>
      <c r="BD258" s="275">
        <v>0</v>
      </c>
      <c r="BE258" s="275">
        <v>0</v>
      </c>
      <c r="BF258" s="1112">
        <v>106276</v>
      </c>
      <c r="BG258" s="1112">
        <v>26568</v>
      </c>
      <c r="BH258" s="275">
        <v>0</v>
      </c>
      <c r="BI258" s="1112">
        <v>35179</v>
      </c>
      <c r="BJ258" s="275">
        <v>0</v>
      </c>
      <c r="BK258" s="275">
        <v>0</v>
      </c>
      <c r="BL258" s="1112">
        <v>3784</v>
      </c>
      <c r="BM258" s="275">
        <v>0</v>
      </c>
      <c r="BN258" s="275">
        <v>0</v>
      </c>
      <c r="BO258" s="275">
        <v>0</v>
      </c>
      <c r="BP258" s="1112">
        <v>26136</v>
      </c>
      <c r="BQ258" s="1112">
        <v>555023</v>
      </c>
      <c r="BR258" s="275">
        <v>0</v>
      </c>
      <c r="BS258" s="1112">
        <v>21632</v>
      </c>
    </row>
    <row r="259" spans="1:71" x14ac:dyDescent="0.3">
      <c r="A259" s="275">
        <v>599</v>
      </c>
      <c r="B259" s="275">
        <v>599</v>
      </c>
      <c r="C259" s="275" t="s">
        <v>679</v>
      </c>
      <c r="D259" s="275"/>
      <c r="E259" s="1112">
        <v>879247</v>
      </c>
      <c r="F259" s="1112">
        <v>449580</v>
      </c>
      <c r="G259" s="275">
        <v>0</v>
      </c>
      <c r="H259" s="1112">
        <v>1857649</v>
      </c>
      <c r="I259" s="275">
        <v>0</v>
      </c>
      <c r="J259" s="1112">
        <v>42564</v>
      </c>
      <c r="K259" s="1112">
        <v>230338</v>
      </c>
      <c r="L259" s="275">
        <v>0</v>
      </c>
      <c r="M259" s="1112">
        <v>2560742</v>
      </c>
      <c r="N259" s="275">
        <v>0</v>
      </c>
      <c r="O259" s="1112">
        <v>931559</v>
      </c>
      <c r="P259" s="275">
        <v>0</v>
      </c>
      <c r="Q259" s="1112">
        <v>3806397</v>
      </c>
      <c r="R259" s="1112">
        <v>7833179</v>
      </c>
      <c r="S259" s="275">
        <v>0</v>
      </c>
      <c r="T259" s="275">
        <v>0</v>
      </c>
      <c r="U259" s="1112">
        <v>453628</v>
      </c>
      <c r="V259" s="275">
        <v>0</v>
      </c>
      <c r="W259" s="275">
        <v>0</v>
      </c>
      <c r="X259" s="275">
        <v>0</v>
      </c>
      <c r="Y259" s="1112">
        <v>633819</v>
      </c>
      <c r="Z259" s="1112">
        <v>134109</v>
      </c>
      <c r="AA259" s="1112">
        <v>4671</v>
      </c>
      <c r="AB259" s="1112">
        <v>17174</v>
      </c>
      <c r="AC259" s="1112">
        <v>218726</v>
      </c>
      <c r="AD259" s="1112">
        <v>283833</v>
      </c>
      <c r="AE259" s="275">
        <v>0</v>
      </c>
      <c r="AF259" s="275">
        <v>0</v>
      </c>
      <c r="AG259" s="275">
        <v>0</v>
      </c>
      <c r="AH259" s="1112">
        <v>514251</v>
      </c>
      <c r="AI259" s="1112">
        <v>182642</v>
      </c>
      <c r="AJ259" s="1112">
        <v>122709</v>
      </c>
      <c r="AK259" s="1112">
        <v>733997</v>
      </c>
      <c r="AL259" s="275">
        <v>0</v>
      </c>
      <c r="AM259" s="275">
        <v>0</v>
      </c>
      <c r="AN259" s="1112">
        <v>267700</v>
      </c>
      <c r="AO259" s="275">
        <v>0</v>
      </c>
      <c r="AP259" s="1112">
        <v>387197</v>
      </c>
      <c r="AQ259" s="275">
        <v>0</v>
      </c>
      <c r="AR259" s="1112">
        <v>6041</v>
      </c>
      <c r="AS259" s="1112">
        <v>131200</v>
      </c>
      <c r="AT259" s="1112">
        <v>489859</v>
      </c>
      <c r="AU259" s="1112">
        <v>150082</v>
      </c>
      <c r="AV259" s="275">
        <v>0</v>
      </c>
      <c r="AW259" s="1112">
        <v>725721</v>
      </c>
      <c r="AX259" s="1112">
        <v>79862</v>
      </c>
      <c r="AY259" s="1112">
        <v>300950</v>
      </c>
      <c r="AZ259" s="275">
        <v>0</v>
      </c>
      <c r="BA259" s="275">
        <v>0</v>
      </c>
      <c r="BB259" s="1112">
        <v>186521</v>
      </c>
      <c r="BC259" s="1112">
        <v>156456</v>
      </c>
      <c r="BD259" s="275">
        <v>0</v>
      </c>
      <c r="BE259" s="275">
        <v>0</v>
      </c>
      <c r="BF259" s="1112">
        <v>1299713</v>
      </c>
      <c r="BG259" s="1112">
        <v>189967</v>
      </c>
      <c r="BH259" s="275">
        <v>0</v>
      </c>
      <c r="BI259" s="1112">
        <v>506819</v>
      </c>
      <c r="BJ259" s="275">
        <v>0</v>
      </c>
      <c r="BK259" s="1112">
        <v>90351</v>
      </c>
      <c r="BL259" s="1112">
        <v>1934</v>
      </c>
      <c r="BM259" s="275">
        <v>0</v>
      </c>
      <c r="BN259" s="1112">
        <v>91516</v>
      </c>
      <c r="BO259" s="1112">
        <v>38112</v>
      </c>
      <c r="BP259" s="1112">
        <v>191672</v>
      </c>
      <c r="BQ259" s="1112">
        <v>6296757</v>
      </c>
      <c r="BR259" s="1112">
        <v>279341</v>
      </c>
      <c r="BS259" s="1112">
        <v>273439</v>
      </c>
    </row>
    <row r="260" spans="1:71" x14ac:dyDescent="0.3">
      <c r="A260" s="275"/>
      <c r="B260" s="275">
        <v>600</v>
      </c>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75"/>
      <c r="AE260" s="275"/>
      <c r="AF260" s="275"/>
      <c r="AG260" s="275"/>
      <c r="AH260" s="275"/>
      <c r="AI260" s="275"/>
      <c r="AJ260" s="275"/>
      <c r="AK260" s="275"/>
      <c r="AL260" s="275"/>
      <c r="AM260" s="275"/>
      <c r="AN260" s="275"/>
      <c r="AO260" s="275"/>
      <c r="AP260" s="275"/>
      <c r="AQ260" s="275"/>
      <c r="AR260" s="275"/>
      <c r="AS260" s="275"/>
      <c r="AT260" s="275"/>
      <c r="AU260" s="275"/>
      <c r="AV260" s="275"/>
      <c r="AW260" s="275"/>
      <c r="AX260" s="275"/>
      <c r="AY260" s="275"/>
      <c r="AZ260" s="275"/>
      <c r="BA260" s="275"/>
      <c r="BB260" s="275"/>
      <c r="BC260" s="275"/>
      <c r="BD260" s="275"/>
      <c r="BE260" s="275"/>
      <c r="BF260" s="275"/>
      <c r="BG260" s="275"/>
      <c r="BH260" s="275"/>
      <c r="BI260" s="275"/>
      <c r="BJ260" s="275"/>
      <c r="BK260" s="275"/>
      <c r="BL260" s="275"/>
      <c r="BM260" s="275"/>
      <c r="BN260" s="275"/>
      <c r="BO260" s="275"/>
      <c r="BP260" s="275"/>
      <c r="BQ260" s="275"/>
      <c r="BR260" s="275"/>
      <c r="BS260" s="275"/>
    </row>
    <row r="261" spans="1:71" x14ac:dyDescent="0.3">
      <c r="A261" s="275"/>
      <c r="B261" s="275">
        <v>601</v>
      </c>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75"/>
      <c r="AE261" s="275"/>
      <c r="AF261" s="275"/>
      <c r="AG261" s="275"/>
      <c r="AH261" s="275"/>
      <c r="AI261" s="275"/>
      <c r="AJ261" s="275"/>
      <c r="AK261" s="275"/>
      <c r="AL261" s="275"/>
      <c r="AM261" s="275"/>
      <c r="AN261" s="275"/>
      <c r="AO261" s="275"/>
      <c r="AP261" s="275"/>
      <c r="AQ261" s="275"/>
      <c r="AR261" s="275"/>
      <c r="AS261" s="275"/>
      <c r="AT261" s="275"/>
      <c r="AU261" s="275"/>
      <c r="AV261" s="275"/>
      <c r="AW261" s="275"/>
      <c r="AX261" s="275"/>
      <c r="AY261" s="275"/>
      <c r="AZ261" s="275"/>
      <c r="BA261" s="275"/>
      <c r="BB261" s="275"/>
      <c r="BC261" s="275"/>
      <c r="BD261" s="275"/>
      <c r="BE261" s="275"/>
      <c r="BF261" s="275"/>
      <c r="BG261" s="275"/>
      <c r="BH261" s="275"/>
      <c r="BI261" s="275"/>
      <c r="BJ261" s="275"/>
      <c r="BK261" s="275"/>
      <c r="BL261" s="275"/>
      <c r="BM261" s="275"/>
      <c r="BN261" s="275"/>
      <c r="BO261" s="275"/>
      <c r="BP261" s="275"/>
      <c r="BQ261" s="275"/>
      <c r="BR261" s="275"/>
      <c r="BS261" s="275"/>
    </row>
    <row r="262" spans="1:71" x14ac:dyDescent="0.3">
      <c r="A262" s="275">
        <v>602</v>
      </c>
      <c r="B262" s="275">
        <v>602</v>
      </c>
      <c r="C262" s="275" t="s">
        <v>706</v>
      </c>
      <c r="D262" s="275"/>
      <c r="E262" s="275">
        <v>0</v>
      </c>
      <c r="F262" s="275">
        <v>0</v>
      </c>
      <c r="G262" s="275">
        <v>0</v>
      </c>
      <c r="H262" s="275">
        <v>0</v>
      </c>
      <c r="I262" s="275">
        <v>0</v>
      </c>
      <c r="J262" s="275">
        <v>0</v>
      </c>
      <c r="K262" s="275">
        <v>0</v>
      </c>
      <c r="L262" s="275">
        <v>0</v>
      </c>
      <c r="M262" s="275">
        <v>0</v>
      </c>
      <c r="N262" s="275">
        <v>0</v>
      </c>
      <c r="O262" s="275">
        <v>0</v>
      </c>
      <c r="P262" s="275">
        <v>0</v>
      </c>
      <c r="Q262" s="275">
        <v>0</v>
      </c>
      <c r="R262" s="275">
        <v>0</v>
      </c>
      <c r="S262" s="275">
        <v>0</v>
      </c>
      <c r="T262" s="275">
        <v>0</v>
      </c>
      <c r="U262" s="275">
        <v>0</v>
      </c>
      <c r="V262" s="275">
        <v>0</v>
      </c>
      <c r="W262" s="275">
        <v>0</v>
      </c>
      <c r="X262" s="275">
        <v>0</v>
      </c>
      <c r="Y262" s="275">
        <v>0</v>
      </c>
      <c r="Z262" s="275">
        <v>0</v>
      </c>
      <c r="AA262" s="275">
        <v>0</v>
      </c>
      <c r="AB262" s="275">
        <v>0</v>
      </c>
      <c r="AC262" s="275">
        <v>0</v>
      </c>
      <c r="AD262" s="275">
        <v>0</v>
      </c>
      <c r="AE262" s="275">
        <v>0</v>
      </c>
      <c r="AF262" s="275">
        <v>0</v>
      </c>
      <c r="AG262" s="275">
        <v>0</v>
      </c>
      <c r="AH262" s="275">
        <v>0</v>
      </c>
      <c r="AI262" s="275">
        <v>0</v>
      </c>
      <c r="AJ262" s="275">
        <v>0</v>
      </c>
      <c r="AK262" s="275">
        <v>0</v>
      </c>
      <c r="AL262" s="275">
        <v>0</v>
      </c>
      <c r="AM262" s="275">
        <v>0</v>
      </c>
      <c r="AN262" s="275">
        <v>0</v>
      </c>
      <c r="AO262" s="275">
        <v>0</v>
      </c>
      <c r="AP262" s="275">
        <v>0</v>
      </c>
      <c r="AQ262" s="275">
        <v>0</v>
      </c>
      <c r="AR262" s="275">
        <v>0</v>
      </c>
      <c r="AS262" s="275">
        <v>0</v>
      </c>
      <c r="AT262" s="275">
        <v>0</v>
      </c>
      <c r="AU262" s="275">
        <v>0</v>
      </c>
      <c r="AV262" s="275">
        <v>0</v>
      </c>
      <c r="AW262" s="275">
        <v>0</v>
      </c>
      <c r="AX262" s="275">
        <v>0</v>
      </c>
      <c r="AY262" s="275">
        <v>0</v>
      </c>
      <c r="AZ262" s="275">
        <v>0</v>
      </c>
      <c r="BA262" s="275">
        <v>0</v>
      </c>
      <c r="BB262" s="275">
        <v>0</v>
      </c>
      <c r="BC262" s="275">
        <v>0</v>
      </c>
      <c r="BD262" s="275">
        <v>0</v>
      </c>
      <c r="BE262" s="275">
        <v>0</v>
      </c>
      <c r="BF262" s="275">
        <v>0</v>
      </c>
      <c r="BG262" s="275">
        <v>0</v>
      </c>
      <c r="BH262" s="275">
        <v>0</v>
      </c>
      <c r="BI262" s="275">
        <v>0</v>
      </c>
      <c r="BJ262" s="275">
        <v>0</v>
      </c>
      <c r="BK262" s="275">
        <v>0</v>
      </c>
      <c r="BL262" s="275">
        <v>0</v>
      </c>
      <c r="BM262" s="275">
        <v>0</v>
      </c>
      <c r="BN262" s="275">
        <v>0</v>
      </c>
      <c r="BO262" s="275">
        <v>0</v>
      </c>
      <c r="BP262" s="275">
        <v>0</v>
      </c>
      <c r="BQ262" s="275">
        <v>0</v>
      </c>
      <c r="BR262" s="275">
        <v>0</v>
      </c>
      <c r="BS262" s="275">
        <v>0</v>
      </c>
    </row>
    <row r="263" spans="1:71" ht="172.8" x14ac:dyDescent="0.3">
      <c r="A263" s="275">
        <v>603</v>
      </c>
      <c r="B263" s="275">
        <v>603</v>
      </c>
      <c r="C263" s="967" t="s">
        <v>693</v>
      </c>
      <c r="D263" s="275"/>
      <c r="E263" s="275">
        <v>4</v>
      </c>
      <c r="F263" s="275">
        <v>1</v>
      </c>
      <c r="G263" s="275">
        <v>2</v>
      </c>
      <c r="H263" s="275">
        <v>1</v>
      </c>
      <c r="I263" s="275">
        <v>2</v>
      </c>
      <c r="J263" s="275">
        <v>1</v>
      </c>
      <c r="K263" s="275">
        <v>2</v>
      </c>
      <c r="L263" s="275">
        <v>2</v>
      </c>
      <c r="M263" s="275">
        <v>2</v>
      </c>
      <c r="N263" s="275">
        <v>2</v>
      </c>
      <c r="O263" s="275">
        <v>1</v>
      </c>
      <c r="P263" s="275">
        <v>1</v>
      </c>
      <c r="Q263" s="275">
        <v>1</v>
      </c>
      <c r="R263" s="275">
        <v>2</v>
      </c>
      <c r="S263" s="275">
        <v>0</v>
      </c>
      <c r="T263" s="275">
        <v>5</v>
      </c>
      <c r="U263" s="275">
        <v>1</v>
      </c>
      <c r="V263" s="275">
        <v>2</v>
      </c>
      <c r="W263" s="275">
        <v>1</v>
      </c>
      <c r="X263" s="275">
        <v>2</v>
      </c>
      <c r="Y263" s="275">
        <v>2</v>
      </c>
      <c r="Z263" s="275">
        <v>4</v>
      </c>
      <c r="AA263" s="275">
        <v>2</v>
      </c>
      <c r="AB263" s="275">
        <v>1</v>
      </c>
      <c r="AC263" s="275">
        <v>1</v>
      </c>
      <c r="AD263" s="275">
        <v>1</v>
      </c>
      <c r="AE263" s="275">
        <v>4</v>
      </c>
      <c r="AF263" s="275">
        <v>1</v>
      </c>
      <c r="AG263" s="275">
        <v>4</v>
      </c>
      <c r="AH263" s="275">
        <v>1</v>
      </c>
      <c r="AI263" s="275">
        <v>1</v>
      </c>
      <c r="AJ263" s="275">
        <v>4</v>
      </c>
      <c r="AK263" s="275">
        <v>4</v>
      </c>
      <c r="AL263" s="275">
        <v>0</v>
      </c>
      <c r="AM263" s="275">
        <v>2</v>
      </c>
      <c r="AN263" s="275">
        <v>0</v>
      </c>
      <c r="AO263" s="275">
        <v>2</v>
      </c>
      <c r="AP263" s="275">
        <v>2</v>
      </c>
      <c r="AQ263" s="275">
        <v>1</v>
      </c>
      <c r="AR263" s="275">
        <v>4</v>
      </c>
      <c r="AS263" s="275">
        <v>2</v>
      </c>
      <c r="AT263" s="275">
        <v>2</v>
      </c>
      <c r="AU263" s="275">
        <v>1</v>
      </c>
      <c r="AV263" s="275">
        <v>0</v>
      </c>
      <c r="AW263" s="275">
        <v>2</v>
      </c>
      <c r="AX263" s="275">
        <v>2</v>
      </c>
      <c r="AY263" s="275">
        <v>2</v>
      </c>
      <c r="AZ263" s="275">
        <v>2</v>
      </c>
      <c r="BA263" s="275">
        <v>2</v>
      </c>
      <c r="BB263" s="275">
        <v>1</v>
      </c>
      <c r="BC263" s="275">
        <v>2</v>
      </c>
      <c r="BD263" s="275">
        <v>1</v>
      </c>
      <c r="BE263" s="275">
        <v>5</v>
      </c>
      <c r="BF263" s="275">
        <v>1</v>
      </c>
      <c r="BG263" s="275">
        <v>1</v>
      </c>
      <c r="BH263" s="275">
        <v>1</v>
      </c>
      <c r="BI263" s="275">
        <v>1</v>
      </c>
      <c r="BJ263" s="275">
        <v>1</v>
      </c>
      <c r="BK263" s="275">
        <v>2</v>
      </c>
      <c r="BL263" s="275">
        <v>2</v>
      </c>
      <c r="BM263" s="275">
        <v>1</v>
      </c>
      <c r="BN263" s="275">
        <v>4</v>
      </c>
      <c r="BO263" s="275">
        <v>4</v>
      </c>
      <c r="BP263" s="275">
        <v>1</v>
      </c>
      <c r="BQ263" s="275">
        <v>1</v>
      </c>
      <c r="BR263" s="275">
        <v>4</v>
      </c>
      <c r="BS263" s="275">
        <v>1</v>
      </c>
    </row>
    <row r="264" spans="1:71" ht="115.2" x14ac:dyDescent="0.3">
      <c r="A264" s="275"/>
      <c r="B264" s="275">
        <v>604</v>
      </c>
      <c r="C264" s="967" t="s">
        <v>694</v>
      </c>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75"/>
      <c r="AE264" s="275"/>
      <c r="AF264" s="275"/>
      <c r="AG264" s="275"/>
      <c r="AH264" s="275"/>
      <c r="AI264" s="275"/>
      <c r="AJ264" s="275"/>
      <c r="AK264" s="275"/>
      <c r="AL264" s="275"/>
      <c r="AM264" s="275"/>
      <c r="AN264" s="275"/>
      <c r="AO264" s="275"/>
      <c r="AP264" s="275"/>
      <c r="AQ264" s="275"/>
      <c r="AR264" s="275"/>
      <c r="AS264" s="275"/>
      <c r="AT264" s="275"/>
      <c r="AU264" s="275"/>
      <c r="AV264" s="275"/>
      <c r="AW264" s="275"/>
      <c r="AX264" s="275"/>
      <c r="AY264" s="275"/>
      <c r="AZ264" s="275"/>
      <c r="BA264" s="275"/>
      <c r="BB264" s="275"/>
      <c r="BC264" s="275"/>
      <c r="BD264" s="275"/>
      <c r="BE264" s="275"/>
      <c r="BF264" s="275"/>
      <c r="BG264" s="275"/>
      <c r="BH264" s="275"/>
      <c r="BI264" s="275"/>
      <c r="BJ264" s="275"/>
      <c r="BK264" s="275"/>
      <c r="BL264" s="275"/>
      <c r="BM264" s="275"/>
      <c r="BN264" s="275"/>
      <c r="BO264" s="275"/>
      <c r="BP264" s="275"/>
      <c r="BQ264" s="275"/>
      <c r="BR264" s="275"/>
      <c r="BS264" s="275"/>
    </row>
    <row r="265" spans="1:71" x14ac:dyDescent="0.3">
      <c r="A265" s="275">
        <v>605</v>
      </c>
      <c r="B265" s="275">
        <v>605</v>
      </c>
      <c r="C265" s="275" t="s">
        <v>696</v>
      </c>
      <c r="D265" s="275"/>
      <c r="E265" s="275">
        <v>1</v>
      </c>
      <c r="F265" s="275">
        <v>1</v>
      </c>
      <c r="G265" s="275">
        <v>1</v>
      </c>
      <c r="H265" s="275">
        <v>1</v>
      </c>
      <c r="I265" s="275">
        <v>1</v>
      </c>
      <c r="J265" s="275">
        <v>1</v>
      </c>
      <c r="K265" s="275">
        <v>1</v>
      </c>
      <c r="L265" s="275">
        <v>1</v>
      </c>
      <c r="M265" s="275">
        <v>1</v>
      </c>
      <c r="N265" s="275">
        <v>1</v>
      </c>
      <c r="O265" s="275">
        <v>1</v>
      </c>
      <c r="P265" s="275">
        <v>1</v>
      </c>
      <c r="Q265" s="275">
        <v>1</v>
      </c>
      <c r="R265" s="275">
        <v>1</v>
      </c>
      <c r="S265" s="275">
        <v>0</v>
      </c>
      <c r="T265" s="275">
        <v>1</v>
      </c>
      <c r="U265" s="275">
        <v>1</v>
      </c>
      <c r="V265" s="275">
        <v>1</v>
      </c>
      <c r="W265" s="275">
        <v>1</v>
      </c>
      <c r="X265" s="275">
        <v>1</v>
      </c>
      <c r="Y265" s="275">
        <v>1</v>
      </c>
      <c r="Z265" s="275">
        <v>1</v>
      </c>
      <c r="AA265" s="275">
        <v>1</v>
      </c>
      <c r="AB265" s="275">
        <v>1</v>
      </c>
      <c r="AC265" s="275">
        <v>1</v>
      </c>
      <c r="AD265" s="275">
        <v>1</v>
      </c>
      <c r="AE265" s="275">
        <v>1</v>
      </c>
      <c r="AF265" s="275">
        <v>1</v>
      </c>
      <c r="AG265" s="275">
        <v>1</v>
      </c>
      <c r="AH265" s="275">
        <v>1</v>
      </c>
      <c r="AI265" s="275">
        <v>1</v>
      </c>
      <c r="AJ265" s="275">
        <v>1</v>
      </c>
      <c r="AK265" s="275">
        <v>1</v>
      </c>
      <c r="AL265" s="275">
        <v>0</v>
      </c>
      <c r="AM265" s="275">
        <v>1</v>
      </c>
      <c r="AN265" s="275">
        <v>0</v>
      </c>
      <c r="AO265" s="275">
        <v>1</v>
      </c>
      <c r="AP265" s="275">
        <v>1</v>
      </c>
      <c r="AQ265" s="275">
        <v>1</v>
      </c>
      <c r="AR265" s="275">
        <v>1</v>
      </c>
      <c r="AS265" s="275">
        <v>1</v>
      </c>
      <c r="AT265" s="275">
        <v>1</v>
      </c>
      <c r="AU265" s="275">
        <v>1</v>
      </c>
      <c r="AV265" s="275">
        <v>0</v>
      </c>
      <c r="AW265" s="275">
        <v>1</v>
      </c>
      <c r="AX265" s="275">
        <v>1</v>
      </c>
      <c r="AY265" s="275">
        <v>1</v>
      </c>
      <c r="AZ265" s="275">
        <v>1</v>
      </c>
      <c r="BA265" s="275">
        <v>1</v>
      </c>
      <c r="BB265" s="275">
        <v>1</v>
      </c>
      <c r="BC265" s="275">
        <v>1</v>
      </c>
      <c r="BD265" s="275">
        <v>1</v>
      </c>
      <c r="BE265" s="275">
        <v>1</v>
      </c>
      <c r="BF265" s="275">
        <v>1</v>
      </c>
      <c r="BG265" s="275">
        <v>1</v>
      </c>
      <c r="BH265" s="275">
        <v>1</v>
      </c>
      <c r="BI265" s="275">
        <v>1</v>
      </c>
      <c r="BJ265" s="275">
        <v>1</v>
      </c>
      <c r="BK265" s="275">
        <v>1</v>
      </c>
      <c r="BL265" s="275">
        <v>1</v>
      </c>
      <c r="BM265" s="275">
        <v>1</v>
      </c>
      <c r="BN265" s="275">
        <v>1</v>
      </c>
      <c r="BO265" s="275">
        <v>1</v>
      </c>
      <c r="BP265" s="275">
        <v>1</v>
      </c>
      <c r="BQ265" s="275">
        <v>1</v>
      </c>
      <c r="BR265" s="275">
        <v>1</v>
      </c>
      <c r="BS265" s="275">
        <v>1</v>
      </c>
    </row>
    <row r="266" spans="1:71" x14ac:dyDescent="0.3">
      <c r="A266" s="275">
        <v>606</v>
      </c>
      <c r="B266" s="275">
        <v>606</v>
      </c>
      <c r="C266" s="275" t="s">
        <v>714</v>
      </c>
      <c r="D266" s="275"/>
      <c r="E266" s="275">
        <v>0</v>
      </c>
      <c r="F266" s="275">
        <v>0</v>
      </c>
      <c r="G266" s="275">
        <v>0</v>
      </c>
      <c r="H266" s="275">
        <v>1</v>
      </c>
      <c r="I266" s="275">
        <v>0</v>
      </c>
      <c r="J266" s="275">
        <v>0</v>
      </c>
      <c r="K266" s="275">
        <v>0</v>
      </c>
      <c r="L266" s="275">
        <v>0</v>
      </c>
      <c r="M266" s="275">
        <v>1</v>
      </c>
      <c r="N266" s="275">
        <v>0</v>
      </c>
      <c r="O266" s="275">
        <v>0</v>
      </c>
      <c r="P266" s="275">
        <v>0</v>
      </c>
      <c r="Q266" s="275">
        <v>1</v>
      </c>
      <c r="R266" s="275">
        <v>1</v>
      </c>
      <c r="S266" s="275">
        <v>0</v>
      </c>
      <c r="T266" s="275">
        <v>0</v>
      </c>
      <c r="U266" s="275">
        <v>0</v>
      </c>
      <c r="V266" s="275">
        <v>1</v>
      </c>
      <c r="W266" s="275">
        <v>0</v>
      </c>
      <c r="X266" s="275">
        <v>0</v>
      </c>
      <c r="Y266" s="275">
        <v>1</v>
      </c>
      <c r="Z266" s="275">
        <v>0</v>
      </c>
      <c r="AA266" s="275">
        <v>0</v>
      </c>
      <c r="AB266" s="275">
        <v>0</v>
      </c>
      <c r="AC266" s="275">
        <v>0</v>
      </c>
      <c r="AD266" s="275">
        <v>0</v>
      </c>
      <c r="AE266" s="275">
        <v>0</v>
      </c>
      <c r="AF266" s="275">
        <v>0</v>
      </c>
      <c r="AG266" s="275">
        <v>0</v>
      </c>
      <c r="AH266" s="275">
        <v>1</v>
      </c>
      <c r="AI266" s="275">
        <v>0</v>
      </c>
      <c r="AJ266" s="275">
        <v>0</v>
      </c>
      <c r="AK266" s="275">
        <v>1</v>
      </c>
      <c r="AL266" s="275">
        <v>0</v>
      </c>
      <c r="AM266" s="275">
        <v>0</v>
      </c>
      <c r="AN266" s="275">
        <v>1</v>
      </c>
      <c r="AO266" s="275">
        <v>0</v>
      </c>
      <c r="AP266" s="275">
        <v>0</v>
      </c>
      <c r="AQ266" s="275">
        <v>0</v>
      </c>
      <c r="AR266" s="275">
        <v>0</v>
      </c>
      <c r="AS266" s="275">
        <v>0</v>
      </c>
      <c r="AT266" s="275">
        <v>0</v>
      </c>
      <c r="AU266" s="275">
        <v>0</v>
      </c>
      <c r="AV266" s="275">
        <v>0</v>
      </c>
      <c r="AW266" s="275">
        <v>0</v>
      </c>
      <c r="AX266" s="275">
        <v>0</v>
      </c>
      <c r="AY266" s="275">
        <v>0</v>
      </c>
      <c r="AZ266" s="275">
        <v>0</v>
      </c>
      <c r="BA266" s="275">
        <v>0</v>
      </c>
      <c r="BB266" s="275">
        <v>1</v>
      </c>
      <c r="BC266" s="275">
        <v>0</v>
      </c>
      <c r="BD266" s="275">
        <v>0</v>
      </c>
      <c r="BE266" s="275">
        <v>0</v>
      </c>
      <c r="BF266" s="275">
        <v>1</v>
      </c>
      <c r="BG266" s="275">
        <v>0</v>
      </c>
      <c r="BH266" s="275">
        <v>0</v>
      </c>
      <c r="BI266" s="275">
        <v>0</v>
      </c>
      <c r="BJ266" s="275">
        <v>0</v>
      </c>
      <c r="BK266" s="275">
        <v>0</v>
      </c>
      <c r="BL266" s="275">
        <v>0</v>
      </c>
      <c r="BM266" s="275">
        <v>0</v>
      </c>
      <c r="BN266" s="275">
        <v>0</v>
      </c>
      <c r="BO266" s="275">
        <v>0</v>
      </c>
      <c r="BP266" s="275">
        <v>0</v>
      </c>
      <c r="BQ266" s="275">
        <v>1</v>
      </c>
      <c r="BR266" s="275">
        <v>1</v>
      </c>
      <c r="BS266" s="275">
        <v>1</v>
      </c>
    </row>
    <row r="267" spans="1:71" x14ac:dyDescent="0.3">
      <c r="A267" s="275">
        <v>607</v>
      </c>
      <c r="B267" s="275">
        <v>607</v>
      </c>
      <c r="C267" s="275" t="s">
        <v>686</v>
      </c>
      <c r="D267" s="275"/>
      <c r="E267" s="1113">
        <v>3433421</v>
      </c>
      <c r="F267" s="1113">
        <v>3402489</v>
      </c>
      <c r="G267" s="275">
        <v>0</v>
      </c>
      <c r="H267" s="1113">
        <v>12117784</v>
      </c>
      <c r="I267" s="275">
        <v>0</v>
      </c>
      <c r="J267" s="275">
        <v>0</v>
      </c>
      <c r="K267" s="1113">
        <v>279388</v>
      </c>
      <c r="L267" s="275">
        <v>0</v>
      </c>
      <c r="M267" s="1113">
        <v>33954558</v>
      </c>
      <c r="N267" s="275">
        <v>0</v>
      </c>
      <c r="O267" s="1113">
        <v>294938</v>
      </c>
      <c r="P267" s="275">
        <v>0</v>
      </c>
      <c r="Q267" s="1113">
        <v>17020671</v>
      </c>
      <c r="R267" s="1113">
        <v>35797343</v>
      </c>
      <c r="S267" s="275">
        <v>0</v>
      </c>
      <c r="T267" s="275">
        <v>0</v>
      </c>
      <c r="U267" s="1113">
        <v>1446145</v>
      </c>
      <c r="V267" s="275">
        <v>0</v>
      </c>
      <c r="W267" s="275">
        <v>0</v>
      </c>
      <c r="X267" s="275">
        <v>0</v>
      </c>
      <c r="Y267" s="1113">
        <v>458602</v>
      </c>
      <c r="Z267" s="275">
        <v>0</v>
      </c>
      <c r="AA267" s="275">
        <v>0</v>
      </c>
      <c r="AB267" s="275">
        <v>0</v>
      </c>
      <c r="AC267" s="275">
        <v>0</v>
      </c>
      <c r="AD267" s="1113">
        <v>62447</v>
      </c>
      <c r="AE267" s="275">
        <v>0</v>
      </c>
      <c r="AF267" s="275">
        <v>0</v>
      </c>
      <c r="AG267" s="275">
        <v>0</v>
      </c>
      <c r="AH267" s="275">
        <v>0</v>
      </c>
      <c r="AI267" s="275">
        <v>0</v>
      </c>
      <c r="AJ267" s="1113">
        <v>371543</v>
      </c>
      <c r="AK267" s="1113">
        <v>2543184</v>
      </c>
      <c r="AL267" s="275">
        <v>0</v>
      </c>
      <c r="AM267" s="275">
        <v>0</v>
      </c>
      <c r="AN267" s="1113">
        <v>405762</v>
      </c>
      <c r="AO267" s="275">
        <v>0</v>
      </c>
      <c r="AP267" s="1113">
        <v>216396</v>
      </c>
      <c r="AQ267" s="275">
        <v>0</v>
      </c>
      <c r="AR267" s="275">
        <v>0</v>
      </c>
      <c r="AS267" s="275">
        <v>0</v>
      </c>
      <c r="AT267" s="275">
        <v>0</v>
      </c>
      <c r="AU267" s="275">
        <v>0</v>
      </c>
      <c r="AV267" s="275">
        <v>0</v>
      </c>
      <c r="AW267" s="275">
        <v>0</v>
      </c>
      <c r="AX267" s="275">
        <v>0</v>
      </c>
      <c r="AY267" s="275">
        <v>0</v>
      </c>
      <c r="AZ267" s="275">
        <v>0</v>
      </c>
      <c r="BA267" s="275">
        <v>0</v>
      </c>
      <c r="BB267" s="1113">
        <v>1316082</v>
      </c>
      <c r="BC267" s="275">
        <v>0</v>
      </c>
      <c r="BD267" s="275">
        <v>0</v>
      </c>
      <c r="BE267" s="275">
        <v>0</v>
      </c>
      <c r="BF267" s="1113">
        <v>6221331</v>
      </c>
      <c r="BG267" s="275">
        <v>0</v>
      </c>
      <c r="BH267" s="275">
        <v>0</v>
      </c>
      <c r="BI267" s="1113">
        <v>576311</v>
      </c>
      <c r="BJ267" s="275">
        <v>0</v>
      </c>
      <c r="BK267" s="275">
        <v>0</v>
      </c>
      <c r="BL267" s="275">
        <v>0</v>
      </c>
      <c r="BM267" s="275">
        <v>0</v>
      </c>
      <c r="BN267" s="275">
        <v>0</v>
      </c>
      <c r="BO267" s="275">
        <v>0</v>
      </c>
      <c r="BP267" s="275">
        <v>0</v>
      </c>
      <c r="BQ267" s="1113">
        <v>27816998</v>
      </c>
      <c r="BR267" s="1113">
        <v>3336671</v>
      </c>
      <c r="BS267" s="1113">
        <v>373544</v>
      </c>
    </row>
    <row r="268" spans="1:71" x14ac:dyDescent="0.3">
      <c r="A268" s="275">
        <v>608</v>
      </c>
      <c r="B268" s="275">
        <v>608</v>
      </c>
      <c r="C268" s="275" t="s">
        <v>687</v>
      </c>
      <c r="D268" s="275"/>
      <c r="E268" s="275">
        <v>0</v>
      </c>
      <c r="F268" s="275">
        <v>0</v>
      </c>
      <c r="G268" s="275">
        <v>0</v>
      </c>
      <c r="H268" s="275">
        <v>0</v>
      </c>
      <c r="I268" s="275">
        <v>0</v>
      </c>
      <c r="J268" s="275">
        <v>0</v>
      </c>
      <c r="K268" s="275">
        <v>0</v>
      </c>
      <c r="L268" s="275">
        <v>0</v>
      </c>
      <c r="M268" s="1113">
        <v>250000</v>
      </c>
      <c r="N268" s="275">
        <v>0</v>
      </c>
      <c r="O268" s="275">
        <v>0</v>
      </c>
      <c r="P268" s="275">
        <v>0</v>
      </c>
      <c r="Q268" s="275">
        <v>0</v>
      </c>
      <c r="R268" s="1113">
        <v>11741211</v>
      </c>
      <c r="S268" s="275">
        <v>0</v>
      </c>
      <c r="T268" s="275">
        <v>0</v>
      </c>
      <c r="U268" s="275">
        <v>0</v>
      </c>
      <c r="V268" s="275">
        <v>0</v>
      </c>
      <c r="W268" s="275">
        <v>0</v>
      </c>
      <c r="X268" s="275">
        <v>0</v>
      </c>
      <c r="Y268" s="275">
        <v>0</v>
      </c>
      <c r="Z268" s="275">
        <v>0</v>
      </c>
      <c r="AA268" s="275">
        <v>0</v>
      </c>
      <c r="AB268" s="275">
        <v>0</v>
      </c>
      <c r="AC268" s="275">
        <v>0</v>
      </c>
      <c r="AD268" s="275">
        <v>0</v>
      </c>
      <c r="AE268" s="275">
        <v>0</v>
      </c>
      <c r="AF268" s="275">
        <v>0</v>
      </c>
      <c r="AG268" s="275">
        <v>0</v>
      </c>
      <c r="AH268" s="275">
        <v>0</v>
      </c>
      <c r="AI268" s="275">
        <v>0</v>
      </c>
      <c r="AJ268" s="275">
        <v>0</v>
      </c>
      <c r="AK268" s="275">
        <v>0</v>
      </c>
      <c r="AL268" s="275">
        <v>0</v>
      </c>
      <c r="AM268" s="275">
        <v>0</v>
      </c>
      <c r="AN268" s="275">
        <v>0</v>
      </c>
      <c r="AO268" s="275">
        <v>0</v>
      </c>
      <c r="AP268" s="275">
        <v>0</v>
      </c>
      <c r="AQ268" s="275">
        <v>0</v>
      </c>
      <c r="AR268" s="275">
        <v>0</v>
      </c>
      <c r="AS268" s="275">
        <v>0</v>
      </c>
      <c r="AT268" s="275">
        <v>0</v>
      </c>
      <c r="AU268" s="275">
        <v>0</v>
      </c>
      <c r="AV268" s="275">
        <v>0</v>
      </c>
      <c r="AW268" s="275">
        <v>0</v>
      </c>
      <c r="AX268" s="275">
        <v>0</v>
      </c>
      <c r="AY268" s="275">
        <v>0</v>
      </c>
      <c r="AZ268" s="275">
        <v>0</v>
      </c>
      <c r="BA268" s="275">
        <v>0</v>
      </c>
      <c r="BB268" s="275">
        <v>0</v>
      </c>
      <c r="BC268" s="275">
        <v>0</v>
      </c>
      <c r="BD268" s="275">
        <v>0</v>
      </c>
      <c r="BE268" s="275">
        <v>0</v>
      </c>
      <c r="BF268" s="275">
        <v>0</v>
      </c>
      <c r="BG268" s="275">
        <v>0</v>
      </c>
      <c r="BH268" s="275">
        <v>0</v>
      </c>
      <c r="BI268" s="1113">
        <v>236469</v>
      </c>
      <c r="BJ268" s="275">
        <v>0</v>
      </c>
      <c r="BK268" s="275">
        <v>0</v>
      </c>
      <c r="BL268" s="275">
        <v>0</v>
      </c>
      <c r="BM268" s="275">
        <v>0</v>
      </c>
      <c r="BN268" s="275">
        <v>0</v>
      </c>
      <c r="BO268" s="275">
        <v>0</v>
      </c>
      <c r="BP268" s="275">
        <v>0</v>
      </c>
      <c r="BQ268" s="275">
        <v>0</v>
      </c>
      <c r="BR268" s="275">
        <v>0</v>
      </c>
      <c r="BS268" s="275">
        <v>0</v>
      </c>
    </row>
    <row r="269" spans="1:71" x14ac:dyDescent="0.3">
      <c r="A269" s="275">
        <v>609</v>
      </c>
      <c r="B269" s="275">
        <v>609</v>
      </c>
      <c r="C269" s="275" t="s">
        <v>707</v>
      </c>
      <c r="D269" s="275"/>
      <c r="E269" s="275">
        <v>0</v>
      </c>
      <c r="F269" s="275">
        <v>0</v>
      </c>
      <c r="G269" s="275">
        <v>0</v>
      </c>
      <c r="H269" s="275">
        <v>0</v>
      </c>
      <c r="I269" s="275">
        <v>0</v>
      </c>
      <c r="J269" s="275">
        <v>0</v>
      </c>
      <c r="K269" s="275">
        <v>0</v>
      </c>
      <c r="L269" s="275">
        <v>0</v>
      </c>
      <c r="M269" s="275">
        <v>0.7</v>
      </c>
      <c r="N269" s="275">
        <v>0</v>
      </c>
      <c r="O269" s="275">
        <v>0</v>
      </c>
      <c r="P269" s="275">
        <v>0</v>
      </c>
      <c r="Q269" s="275">
        <v>0</v>
      </c>
      <c r="R269" s="275">
        <v>32.799999999999997</v>
      </c>
      <c r="S269" s="275">
        <v>0</v>
      </c>
      <c r="T269" s="275">
        <v>0</v>
      </c>
      <c r="U269" s="275">
        <v>0</v>
      </c>
      <c r="V269" s="275">
        <v>0</v>
      </c>
      <c r="W269" s="275">
        <v>0</v>
      </c>
      <c r="X269" s="275">
        <v>0</v>
      </c>
      <c r="Y269" s="275">
        <v>0</v>
      </c>
      <c r="Z269" s="275">
        <v>0</v>
      </c>
      <c r="AA269" s="275">
        <v>0</v>
      </c>
      <c r="AB269" s="275">
        <v>0</v>
      </c>
      <c r="AC269" s="275">
        <v>0</v>
      </c>
      <c r="AD269" s="275">
        <v>0</v>
      </c>
      <c r="AE269" s="275">
        <v>0</v>
      </c>
      <c r="AF269" s="275">
        <v>0</v>
      </c>
      <c r="AG269" s="275">
        <v>0</v>
      </c>
      <c r="AH269" s="275">
        <v>0</v>
      </c>
      <c r="AI269" s="275">
        <v>0</v>
      </c>
      <c r="AJ269" s="275">
        <v>0</v>
      </c>
      <c r="AK269" s="275">
        <v>0</v>
      </c>
      <c r="AL269" s="275">
        <v>0</v>
      </c>
      <c r="AM269" s="275">
        <v>0</v>
      </c>
      <c r="AN269" s="275">
        <v>0</v>
      </c>
      <c r="AO269" s="275">
        <v>0</v>
      </c>
      <c r="AP269" s="275">
        <v>0</v>
      </c>
      <c r="AQ269" s="275">
        <v>0</v>
      </c>
      <c r="AR269" s="275">
        <v>0</v>
      </c>
      <c r="AS269" s="275">
        <v>0</v>
      </c>
      <c r="AT269" s="275">
        <v>0</v>
      </c>
      <c r="AU269" s="275">
        <v>0</v>
      </c>
      <c r="AV269" s="275">
        <v>0</v>
      </c>
      <c r="AW269" s="275">
        <v>0</v>
      </c>
      <c r="AX269" s="275">
        <v>0</v>
      </c>
      <c r="AY269" s="275">
        <v>0</v>
      </c>
      <c r="AZ269" s="275">
        <v>0</v>
      </c>
      <c r="BA269" s="275">
        <v>0</v>
      </c>
      <c r="BB269" s="275">
        <v>0</v>
      </c>
      <c r="BC269" s="275">
        <v>0</v>
      </c>
      <c r="BD269" s="275">
        <v>0</v>
      </c>
      <c r="BE269" s="275">
        <v>0</v>
      </c>
      <c r="BF269" s="275">
        <v>0</v>
      </c>
      <c r="BG269" s="275">
        <v>0</v>
      </c>
      <c r="BH269" s="275">
        <v>0</v>
      </c>
      <c r="BI269" s="275">
        <v>41</v>
      </c>
      <c r="BJ269" s="275">
        <v>0</v>
      </c>
      <c r="BK269" s="275">
        <v>0</v>
      </c>
      <c r="BL269" s="275">
        <v>0</v>
      </c>
      <c r="BM269" s="275">
        <v>0</v>
      </c>
      <c r="BN269" s="275">
        <v>0</v>
      </c>
      <c r="BO269" s="275">
        <v>0</v>
      </c>
      <c r="BP269" s="275">
        <v>0</v>
      </c>
      <c r="BQ269" s="275">
        <v>0</v>
      </c>
      <c r="BR269" s="275">
        <v>0</v>
      </c>
      <c r="BS269" s="275">
        <v>0</v>
      </c>
    </row>
    <row r="270" spans="1:71" x14ac:dyDescent="0.3">
      <c r="A270" s="275">
        <v>610</v>
      </c>
      <c r="B270" s="275">
        <v>610</v>
      </c>
      <c r="C270" s="275" t="s">
        <v>688</v>
      </c>
      <c r="D270" s="275"/>
      <c r="E270" s="275">
        <v>0</v>
      </c>
      <c r="F270" s="275">
        <v>0</v>
      </c>
      <c r="G270" s="275">
        <v>0</v>
      </c>
      <c r="H270" s="275">
        <v>0</v>
      </c>
      <c r="I270" s="275">
        <v>0</v>
      </c>
      <c r="J270" s="275">
        <v>0</v>
      </c>
      <c r="K270" s="275">
        <v>0</v>
      </c>
      <c r="L270" s="275">
        <v>0</v>
      </c>
      <c r="M270" s="275">
        <v>0</v>
      </c>
      <c r="N270" s="275">
        <v>0</v>
      </c>
      <c r="O270" s="275">
        <v>0</v>
      </c>
      <c r="P270" s="275">
        <v>0</v>
      </c>
      <c r="Q270" s="275">
        <v>0</v>
      </c>
      <c r="R270" s="275">
        <v>0</v>
      </c>
      <c r="S270" s="275">
        <v>0</v>
      </c>
      <c r="T270" s="275">
        <v>0</v>
      </c>
      <c r="U270" s="275">
        <v>0</v>
      </c>
      <c r="V270" s="275">
        <v>0</v>
      </c>
      <c r="W270" s="275">
        <v>0</v>
      </c>
      <c r="X270" s="275">
        <v>0</v>
      </c>
      <c r="Y270" s="275">
        <v>0</v>
      </c>
      <c r="Z270" s="275">
        <v>0</v>
      </c>
      <c r="AA270" s="275">
        <v>0</v>
      </c>
      <c r="AB270" s="275">
        <v>0</v>
      </c>
      <c r="AC270" s="275">
        <v>0</v>
      </c>
      <c r="AD270" s="275">
        <v>0</v>
      </c>
      <c r="AE270" s="275">
        <v>0</v>
      </c>
      <c r="AF270" s="275">
        <v>0</v>
      </c>
      <c r="AG270" s="275">
        <v>0</v>
      </c>
      <c r="AH270" s="275">
        <v>0</v>
      </c>
      <c r="AI270" s="275">
        <v>0</v>
      </c>
      <c r="AJ270" s="275">
        <v>0</v>
      </c>
      <c r="AK270" s="275">
        <v>0</v>
      </c>
      <c r="AL270" s="275">
        <v>0</v>
      </c>
      <c r="AM270" s="275">
        <v>0</v>
      </c>
      <c r="AN270" s="275">
        <v>0</v>
      </c>
      <c r="AO270" s="275">
        <v>0</v>
      </c>
      <c r="AP270" s="275">
        <v>0</v>
      </c>
      <c r="AQ270" s="275">
        <v>0</v>
      </c>
      <c r="AR270" s="275">
        <v>0</v>
      </c>
      <c r="AS270" s="275">
        <v>0</v>
      </c>
      <c r="AT270" s="275">
        <v>0</v>
      </c>
      <c r="AU270" s="275">
        <v>0</v>
      </c>
      <c r="AV270" s="275">
        <v>0</v>
      </c>
      <c r="AW270" s="275">
        <v>0</v>
      </c>
      <c r="AX270" s="275">
        <v>0</v>
      </c>
      <c r="AY270" s="275">
        <v>0</v>
      </c>
      <c r="AZ270" s="275">
        <v>0</v>
      </c>
      <c r="BA270" s="275">
        <v>0</v>
      </c>
      <c r="BB270" s="275">
        <v>0</v>
      </c>
      <c r="BC270" s="275">
        <v>0</v>
      </c>
      <c r="BD270" s="275">
        <v>0</v>
      </c>
      <c r="BE270" s="275">
        <v>0</v>
      </c>
      <c r="BF270" s="275">
        <v>0</v>
      </c>
      <c r="BG270" s="275">
        <v>0</v>
      </c>
      <c r="BH270" s="275">
        <v>0</v>
      </c>
      <c r="BI270" s="275">
        <v>0</v>
      </c>
      <c r="BJ270" s="275">
        <v>0</v>
      </c>
      <c r="BK270" s="275">
        <v>0</v>
      </c>
      <c r="BL270" s="275">
        <v>0</v>
      </c>
      <c r="BM270" s="275">
        <v>0</v>
      </c>
      <c r="BN270" s="275">
        <v>0</v>
      </c>
      <c r="BO270" s="275">
        <v>0</v>
      </c>
      <c r="BP270" s="275">
        <v>0</v>
      </c>
      <c r="BQ270" s="275">
        <v>0</v>
      </c>
      <c r="BR270" s="275">
        <v>0</v>
      </c>
      <c r="BS270" s="275">
        <v>0</v>
      </c>
    </row>
    <row r="271" spans="1:71" x14ac:dyDescent="0.3">
      <c r="A271" s="275">
        <v>611</v>
      </c>
      <c r="B271" s="275">
        <v>611</v>
      </c>
      <c r="C271" s="275" t="s">
        <v>689</v>
      </c>
      <c r="D271" s="275"/>
      <c r="E271" s="275">
        <v>0</v>
      </c>
      <c r="F271" s="275">
        <v>0</v>
      </c>
      <c r="G271" s="275">
        <v>0</v>
      </c>
      <c r="H271" s="275">
        <v>0</v>
      </c>
      <c r="I271" s="275">
        <v>0</v>
      </c>
      <c r="J271" s="275">
        <v>0</v>
      </c>
      <c r="K271" s="275">
        <v>0</v>
      </c>
      <c r="L271" s="275">
        <v>0</v>
      </c>
      <c r="M271" s="275">
        <v>0</v>
      </c>
      <c r="N271" s="275">
        <v>0</v>
      </c>
      <c r="O271" s="275">
        <v>0</v>
      </c>
      <c r="P271" s="275">
        <v>0</v>
      </c>
      <c r="Q271" s="275">
        <v>0</v>
      </c>
      <c r="R271" s="275">
        <v>0</v>
      </c>
      <c r="S271" s="275">
        <v>0</v>
      </c>
      <c r="T271" s="275">
        <v>0</v>
      </c>
      <c r="U271" s="275">
        <v>0</v>
      </c>
      <c r="V271" s="275">
        <v>0</v>
      </c>
      <c r="W271" s="275">
        <v>0</v>
      </c>
      <c r="X271" s="275">
        <v>0</v>
      </c>
      <c r="Y271" s="275">
        <v>0</v>
      </c>
      <c r="Z271" s="275">
        <v>0</v>
      </c>
      <c r="AA271" s="275">
        <v>0</v>
      </c>
      <c r="AB271" s="275">
        <v>0</v>
      </c>
      <c r="AC271" s="275">
        <v>0</v>
      </c>
      <c r="AD271" s="275">
        <v>0</v>
      </c>
      <c r="AE271" s="275">
        <v>0</v>
      </c>
      <c r="AF271" s="275">
        <v>0</v>
      </c>
      <c r="AG271" s="275">
        <v>0</v>
      </c>
      <c r="AH271" s="275">
        <v>0</v>
      </c>
      <c r="AI271" s="275">
        <v>0</v>
      </c>
      <c r="AJ271" s="275">
        <v>0</v>
      </c>
      <c r="AK271" s="275">
        <v>0</v>
      </c>
      <c r="AL271" s="275">
        <v>0</v>
      </c>
      <c r="AM271" s="275">
        <v>0</v>
      </c>
      <c r="AN271" s="275">
        <v>0</v>
      </c>
      <c r="AO271" s="275">
        <v>0</v>
      </c>
      <c r="AP271" s="275">
        <v>0</v>
      </c>
      <c r="AQ271" s="275">
        <v>0</v>
      </c>
      <c r="AR271" s="275">
        <v>0</v>
      </c>
      <c r="AS271" s="275">
        <v>0</v>
      </c>
      <c r="AT271" s="275">
        <v>0</v>
      </c>
      <c r="AU271" s="275">
        <v>0</v>
      </c>
      <c r="AV271" s="275">
        <v>0</v>
      </c>
      <c r="AW271" s="275">
        <v>0</v>
      </c>
      <c r="AX271" s="275">
        <v>0</v>
      </c>
      <c r="AY271" s="275">
        <v>0</v>
      </c>
      <c r="AZ271" s="275">
        <v>0</v>
      </c>
      <c r="BA271" s="275">
        <v>0</v>
      </c>
      <c r="BB271" s="275">
        <v>0</v>
      </c>
      <c r="BC271" s="275">
        <v>0</v>
      </c>
      <c r="BD271" s="275">
        <v>0</v>
      </c>
      <c r="BE271" s="275">
        <v>0</v>
      </c>
      <c r="BF271" s="275">
        <v>0</v>
      </c>
      <c r="BG271" s="275">
        <v>0</v>
      </c>
      <c r="BH271" s="275">
        <v>0</v>
      </c>
      <c r="BI271" s="275">
        <v>0</v>
      </c>
      <c r="BJ271" s="275">
        <v>0</v>
      </c>
      <c r="BK271" s="275">
        <v>0</v>
      </c>
      <c r="BL271" s="275">
        <v>0</v>
      </c>
      <c r="BM271" s="275">
        <v>0</v>
      </c>
      <c r="BN271" s="275">
        <v>0</v>
      </c>
      <c r="BO271" s="275">
        <v>0</v>
      </c>
      <c r="BP271" s="275">
        <v>0</v>
      </c>
      <c r="BQ271" s="275">
        <v>0</v>
      </c>
      <c r="BR271" s="275">
        <v>0</v>
      </c>
      <c r="BS271" s="275">
        <v>0</v>
      </c>
    </row>
    <row r="272" spans="1:71" x14ac:dyDescent="0.3">
      <c r="A272" s="275">
        <v>612</v>
      </c>
      <c r="B272" s="275">
        <v>612</v>
      </c>
      <c r="C272" s="275" t="s">
        <v>708</v>
      </c>
      <c r="D272" s="275"/>
      <c r="E272" s="275">
        <v>0</v>
      </c>
      <c r="F272" s="275">
        <v>0</v>
      </c>
      <c r="G272" s="275">
        <v>0</v>
      </c>
      <c r="H272" s="275">
        <v>0</v>
      </c>
      <c r="I272" s="275">
        <v>0</v>
      </c>
      <c r="J272" s="275">
        <v>0</v>
      </c>
      <c r="K272" s="275">
        <v>0</v>
      </c>
      <c r="L272" s="275">
        <v>0</v>
      </c>
      <c r="M272" s="275">
        <v>0</v>
      </c>
      <c r="N272" s="275">
        <v>0</v>
      </c>
      <c r="O272" s="275">
        <v>0</v>
      </c>
      <c r="P272" s="275">
        <v>0</v>
      </c>
      <c r="Q272" s="275">
        <v>0</v>
      </c>
      <c r="R272" s="275">
        <v>0</v>
      </c>
      <c r="S272" s="275">
        <v>0</v>
      </c>
      <c r="T272" s="275">
        <v>0</v>
      </c>
      <c r="U272" s="275">
        <v>0</v>
      </c>
      <c r="V272" s="275">
        <v>0</v>
      </c>
      <c r="W272" s="275">
        <v>0</v>
      </c>
      <c r="X272" s="275">
        <v>0</v>
      </c>
      <c r="Y272" s="275">
        <v>0</v>
      </c>
      <c r="Z272" s="275">
        <v>0</v>
      </c>
      <c r="AA272" s="275">
        <v>0</v>
      </c>
      <c r="AB272" s="275">
        <v>0</v>
      </c>
      <c r="AC272" s="275">
        <v>0</v>
      </c>
      <c r="AD272" s="275">
        <v>0</v>
      </c>
      <c r="AE272" s="275">
        <v>0</v>
      </c>
      <c r="AF272" s="275">
        <v>0</v>
      </c>
      <c r="AG272" s="275">
        <v>0</v>
      </c>
      <c r="AH272" s="275">
        <v>0</v>
      </c>
      <c r="AI272" s="275">
        <v>0</v>
      </c>
      <c r="AJ272" s="275">
        <v>0</v>
      </c>
      <c r="AK272" s="275">
        <v>0</v>
      </c>
      <c r="AL272" s="275">
        <v>0</v>
      </c>
      <c r="AM272" s="275">
        <v>0</v>
      </c>
      <c r="AN272" s="275">
        <v>0</v>
      </c>
      <c r="AO272" s="275">
        <v>0</v>
      </c>
      <c r="AP272" s="275">
        <v>0</v>
      </c>
      <c r="AQ272" s="275">
        <v>0</v>
      </c>
      <c r="AR272" s="275">
        <v>0</v>
      </c>
      <c r="AS272" s="275">
        <v>0</v>
      </c>
      <c r="AT272" s="275">
        <v>0</v>
      </c>
      <c r="AU272" s="275">
        <v>0</v>
      </c>
      <c r="AV272" s="275">
        <v>0</v>
      </c>
      <c r="AW272" s="275">
        <v>0</v>
      </c>
      <c r="AX272" s="275">
        <v>0</v>
      </c>
      <c r="AY272" s="275">
        <v>0</v>
      </c>
      <c r="AZ272" s="275">
        <v>0</v>
      </c>
      <c r="BA272" s="275">
        <v>0</v>
      </c>
      <c r="BB272" s="275">
        <v>0</v>
      </c>
      <c r="BC272" s="275">
        <v>0</v>
      </c>
      <c r="BD272" s="275">
        <v>0</v>
      </c>
      <c r="BE272" s="275">
        <v>0</v>
      </c>
      <c r="BF272" s="275">
        <v>0</v>
      </c>
      <c r="BG272" s="275">
        <v>0</v>
      </c>
      <c r="BH272" s="275">
        <v>0</v>
      </c>
      <c r="BI272" s="275">
        <v>0</v>
      </c>
      <c r="BJ272" s="275">
        <v>0</v>
      </c>
      <c r="BK272" s="275">
        <v>0</v>
      </c>
      <c r="BL272" s="275">
        <v>0</v>
      </c>
      <c r="BM272" s="275">
        <v>0</v>
      </c>
      <c r="BN272" s="275">
        <v>0</v>
      </c>
      <c r="BO272" s="275">
        <v>0</v>
      </c>
      <c r="BP272" s="275">
        <v>0</v>
      </c>
      <c r="BQ272" s="275">
        <v>0</v>
      </c>
      <c r="BR272" s="275">
        <v>0</v>
      </c>
      <c r="BS272" s="275">
        <v>0</v>
      </c>
    </row>
    <row r="273" spans="1:71" x14ac:dyDescent="0.3">
      <c r="A273" s="275">
        <v>613</v>
      </c>
      <c r="B273" s="275">
        <v>613</v>
      </c>
      <c r="C273" s="275" t="s">
        <v>697</v>
      </c>
      <c r="D273" s="275"/>
      <c r="E273" s="275">
        <v>0</v>
      </c>
      <c r="F273" s="275">
        <v>0</v>
      </c>
      <c r="G273" s="275">
        <v>0</v>
      </c>
      <c r="H273" s="275">
        <v>0</v>
      </c>
      <c r="I273" s="275">
        <v>0</v>
      </c>
      <c r="J273" s="275">
        <v>0</v>
      </c>
      <c r="K273" s="275">
        <v>0</v>
      </c>
      <c r="L273" s="275">
        <v>0</v>
      </c>
      <c r="M273" s="275">
        <v>0</v>
      </c>
      <c r="N273" s="275">
        <v>0</v>
      </c>
      <c r="O273" s="275">
        <v>0</v>
      </c>
      <c r="P273" s="275">
        <v>0</v>
      </c>
      <c r="Q273" s="275">
        <v>0</v>
      </c>
      <c r="R273" s="275">
        <v>0</v>
      </c>
      <c r="S273" s="275">
        <v>0</v>
      </c>
      <c r="T273" s="275">
        <v>0</v>
      </c>
      <c r="U273" s="275">
        <v>0</v>
      </c>
      <c r="V273" s="275">
        <v>0</v>
      </c>
      <c r="W273" s="275">
        <v>0</v>
      </c>
      <c r="X273" s="275">
        <v>0</v>
      </c>
      <c r="Y273" s="275">
        <v>0</v>
      </c>
      <c r="Z273" s="275">
        <v>0</v>
      </c>
      <c r="AA273" s="275">
        <v>0</v>
      </c>
      <c r="AB273" s="275">
        <v>0</v>
      </c>
      <c r="AC273" s="275">
        <v>0</v>
      </c>
      <c r="AD273" s="275">
        <v>0</v>
      </c>
      <c r="AE273" s="275">
        <v>0</v>
      </c>
      <c r="AF273" s="275">
        <v>0</v>
      </c>
      <c r="AG273" s="275">
        <v>0</v>
      </c>
      <c r="AH273" s="275">
        <v>0</v>
      </c>
      <c r="AI273" s="275">
        <v>0</v>
      </c>
      <c r="AJ273" s="275">
        <v>0</v>
      </c>
      <c r="AK273" s="275">
        <v>0</v>
      </c>
      <c r="AL273" s="275">
        <v>0</v>
      </c>
      <c r="AM273" s="275">
        <v>0</v>
      </c>
      <c r="AN273" s="275">
        <v>0</v>
      </c>
      <c r="AO273" s="275">
        <v>0</v>
      </c>
      <c r="AP273" s="275">
        <v>0</v>
      </c>
      <c r="AQ273" s="275">
        <v>0</v>
      </c>
      <c r="AR273" s="275">
        <v>0</v>
      </c>
      <c r="AS273" s="275">
        <v>0</v>
      </c>
      <c r="AT273" s="275">
        <v>0</v>
      </c>
      <c r="AU273" s="275">
        <v>0</v>
      </c>
      <c r="AV273" s="275">
        <v>0</v>
      </c>
      <c r="AW273" s="275">
        <v>0</v>
      </c>
      <c r="AX273" s="275">
        <v>0</v>
      </c>
      <c r="AY273" s="1113">
        <v>51369</v>
      </c>
      <c r="AZ273" s="275">
        <v>0</v>
      </c>
      <c r="BA273" s="275">
        <v>0</v>
      </c>
      <c r="BB273" s="275">
        <v>0</v>
      </c>
      <c r="BC273" s="275">
        <v>0</v>
      </c>
      <c r="BD273" s="275">
        <v>0</v>
      </c>
      <c r="BE273" s="275">
        <v>0</v>
      </c>
      <c r="BF273" s="275">
        <v>0</v>
      </c>
      <c r="BG273" s="275">
        <v>0</v>
      </c>
      <c r="BH273" s="275">
        <v>0</v>
      </c>
      <c r="BI273" s="275">
        <v>0</v>
      </c>
      <c r="BJ273" s="275">
        <v>0</v>
      </c>
      <c r="BK273" s="275">
        <v>0</v>
      </c>
      <c r="BL273" s="275">
        <v>0</v>
      </c>
      <c r="BM273" s="275">
        <v>0</v>
      </c>
      <c r="BN273" s="275">
        <v>0</v>
      </c>
      <c r="BO273" s="275">
        <v>0</v>
      </c>
      <c r="BP273" s="275">
        <v>0</v>
      </c>
      <c r="BQ273" s="275">
        <v>0</v>
      </c>
      <c r="BR273" s="275">
        <v>0</v>
      </c>
      <c r="BS273" s="275">
        <v>0</v>
      </c>
    </row>
    <row r="274" spans="1:71" x14ac:dyDescent="0.3">
      <c r="A274" s="275">
        <v>614</v>
      </c>
      <c r="B274" s="275">
        <v>614</v>
      </c>
      <c r="C274" s="275" t="s">
        <v>690</v>
      </c>
      <c r="D274" s="275"/>
      <c r="E274" s="275">
        <v>0</v>
      </c>
      <c r="F274" s="275">
        <v>0</v>
      </c>
      <c r="G274" s="275">
        <v>0</v>
      </c>
      <c r="H274" s="275">
        <v>0</v>
      </c>
      <c r="I274" s="275">
        <v>0</v>
      </c>
      <c r="J274" s="275">
        <v>0</v>
      </c>
      <c r="K274" s="275">
        <v>0</v>
      </c>
      <c r="L274" s="275">
        <v>0</v>
      </c>
      <c r="M274" s="275">
        <v>0</v>
      </c>
      <c r="N274" s="275">
        <v>0</v>
      </c>
      <c r="O274" s="275">
        <v>0</v>
      </c>
      <c r="P274" s="275">
        <v>0</v>
      </c>
      <c r="Q274" s="275">
        <v>0</v>
      </c>
      <c r="R274" s="275">
        <v>0</v>
      </c>
      <c r="S274" s="275">
        <v>0</v>
      </c>
      <c r="T274" s="275">
        <v>0</v>
      </c>
      <c r="U274" s="275">
        <v>0</v>
      </c>
      <c r="V274" s="275">
        <v>0</v>
      </c>
      <c r="W274" s="275">
        <v>0</v>
      </c>
      <c r="X274" s="275">
        <v>0</v>
      </c>
      <c r="Y274" s="275">
        <v>0</v>
      </c>
      <c r="Z274" s="275">
        <v>0</v>
      </c>
      <c r="AA274" s="275">
        <v>0</v>
      </c>
      <c r="AB274" s="275">
        <v>0</v>
      </c>
      <c r="AC274" s="275">
        <v>0</v>
      </c>
      <c r="AD274" s="275">
        <v>0</v>
      </c>
      <c r="AE274" s="275">
        <v>0</v>
      </c>
      <c r="AF274" s="275">
        <v>0</v>
      </c>
      <c r="AG274" s="275">
        <v>0</v>
      </c>
      <c r="AH274" s="275">
        <v>0</v>
      </c>
      <c r="AI274" s="275">
        <v>0</v>
      </c>
      <c r="AJ274" s="275">
        <v>0</v>
      </c>
      <c r="AK274" s="275">
        <v>0</v>
      </c>
      <c r="AL274" s="275">
        <v>0</v>
      </c>
      <c r="AM274" s="275">
        <v>0</v>
      </c>
      <c r="AN274" s="275">
        <v>0</v>
      </c>
      <c r="AO274" s="275">
        <v>0</v>
      </c>
      <c r="AP274" s="275">
        <v>0</v>
      </c>
      <c r="AQ274" s="275">
        <v>0</v>
      </c>
      <c r="AR274" s="275">
        <v>0</v>
      </c>
      <c r="AS274" s="275">
        <v>0</v>
      </c>
      <c r="AT274" s="275">
        <v>0</v>
      </c>
      <c r="AU274" s="275">
        <v>0</v>
      </c>
      <c r="AV274" s="275">
        <v>0</v>
      </c>
      <c r="AW274" s="275">
        <v>0</v>
      </c>
      <c r="AX274" s="275">
        <v>0</v>
      </c>
      <c r="AY274" s="275">
        <v>0</v>
      </c>
      <c r="AZ274" s="275">
        <v>0</v>
      </c>
      <c r="BA274" s="275">
        <v>0</v>
      </c>
      <c r="BB274" s="275">
        <v>0</v>
      </c>
      <c r="BC274" s="275">
        <v>0</v>
      </c>
      <c r="BD274" s="275">
        <v>0</v>
      </c>
      <c r="BE274" s="275">
        <v>0</v>
      </c>
      <c r="BF274" s="275">
        <v>0</v>
      </c>
      <c r="BG274" s="275">
        <v>0</v>
      </c>
      <c r="BH274" s="275">
        <v>0</v>
      </c>
      <c r="BI274" s="275">
        <v>0</v>
      </c>
      <c r="BJ274" s="275">
        <v>0</v>
      </c>
      <c r="BK274" s="275">
        <v>0</v>
      </c>
      <c r="BL274" s="275">
        <v>0</v>
      </c>
      <c r="BM274" s="275">
        <v>0</v>
      </c>
      <c r="BN274" s="275">
        <v>0</v>
      </c>
      <c r="BO274" s="275">
        <v>0</v>
      </c>
      <c r="BP274" s="275">
        <v>0</v>
      </c>
      <c r="BQ274" s="275">
        <v>0</v>
      </c>
      <c r="BR274" s="275">
        <v>0</v>
      </c>
      <c r="BS274" s="275">
        <v>0</v>
      </c>
    </row>
    <row r="275" spans="1:71" x14ac:dyDescent="0.3">
      <c r="A275" s="275">
        <v>615</v>
      </c>
      <c r="B275" s="275">
        <v>615</v>
      </c>
      <c r="C275" s="275" t="s">
        <v>709</v>
      </c>
      <c r="D275" s="275"/>
      <c r="E275" s="275">
        <v>0</v>
      </c>
      <c r="F275" s="275">
        <v>0</v>
      </c>
      <c r="G275" s="275">
        <v>0</v>
      </c>
      <c r="H275" s="275">
        <v>0</v>
      </c>
      <c r="I275" s="275">
        <v>0</v>
      </c>
      <c r="J275" s="275">
        <v>0</v>
      </c>
      <c r="K275" s="275">
        <v>0</v>
      </c>
      <c r="L275" s="275">
        <v>0</v>
      </c>
      <c r="M275" s="275">
        <v>0</v>
      </c>
      <c r="N275" s="275">
        <v>0</v>
      </c>
      <c r="O275" s="275">
        <v>0</v>
      </c>
      <c r="P275" s="275">
        <v>0</v>
      </c>
      <c r="Q275" s="275">
        <v>0</v>
      </c>
      <c r="R275" s="275">
        <v>0</v>
      </c>
      <c r="S275" s="275">
        <v>0</v>
      </c>
      <c r="T275" s="275">
        <v>0</v>
      </c>
      <c r="U275" s="275">
        <v>0</v>
      </c>
      <c r="V275" s="275">
        <v>0</v>
      </c>
      <c r="W275" s="275">
        <v>0</v>
      </c>
      <c r="X275" s="275">
        <v>0</v>
      </c>
      <c r="Y275" s="275">
        <v>0</v>
      </c>
      <c r="Z275" s="275">
        <v>0</v>
      </c>
      <c r="AA275" s="275">
        <v>0</v>
      </c>
      <c r="AB275" s="275">
        <v>0</v>
      </c>
      <c r="AC275" s="275">
        <v>0</v>
      </c>
      <c r="AD275" s="275">
        <v>0</v>
      </c>
      <c r="AE275" s="275">
        <v>0</v>
      </c>
      <c r="AF275" s="275">
        <v>0</v>
      </c>
      <c r="AG275" s="275">
        <v>0</v>
      </c>
      <c r="AH275" s="275">
        <v>0</v>
      </c>
      <c r="AI275" s="275">
        <v>0</v>
      </c>
      <c r="AJ275" s="275">
        <v>0</v>
      </c>
      <c r="AK275" s="275">
        <v>0</v>
      </c>
      <c r="AL275" s="275">
        <v>0</v>
      </c>
      <c r="AM275" s="275">
        <v>0</v>
      </c>
      <c r="AN275" s="275">
        <v>0</v>
      </c>
      <c r="AO275" s="275">
        <v>0</v>
      </c>
      <c r="AP275" s="275">
        <v>0</v>
      </c>
      <c r="AQ275" s="275">
        <v>0</v>
      </c>
      <c r="AR275" s="275">
        <v>0</v>
      </c>
      <c r="AS275" s="275">
        <v>0</v>
      </c>
      <c r="AT275" s="275">
        <v>0</v>
      </c>
      <c r="AU275" s="275">
        <v>0</v>
      </c>
      <c r="AV275" s="275">
        <v>0</v>
      </c>
      <c r="AW275" s="275">
        <v>0</v>
      </c>
      <c r="AX275" s="275">
        <v>0</v>
      </c>
      <c r="AY275" s="275">
        <v>0</v>
      </c>
      <c r="AZ275" s="275">
        <v>0</v>
      </c>
      <c r="BA275" s="275">
        <v>0</v>
      </c>
      <c r="BB275" s="275">
        <v>0</v>
      </c>
      <c r="BC275" s="275">
        <v>0</v>
      </c>
      <c r="BD275" s="275">
        <v>0</v>
      </c>
      <c r="BE275" s="275">
        <v>0</v>
      </c>
      <c r="BF275" s="275">
        <v>0</v>
      </c>
      <c r="BG275" s="275">
        <v>0</v>
      </c>
      <c r="BH275" s="275">
        <v>0</v>
      </c>
      <c r="BI275" s="275">
        <v>0</v>
      </c>
      <c r="BJ275" s="275">
        <v>0</v>
      </c>
      <c r="BK275" s="275">
        <v>0</v>
      </c>
      <c r="BL275" s="275">
        <v>0</v>
      </c>
      <c r="BM275" s="275">
        <v>0</v>
      </c>
      <c r="BN275" s="275">
        <v>0</v>
      </c>
      <c r="BO275" s="275">
        <v>0</v>
      </c>
      <c r="BP275" s="275">
        <v>0</v>
      </c>
      <c r="BQ275" s="275">
        <v>0</v>
      </c>
      <c r="BR275" s="275">
        <v>0</v>
      </c>
      <c r="BS275" s="275">
        <v>0</v>
      </c>
    </row>
    <row r="276" spans="1:71" x14ac:dyDescent="0.3">
      <c r="A276" s="275">
        <v>616</v>
      </c>
      <c r="B276" s="275">
        <v>616</v>
      </c>
      <c r="C276" s="275" t="s">
        <v>691</v>
      </c>
      <c r="D276" s="275"/>
      <c r="E276" s="275">
        <v>0</v>
      </c>
      <c r="F276" s="275">
        <v>0</v>
      </c>
      <c r="G276" s="275">
        <v>0</v>
      </c>
      <c r="H276" s="275">
        <v>0</v>
      </c>
      <c r="I276" s="275">
        <v>0</v>
      </c>
      <c r="J276" s="275">
        <v>0</v>
      </c>
      <c r="K276" s="275">
        <v>0</v>
      </c>
      <c r="L276" s="275">
        <v>0</v>
      </c>
      <c r="M276" s="275">
        <v>0</v>
      </c>
      <c r="N276" s="275">
        <v>0</v>
      </c>
      <c r="O276" s="275">
        <v>0</v>
      </c>
      <c r="P276" s="275">
        <v>0</v>
      </c>
      <c r="Q276" s="275">
        <v>0</v>
      </c>
      <c r="R276" s="275">
        <v>0</v>
      </c>
      <c r="S276" s="275">
        <v>0</v>
      </c>
      <c r="T276" s="275">
        <v>0</v>
      </c>
      <c r="U276" s="275">
        <v>0</v>
      </c>
      <c r="V276" s="275">
        <v>0</v>
      </c>
      <c r="W276" s="275">
        <v>0</v>
      </c>
      <c r="X276" s="275">
        <v>0</v>
      </c>
      <c r="Y276" s="275">
        <v>0</v>
      </c>
      <c r="Z276" s="275">
        <v>0</v>
      </c>
      <c r="AA276" s="275">
        <v>0</v>
      </c>
      <c r="AB276" s="275">
        <v>0</v>
      </c>
      <c r="AC276" s="275">
        <v>0</v>
      </c>
      <c r="AD276" s="275">
        <v>0</v>
      </c>
      <c r="AE276" s="275">
        <v>0</v>
      </c>
      <c r="AF276" s="275">
        <v>0</v>
      </c>
      <c r="AG276" s="275">
        <v>0</v>
      </c>
      <c r="AH276" s="275">
        <v>0</v>
      </c>
      <c r="AI276" s="275">
        <v>0</v>
      </c>
      <c r="AJ276" s="275">
        <v>0</v>
      </c>
      <c r="AK276" s="275">
        <v>0</v>
      </c>
      <c r="AL276" s="275">
        <v>0</v>
      </c>
      <c r="AM276" s="275">
        <v>0</v>
      </c>
      <c r="AN276" s="275">
        <v>0</v>
      </c>
      <c r="AO276" s="275">
        <v>0</v>
      </c>
      <c r="AP276" s="275">
        <v>0</v>
      </c>
      <c r="AQ276" s="275">
        <v>0</v>
      </c>
      <c r="AR276" s="275">
        <v>0</v>
      </c>
      <c r="AS276" s="275">
        <v>0</v>
      </c>
      <c r="AT276" s="275">
        <v>0</v>
      </c>
      <c r="AU276" s="275">
        <v>0</v>
      </c>
      <c r="AV276" s="275">
        <v>0</v>
      </c>
      <c r="AW276" s="275">
        <v>0</v>
      </c>
      <c r="AX276" s="275">
        <v>0</v>
      </c>
      <c r="AY276" s="275">
        <v>0</v>
      </c>
      <c r="AZ276" s="275">
        <v>0</v>
      </c>
      <c r="BA276" s="275">
        <v>0</v>
      </c>
      <c r="BB276" s="275">
        <v>0</v>
      </c>
      <c r="BC276" s="275">
        <v>0</v>
      </c>
      <c r="BD276" s="275">
        <v>0</v>
      </c>
      <c r="BE276" s="275">
        <v>0</v>
      </c>
      <c r="BF276" s="275">
        <v>0</v>
      </c>
      <c r="BG276" s="275">
        <v>0</v>
      </c>
      <c r="BH276" s="275">
        <v>0</v>
      </c>
      <c r="BI276" s="275">
        <v>0</v>
      </c>
      <c r="BJ276" s="275">
        <v>0</v>
      </c>
      <c r="BK276" s="275">
        <v>0</v>
      </c>
      <c r="BL276" s="275">
        <v>0</v>
      </c>
      <c r="BM276" s="275">
        <v>0</v>
      </c>
      <c r="BN276" s="275">
        <v>0</v>
      </c>
      <c r="BO276" s="275">
        <v>0</v>
      </c>
      <c r="BP276" s="275">
        <v>0</v>
      </c>
      <c r="BQ276" s="275">
        <v>0</v>
      </c>
      <c r="BR276" s="275">
        <v>0</v>
      </c>
      <c r="BS276" s="275">
        <v>0</v>
      </c>
    </row>
    <row r="277" spans="1:71" x14ac:dyDescent="0.3">
      <c r="A277" s="275">
        <v>617</v>
      </c>
      <c r="B277" s="275">
        <v>617</v>
      </c>
      <c r="C277" s="275" t="s">
        <v>692</v>
      </c>
      <c r="D277" s="275"/>
      <c r="E277" s="275">
        <v>0</v>
      </c>
      <c r="F277" s="275">
        <v>0</v>
      </c>
      <c r="G277" s="275">
        <v>0</v>
      </c>
      <c r="H277" s="275">
        <v>0</v>
      </c>
      <c r="I277" s="275">
        <v>0</v>
      </c>
      <c r="J277" s="275">
        <v>0</v>
      </c>
      <c r="K277" s="275">
        <v>0</v>
      </c>
      <c r="L277" s="275">
        <v>0</v>
      </c>
      <c r="M277" s="275">
        <v>0</v>
      </c>
      <c r="N277" s="275">
        <v>0</v>
      </c>
      <c r="O277" s="275">
        <v>0</v>
      </c>
      <c r="P277" s="275">
        <v>0</v>
      </c>
      <c r="Q277" s="275">
        <v>0</v>
      </c>
      <c r="R277" s="275">
        <v>0</v>
      </c>
      <c r="S277" s="275">
        <v>0</v>
      </c>
      <c r="T277" s="275">
        <v>0</v>
      </c>
      <c r="U277" s="275">
        <v>0</v>
      </c>
      <c r="V277" s="275">
        <v>0</v>
      </c>
      <c r="W277" s="275">
        <v>0</v>
      </c>
      <c r="X277" s="275">
        <v>0</v>
      </c>
      <c r="Y277" s="275">
        <v>0</v>
      </c>
      <c r="Z277" s="275">
        <v>0</v>
      </c>
      <c r="AA277" s="275">
        <v>0</v>
      </c>
      <c r="AB277" s="275">
        <v>0</v>
      </c>
      <c r="AC277" s="275">
        <v>0</v>
      </c>
      <c r="AD277" s="275">
        <v>0</v>
      </c>
      <c r="AE277" s="275">
        <v>0</v>
      </c>
      <c r="AF277" s="275">
        <v>0</v>
      </c>
      <c r="AG277" s="275">
        <v>0</v>
      </c>
      <c r="AH277" s="275">
        <v>0</v>
      </c>
      <c r="AI277" s="275">
        <v>0</v>
      </c>
      <c r="AJ277" s="275">
        <v>0</v>
      </c>
      <c r="AK277" s="275">
        <v>0</v>
      </c>
      <c r="AL277" s="275">
        <v>0</v>
      </c>
      <c r="AM277" s="275">
        <v>0</v>
      </c>
      <c r="AN277" s="275">
        <v>0</v>
      </c>
      <c r="AO277" s="275">
        <v>0</v>
      </c>
      <c r="AP277" s="275">
        <v>0</v>
      </c>
      <c r="AQ277" s="275">
        <v>0</v>
      </c>
      <c r="AR277" s="275">
        <v>0</v>
      </c>
      <c r="AS277" s="275">
        <v>0</v>
      </c>
      <c r="AT277" s="275">
        <v>0</v>
      </c>
      <c r="AU277" s="275">
        <v>0</v>
      </c>
      <c r="AV277" s="275">
        <v>0</v>
      </c>
      <c r="AW277" s="275">
        <v>0</v>
      </c>
      <c r="AX277" s="275">
        <v>0</v>
      </c>
      <c r="AY277" s="275">
        <v>0</v>
      </c>
      <c r="AZ277" s="275">
        <v>0</v>
      </c>
      <c r="BA277" s="275">
        <v>0</v>
      </c>
      <c r="BB277" s="275">
        <v>0</v>
      </c>
      <c r="BC277" s="275">
        <v>0</v>
      </c>
      <c r="BD277" s="275">
        <v>0</v>
      </c>
      <c r="BE277" s="275">
        <v>0</v>
      </c>
      <c r="BF277" s="275">
        <v>0</v>
      </c>
      <c r="BG277" s="275">
        <v>0</v>
      </c>
      <c r="BH277" s="275">
        <v>0</v>
      </c>
      <c r="BI277" s="275">
        <v>0</v>
      </c>
      <c r="BJ277" s="275">
        <v>0</v>
      </c>
      <c r="BK277" s="275">
        <v>0</v>
      </c>
      <c r="BL277" s="275">
        <v>0</v>
      </c>
      <c r="BM277" s="275">
        <v>0</v>
      </c>
      <c r="BN277" s="275">
        <v>0</v>
      </c>
      <c r="BO277" s="275">
        <v>0</v>
      </c>
      <c r="BP277" s="275">
        <v>0</v>
      </c>
      <c r="BQ277" s="275">
        <v>0</v>
      </c>
      <c r="BR277" s="275">
        <v>0</v>
      </c>
      <c r="BS277" s="275">
        <v>0</v>
      </c>
    </row>
    <row r="278" spans="1:71" x14ac:dyDescent="0.3">
      <c r="A278" s="275">
        <v>618</v>
      </c>
      <c r="B278" s="275">
        <v>618</v>
      </c>
      <c r="C278" s="275" t="s">
        <v>710</v>
      </c>
      <c r="D278" s="275"/>
      <c r="E278" s="275">
        <v>0</v>
      </c>
      <c r="F278" s="275">
        <v>0</v>
      </c>
      <c r="G278" s="275">
        <v>0</v>
      </c>
      <c r="H278" s="275">
        <v>0</v>
      </c>
      <c r="I278" s="275">
        <v>0</v>
      </c>
      <c r="J278" s="275">
        <v>0</v>
      </c>
      <c r="K278" s="275">
        <v>0</v>
      </c>
      <c r="L278" s="275">
        <v>0</v>
      </c>
      <c r="M278" s="275">
        <v>0</v>
      </c>
      <c r="N278" s="275">
        <v>0</v>
      </c>
      <c r="O278" s="275">
        <v>0</v>
      </c>
      <c r="P278" s="275">
        <v>0</v>
      </c>
      <c r="Q278" s="275">
        <v>0</v>
      </c>
      <c r="R278" s="275">
        <v>0</v>
      </c>
      <c r="S278" s="275">
        <v>0</v>
      </c>
      <c r="T278" s="275">
        <v>0</v>
      </c>
      <c r="U278" s="275">
        <v>0</v>
      </c>
      <c r="V278" s="275">
        <v>0</v>
      </c>
      <c r="W278" s="275">
        <v>0</v>
      </c>
      <c r="X278" s="275">
        <v>0</v>
      </c>
      <c r="Y278" s="275">
        <v>0</v>
      </c>
      <c r="Z278" s="275">
        <v>0</v>
      </c>
      <c r="AA278" s="275">
        <v>0</v>
      </c>
      <c r="AB278" s="275">
        <v>0</v>
      </c>
      <c r="AC278" s="275">
        <v>0</v>
      </c>
      <c r="AD278" s="275">
        <v>0</v>
      </c>
      <c r="AE278" s="275">
        <v>0</v>
      </c>
      <c r="AF278" s="275">
        <v>0</v>
      </c>
      <c r="AG278" s="275">
        <v>0</v>
      </c>
      <c r="AH278" s="275">
        <v>0</v>
      </c>
      <c r="AI278" s="275">
        <v>0</v>
      </c>
      <c r="AJ278" s="275">
        <v>0</v>
      </c>
      <c r="AK278" s="275">
        <v>0</v>
      </c>
      <c r="AL278" s="275">
        <v>0</v>
      </c>
      <c r="AM278" s="275">
        <v>0</v>
      </c>
      <c r="AN278" s="275">
        <v>0</v>
      </c>
      <c r="AO278" s="275">
        <v>0</v>
      </c>
      <c r="AP278" s="275">
        <v>0</v>
      </c>
      <c r="AQ278" s="275">
        <v>0</v>
      </c>
      <c r="AR278" s="275">
        <v>0</v>
      </c>
      <c r="AS278" s="275">
        <v>0</v>
      </c>
      <c r="AT278" s="275">
        <v>0</v>
      </c>
      <c r="AU278" s="275">
        <v>0</v>
      </c>
      <c r="AV278" s="275">
        <v>0</v>
      </c>
      <c r="AW278" s="275">
        <v>0</v>
      </c>
      <c r="AX278" s="275">
        <v>0</v>
      </c>
      <c r="AY278" s="275">
        <v>0</v>
      </c>
      <c r="AZ278" s="275">
        <v>0</v>
      </c>
      <c r="BA278" s="275">
        <v>0</v>
      </c>
      <c r="BB278" s="275">
        <v>0</v>
      </c>
      <c r="BC278" s="275">
        <v>0</v>
      </c>
      <c r="BD278" s="275">
        <v>0</v>
      </c>
      <c r="BE278" s="275">
        <v>0</v>
      </c>
      <c r="BF278" s="275">
        <v>0</v>
      </c>
      <c r="BG278" s="275">
        <v>0</v>
      </c>
      <c r="BH278" s="275">
        <v>0</v>
      </c>
      <c r="BI278" s="275">
        <v>0</v>
      </c>
      <c r="BJ278" s="275">
        <v>0</v>
      </c>
      <c r="BK278" s="275">
        <v>0</v>
      </c>
      <c r="BL278" s="275">
        <v>0</v>
      </c>
      <c r="BM278" s="275">
        <v>0</v>
      </c>
      <c r="BN278" s="275">
        <v>0</v>
      </c>
      <c r="BO278" s="275">
        <v>0</v>
      </c>
      <c r="BP278" s="275">
        <v>0</v>
      </c>
      <c r="BQ278" s="275">
        <v>0</v>
      </c>
      <c r="BR278" s="275">
        <v>0</v>
      </c>
      <c r="BS278" s="275">
        <v>0</v>
      </c>
    </row>
    <row r="279" spans="1:71" x14ac:dyDescent="0.3">
      <c r="A279" s="275">
        <v>619</v>
      </c>
      <c r="B279" s="275">
        <v>619</v>
      </c>
      <c r="C279" s="275" t="s">
        <v>712</v>
      </c>
      <c r="D279" s="275"/>
      <c r="E279" s="275">
        <v>0</v>
      </c>
      <c r="F279" s="275">
        <v>0</v>
      </c>
      <c r="G279" s="275">
        <v>0</v>
      </c>
      <c r="H279" s="275">
        <v>0</v>
      </c>
      <c r="I279" s="275">
        <v>0</v>
      </c>
      <c r="J279" s="275">
        <v>0</v>
      </c>
      <c r="K279" s="275">
        <v>0</v>
      </c>
      <c r="L279" s="275">
        <v>0</v>
      </c>
      <c r="M279" s="275">
        <v>0</v>
      </c>
      <c r="N279" s="275">
        <v>0</v>
      </c>
      <c r="O279" s="275">
        <v>0</v>
      </c>
      <c r="P279" s="275">
        <v>0</v>
      </c>
      <c r="Q279" s="275">
        <v>0</v>
      </c>
      <c r="R279" s="275">
        <v>0</v>
      </c>
      <c r="S279" s="275">
        <v>0</v>
      </c>
      <c r="T279" s="275">
        <v>0</v>
      </c>
      <c r="U279" s="275">
        <v>0</v>
      </c>
      <c r="V279" s="275">
        <v>0</v>
      </c>
      <c r="W279" s="275">
        <v>0</v>
      </c>
      <c r="X279" s="275">
        <v>0</v>
      </c>
      <c r="Y279" s="275">
        <v>0</v>
      </c>
      <c r="Z279" s="275">
        <v>0</v>
      </c>
      <c r="AA279" s="275">
        <v>0</v>
      </c>
      <c r="AB279" s="275">
        <v>0</v>
      </c>
      <c r="AC279" s="275">
        <v>0</v>
      </c>
      <c r="AD279" s="275">
        <v>0</v>
      </c>
      <c r="AE279" s="275">
        <v>0</v>
      </c>
      <c r="AF279" s="275">
        <v>0</v>
      </c>
      <c r="AG279" s="275">
        <v>0</v>
      </c>
      <c r="AH279" s="275">
        <v>0</v>
      </c>
      <c r="AI279" s="275">
        <v>0</v>
      </c>
      <c r="AJ279" s="275">
        <v>0</v>
      </c>
      <c r="AK279" s="275">
        <v>0</v>
      </c>
      <c r="AL279" s="275">
        <v>0</v>
      </c>
      <c r="AM279" s="275">
        <v>0</v>
      </c>
      <c r="AN279" s="275">
        <v>0</v>
      </c>
      <c r="AO279" s="275">
        <v>0</v>
      </c>
      <c r="AP279" s="275">
        <v>0</v>
      </c>
      <c r="AQ279" s="275">
        <v>0</v>
      </c>
      <c r="AR279" s="275">
        <v>0</v>
      </c>
      <c r="AS279" s="275">
        <v>0</v>
      </c>
      <c r="AT279" s="275">
        <v>0</v>
      </c>
      <c r="AU279" s="275">
        <v>0</v>
      </c>
      <c r="AV279" s="275">
        <v>0</v>
      </c>
      <c r="AW279" s="275">
        <v>0</v>
      </c>
      <c r="AX279" s="275">
        <v>0</v>
      </c>
      <c r="AY279" s="275">
        <v>0</v>
      </c>
      <c r="AZ279" s="275">
        <v>0</v>
      </c>
      <c r="BA279" s="275">
        <v>0</v>
      </c>
      <c r="BB279" s="275">
        <v>0</v>
      </c>
      <c r="BC279" s="275">
        <v>0</v>
      </c>
      <c r="BD279" s="275">
        <v>0</v>
      </c>
      <c r="BE279" s="275">
        <v>0</v>
      </c>
      <c r="BF279" s="275">
        <v>0</v>
      </c>
      <c r="BG279" s="275">
        <v>0</v>
      </c>
      <c r="BH279" s="275">
        <v>0</v>
      </c>
      <c r="BI279" s="275">
        <v>0</v>
      </c>
      <c r="BJ279" s="275">
        <v>0</v>
      </c>
      <c r="BK279" s="275">
        <v>0</v>
      </c>
      <c r="BL279" s="275">
        <v>0</v>
      </c>
      <c r="BM279" s="275">
        <v>0</v>
      </c>
      <c r="BN279" s="275">
        <v>0</v>
      </c>
      <c r="BO279" s="275">
        <v>0</v>
      </c>
      <c r="BP279" s="275">
        <v>0</v>
      </c>
      <c r="BQ279" s="275">
        <v>0</v>
      </c>
      <c r="BR279" s="275">
        <v>0</v>
      </c>
      <c r="BS279" s="275">
        <v>0</v>
      </c>
    </row>
    <row r="280" spans="1:71" x14ac:dyDescent="0.3">
      <c r="A280" s="275">
        <v>620</v>
      </c>
      <c r="B280" s="275">
        <v>620</v>
      </c>
      <c r="C280" s="275" t="s">
        <v>701</v>
      </c>
      <c r="D280" s="275"/>
      <c r="E280" s="275">
        <v>1</v>
      </c>
      <c r="F280" s="275">
        <v>2</v>
      </c>
      <c r="G280" s="275">
        <v>2</v>
      </c>
      <c r="H280" s="275">
        <v>1</v>
      </c>
      <c r="I280" s="275">
        <v>2</v>
      </c>
      <c r="J280" s="275">
        <v>2</v>
      </c>
      <c r="K280" s="275">
        <v>2</v>
      </c>
      <c r="L280" s="275">
        <v>2</v>
      </c>
      <c r="M280" s="275">
        <v>2</v>
      </c>
      <c r="N280" s="275">
        <v>2</v>
      </c>
      <c r="O280" s="275">
        <v>2</v>
      </c>
      <c r="P280" s="275">
        <v>2</v>
      </c>
      <c r="Q280" s="275">
        <v>2</v>
      </c>
      <c r="R280" s="275">
        <v>2</v>
      </c>
      <c r="S280" s="275">
        <v>0</v>
      </c>
      <c r="T280" s="275">
        <v>2</v>
      </c>
      <c r="U280" s="275">
        <v>2</v>
      </c>
      <c r="V280" s="275">
        <v>2</v>
      </c>
      <c r="W280" s="275">
        <v>2</v>
      </c>
      <c r="X280" s="275">
        <v>2</v>
      </c>
      <c r="Y280" s="275">
        <v>2</v>
      </c>
      <c r="Z280" s="275">
        <v>2</v>
      </c>
      <c r="AA280" s="275">
        <v>2</v>
      </c>
      <c r="AB280" s="275">
        <v>2</v>
      </c>
      <c r="AC280" s="275">
        <v>2</v>
      </c>
      <c r="AD280" s="275">
        <v>2</v>
      </c>
      <c r="AE280" s="275">
        <v>2</v>
      </c>
      <c r="AF280" s="275">
        <v>2</v>
      </c>
      <c r="AG280" s="275">
        <v>2</v>
      </c>
      <c r="AH280" s="275">
        <v>1</v>
      </c>
      <c r="AI280" s="275">
        <v>2</v>
      </c>
      <c r="AJ280" s="275">
        <v>2</v>
      </c>
      <c r="AK280" s="275">
        <v>2</v>
      </c>
      <c r="AL280" s="275">
        <v>0</v>
      </c>
      <c r="AM280" s="275">
        <v>2</v>
      </c>
      <c r="AN280" s="275">
        <v>2</v>
      </c>
      <c r="AO280" s="275">
        <v>2</v>
      </c>
      <c r="AP280" s="275">
        <v>2</v>
      </c>
      <c r="AQ280" s="275">
        <v>2</v>
      </c>
      <c r="AR280" s="275">
        <v>2</v>
      </c>
      <c r="AS280" s="275">
        <v>2</v>
      </c>
      <c r="AT280" s="275">
        <v>2</v>
      </c>
      <c r="AU280" s="275">
        <v>2</v>
      </c>
      <c r="AV280" s="275">
        <v>0</v>
      </c>
      <c r="AW280" s="275">
        <v>2</v>
      </c>
      <c r="AX280" s="275">
        <v>2</v>
      </c>
      <c r="AY280" s="275">
        <v>1</v>
      </c>
      <c r="AZ280" s="275">
        <v>2</v>
      </c>
      <c r="BA280" s="275">
        <v>2</v>
      </c>
      <c r="BB280" s="275">
        <v>2</v>
      </c>
      <c r="BC280" s="275">
        <v>2</v>
      </c>
      <c r="BD280" s="275">
        <v>2</v>
      </c>
      <c r="BE280" s="275">
        <v>2</v>
      </c>
      <c r="BF280" s="275">
        <v>2</v>
      </c>
      <c r="BG280" s="275">
        <v>2</v>
      </c>
      <c r="BH280" s="275">
        <v>1</v>
      </c>
      <c r="BI280" s="275">
        <v>2</v>
      </c>
      <c r="BJ280" s="275">
        <v>2</v>
      </c>
      <c r="BK280" s="275">
        <v>2</v>
      </c>
      <c r="BL280" s="275">
        <v>2</v>
      </c>
      <c r="BM280" s="275">
        <v>2</v>
      </c>
      <c r="BN280" s="275">
        <v>0</v>
      </c>
      <c r="BO280" s="275">
        <v>2</v>
      </c>
      <c r="BP280" s="275">
        <v>2</v>
      </c>
      <c r="BQ280" s="275">
        <v>2</v>
      </c>
      <c r="BR280" s="275">
        <v>1</v>
      </c>
      <c r="BS280" s="275">
        <v>2</v>
      </c>
    </row>
    <row r="281" spans="1:71" x14ac:dyDescent="0.3">
      <c r="A281" s="275">
        <v>621</v>
      </c>
      <c r="B281" s="275">
        <v>621</v>
      </c>
      <c r="C281" s="275" t="s">
        <v>717</v>
      </c>
      <c r="D281" s="275"/>
      <c r="E281" s="275">
        <v>0</v>
      </c>
      <c r="F281" s="275">
        <v>0</v>
      </c>
      <c r="G281" s="275">
        <v>0</v>
      </c>
      <c r="H281" s="275">
        <v>0</v>
      </c>
      <c r="I281" s="275">
        <v>0</v>
      </c>
      <c r="J281" s="275">
        <v>0</v>
      </c>
      <c r="K281" s="275">
        <v>0</v>
      </c>
      <c r="L281" s="275">
        <v>0</v>
      </c>
      <c r="M281" s="275">
        <v>0</v>
      </c>
      <c r="N281" s="275">
        <v>0</v>
      </c>
      <c r="O281" s="275">
        <v>0</v>
      </c>
      <c r="P281" s="275">
        <v>0</v>
      </c>
      <c r="Q281" s="275">
        <v>0</v>
      </c>
      <c r="R281" s="275">
        <v>0</v>
      </c>
      <c r="S281" s="275">
        <v>0</v>
      </c>
      <c r="T281" s="275">
        <v>0</v>
      </c>
      <c r="U281" s="275">
        <v>0</v>
      </c>
      <c r="V281" s="275">
        <v>0</v>
      </c>
      <c r="W281" s="275">
        <v>0</v>
      </c>
      <c r="X281" s="275">
        <v>0</v>
      </c>
      <c r="Y281" s="275">
        <v>0</v>
      </c>
      <c r="Z281" s="275">
        <v>0</v>
      </c>
      <c r="AA281" s="275">
        <v>0</v>
      </c>
      <c r="AB281" s="275">
        <v>0</v>
      </c>
      <c r="AC281" s="275">
        <v>0</v>
      </c>
      <c r="AD281" s="275">
        <v>0</v>
      </c>
      <c r="AE281" s="275">
        <v>0</v>
      </c>
      <c r="AF281" s="275">
        <v>0</v>
      </c>
      <c r="AG281" s="275">
        <v>0</v>
      </c>
      <c r="AH281" s="275">
        <v>0</v>
      </c>
      <c r="AI281" s="275">
        <v>0</v>
      </c>
      <c r="AJ281" s="275">
        <v>0</v>
      </c>
      <c r="AK281" s="275">
        <v>0</v>
      </c>
      <c r="AL281" s="275">
        <v>0</v>
      </c>
      <c r="AM281" s="275">
        <v>0</v>
      </c>
      <c r="AN281" s="275">
        <v>0</v>
      </c>
      <c r="AO281" s="275">
        <v>0</v>
      </c>
      <c r="AP281" s="275">
        <v>0</v>
      </c>
      <c r="AQ281" s="275">
        <v>0</v>
      </c>
      <c r="AR281" s="275">
        <v>0</v>
      </c>
      <c r="AS281" s="275">
        <v>0</v>
      </c>
      <c r="AT281" s="1113">
        <v>2238634</v>
      </c>
      <c r="AU281" s="275">
        <v>0</v>
      </c>
      <c r="AV281" s="275">
        <v>0</v>
      </c>
      <c r="AW281" s="1113">
        <v>6227776</v>
      </c>
      <c r="AX281" s="275">
        <v>0</v>
      </c>
      <c r="AY281" s="1113">
        <v>4754310</v>
      </c>
      <c r="AZ281" s="275">
        <v>0</v>
      </c>
      <c r="BA281" s="275">
        <v>0</v>
      </c>
      <c r="BB281" s="275">
        <v>0</v>
      </c>
      <c r="BC281" s="275">
        <v>0</v>
      </c>
      <c r="BD281" s="275">
        <v>0</v>
      </c>
      <c r="BE281" s="275">
        <v>0</v>
      </c>
      <c r="BF281" s="275">
        <v>0</v>
      </c>
      <c r="BG281" s="275">
        <v>0</v>
      </c>
      <c r="BH281" s="275">
        <v>0</v>
      </c>
      <c r="BI281" s="275">
        <v>0</v>
      </c>
      <c r="BJ281" s="275">
        <v>0</v>
      </c>
      <c r="BK281" s="275">
        <v>0</v>
      </c>
      <c r="BL281" s="275">
        <v>0</v>
      </c>
      <c r="BM281" s="275">
        <v>0</v>
      </c>
      <c r="BN281" s="275">
        <v>0</v>
      </c>
      <c r="BO281" s="275">
        <v>0</v>
      </c>
      <c r="BP281" s="275">
        <v>0</v>
      </c>
      <c r="BQ281" s="275">
        <v>0</v>
      </c>
      <c r="BR281" s="275">
        <v>0</v>
      </c>
      <c r="BS281" s="275">
        <v>0</v>
      </c>
    </row>
    <row r="282" spans="1:71" x14ac:dyDescent="0.3">
      <c r="A282" s="275">
        <v>622</v>
      </c>
      <c r="B282" s="275">
        <v>622</v>
      </c>
      <c r="C282" s="275" t="s">
        <v>722</v>
      </c>
      <c r="D282" s="275"/>
      <c r="E282" s="1113">
        <v>1665859</v>
      </c>
      <c r="F282" s="1113">
        <v>833878</v>
      </c>
      <c r="G282" s="1113">
        <v>23012</v>
      </c>
      <c r="H282" s="1113">
        <v>4585025</v>
      </c>
      <c r="I282" s="275">
        <v>0</v>
      </c>
      <c r="J282" s="1113">
        <v>344227</v>
      </c>
      <c r="K282" s="1113">
        <v>587629</v>
      </c>
      <c r="L282" s="1113">
        <v>48633</v>
      </c>
      <c r="M282" s="1113">
        <v>10061577</v>
      </c>
      <c r="N282" s="275">
        <v>0</v>
      </c>
      <c r="O282" s="1113">
        <v>1231957</v>
      </c>
      <c r="P282" s="1113">
        <v>32976</v>
      </c>
      <c r="Q282" s="1113">
        <v>5603709</v>
      </c>
      <c r="R282" s="1113">
        <v>24417330</v>
      </c>
      <c r="S282" s="275">
        <v>0</v>
      </c>
      <c r="T282" s="275">
        <v>0</v>
      </c>
      <c r="U282" s="1113">
        <v>1102190</v>
      </c>
      <c r="V282" s="1113">
        <v>85879</v>
      </c>
      <c r="W282" s="1113">
        <v>66900</v>
      </c>
      <c r="X282" s="275">
        <v>0</v>
      </c>
      <c r="Y282" s="1113">
        <v>1257816</v>
      </c>
      <c r="Z282" s="1113">
        <v>115770</v>
      </c>
      <c r="AA282" s="1113">
        <v>44363</v>
      </c>
      <c r="AB282" s="1113">
        <v>51480</v>
      </c>
      <c r="AC282" s="1113">
        <v>1193762</v>
      </c>
      <c r="AD282" s="1113">
        <v>332365</v>
      </c>
      <c r="AE282" s="275">
        <v>0</v>
      </c>
      <c r="AF282" s="1113">
        <v>5546</v>
      </c>
      <c r="AG282" s="275">
        <v>0</v>
      </c>
      <c r="AH282" s="1113">
        <v>1306922</v>
      </c>
      <c r="AI282" s="1113">
        <v>880613</v>
      </c>
      <c r="AJ282" s="1113">
        <v>353953</v>
      </c>
      <c r="AK282" s="1113">
        <v>2437107</v>
      </c>
      <c r="AL282" s="275">
        <v>0</v>
      </c>
      <c r="AM282" s="275">
        <v>0</v>
      </c>
      <c r="AN282" s="1113">
        <v>786639</v>
      </c>
      <c r="AO282" s="1113">
        <v>79236</v>
      </c>
      <c r="AP282" s="1113">
        <v>805410</v>
      </c>
      <c r="AQ282" s="275">
        <v>0</v>
      </c>
      <c r="AR282" s="1113">
        <v>125497</v>
      </c>
      <c r="AS282" s="1113">
        <v>145899</v>
      </c>
      <c r="AT282" s="1113">
        <v>557500</v>
      </c>
      <c r="AU282" s="1113">
        <v>297492</v>
      </c>
      <c r="AV282" s="275">
        <v>0</v>
      </c>
      <c r="AW282" s="1113">
        <v>1484849</v>
      </c>
      <c r="AX282" s="1113">
        <v>194532</v>
      </c>
      <c r="AY282" s="1113">
        <v>1178342</v>
      </c>
      <c r="AZ282" s="275">
        <v>0</v>
      </c>
      <c r="BA282" s="275">
        <v>0</v>
      </c>
      <c r="BB282" s="1113">
        <v>558449</v>
      </c>
      <c r="BC282" s="1113">
        <v>311963</v>
      </c>
      <c r="BD282" s="275">
        <v>0</v>
      </c>
      <c r="BE282" s="275">
        <v>0</v>
      </c>
      <c r="BF282" s="1113">
        <v>3195070</v>
      </c>
      <c r="BG282" s="1113">
        <v>176028</v>
      </c>
      <c r="BH282" s="275">
        <v>0</v>
      </c>
      <c r="BI282" s="1113">
        <v>1502167</v>
      </c>
      <c r="BJ282" s="1113">
        <v>50768</v>
      </c>
      <c r="BK282" s="1113">
        <v>123362</v>
      </c>
      <c r="BL282" s="1113">
        <v>27994</v>
      </c>
      <c r="BM282" s="1113">
        <v>20639</v>
      </c>
      <c r="BN282" s="1113">
        <v>395707</v>
      </c>
      <c r="BO282" s="1113">
        <v>72831</v>
      </c>
      <c r="BP282" s="1113">
        <v>659034</v>
      </c>
      <c r="BQ282" s="1113">
        <v>12020182</v>
      </c>
      <c r="BR282" s="1113">
        <v>454541</v>
      </c>
      <c r="BS282" s="1113">
        <v>1291977</v>
      </c>
    </row>
    <row r="283" spans="1:71" x14ac:dyDescent="0.3">
      <c r="A283" s="275">
        <v>624</v>
      </c>
      <c r="B283" s="275">
        <v>624</v>
      </c>
      <c r="C283" s="275" t="s">
        <v>721</v>
      </c>
      <c r="D283" s="275"/>
      <c r="E283" s="275">
        <v>1</v>
      </c>
      <c r="F283" s="275">
        <v>1</v>
      </c>
      <c r="G283" s="275">
        <v>2</v>
      </c>
      <c r="H283" s="275">
        <v>1</v>
      </c>
      <c r="I283" s="275">
        <v>2</v>
      </c>
      <c r="J283" s="275">
        <v>2</v>
      </c>
      <c r="K283" s="275">
        <v>1</v>
      </c>
      <c r="L283" s="275">
        <v>1</v>
      </c>
      <c r="M283" s="275">
        <v>1</v>
      </c>
      <c r="N283" s="275">
        <v>1</v>
      </c>
      <c r="O283" s="275">
        <v>1</v>
      </c>
      <c r="P283" s="275">
        <v>1</v>
      </c>
      <c r="Q283" s="275">
        <v>1</v>
      </c>
      <c r="R283" s="275">
        <v>1</v>
      </c>
      <c r="S283" s="275">
        <v>0</v>
      </c>
      <c r="T283" s="275">
        <v>1</v>
      </c>
      <c r="U283" s="275">
        <v>1</v>
      </c>
      <c r="V283" s="275">
        <v>2</v>
      </c>
      <c r="W283" s="275">
        <v>2</v>
      </c>
      <c r="X283" s="275">
        <v>2</v>
      </c>
      <c r="Y283" s="275">
        <v>2</v>
      </c>
      <c r="Z283" s="275">
        <v>1</v>
      </c>
      <c r="AA283" s="275">
        <v>1</v>
      </c>
      <c r="AB283" s="275">
        <v>2</v>
      </c>
      <c r="AC283" s="275">
        <v>1</v>
      </c>
      <c r="AD283" s="275">
        <v>2</v>
      </c>
      <c r="AE283" s="275">
        <v>1</v>
      </c>
      <c r="AF283" s="275">
        <v>2</v>
      </c>
      <c r="AG283" s="275">
        <v>1</v>
      </c>
      <c r="AH283" s="275">
        <v>1</v>
      </c>
      <c r="AI283" s="275">
        <v>2</v>
      </c>
      <c r="AJ283" s="275">
        <v>2</v>
      </c>
      <c r="AK283" s="275">
        <v>1</v>
      </c>
      <c r="AL283" s="275">
        <v>0</v>
      </c>
      <c r="AM283" s="275">
        <v>1</v>
      </c>
      <c r="AN283" s="275">
        <v>1</v>
      </c>
      <c r="AO283" s="275">
        <v>2</v>
      </c>
      <c r="AP283" s="275">
        <v>1</v>
      </c>
      <c r="AQ283" s="275">
        <v>1</v>
      </c>
      <c r="AR283" s="275">
        <v>1</v>
      </c>
      <c r="AS283" s="275">
        <v>2</v>
      </c>
      <c r="AT283" s="275">
        <v>2</v>
      </c>
      <c r="AU283" s="275">
        <v>1</v>
      </c>
      <c r="AV283" s="275">
        <v>0</v>
      </c>
      <c r="AW283" s="275">
        <v>1</v>
      </c>
      <c r="AX283" s="275">
        <v>1</v>
      </c>
      <c r="AY283" s="275">
        <v>2</v>
      </c>
      <c r="AZ283" s="275">
        <v>1</v>
      </c>
      <c r="BA283" s="275">
        <v>1</v>
      </c>
      <c r="BB283" s="275">
        <v>1</v>
      </c>
      <c r="BC283" s="275">
        <v>1</v>
      </c>
      <c r="BD283" s="275">
        <v>1</v>
      </c>
      <c r="BE283" s="275">
        <v>2</v>
      </c>
      <c r="BF283" s="275">
        <v>1</v>
      </c>
      <c r="BG283" s="275">
        <v>1</v>
      </c>
      <c r="BH283" s="275">
        <v>1</v>
      </c>
      <c r="BI283" s="275">
        <v>1</v>
      </c>
      <c r="BJ283" s="275">
        <v>2</v>
      </c>
      <c r="BK283" s="275">
        <v>1</v>
      </c>
      <c r="BL283" s="275">
        <v>1</v>
      </c>
      <c r="BM283" s="275">
        <v>1</v>
      </c>
      <c r="BN283" s="275">
        <v>2</v>
      </c>
      <c r="BO283" s="275">
        <v>2</v>
      </c>
      <c r="BP283" s="275">
        <v>1</v>
      </c>
      <c r="BQ283" s="275">
        <v>2</v>
      </c>
      <c r="BR283" s="275">
        <v>2</v>
      </c>
      <c r="BS283" s="275">
        <v>1</v>
      </c>
    </row>
    <row r="284" spans="1:71" ht="100.8" x14ac:dyDescent="0.3">
      <c r="A284" s="275">
        <v>625</v>
      </c>
      <c r="B284" s="275">
        <v>625</v>
      </c>
      <c r="C284" s="967" t="s">
        <v>820</v>
      </c>
      <c r="D284" s="275"/>
      <c r="E284" s="275">
        <v>3</v>
      </c>
      <c r="F284" s="275">
        <v>4</v>
      </c>
      <c r="G284" s="275">
        <v>1</v>
      </c>
      <c r="H284" s="275">
        <v>1</v>
      </c>
      <c r="I284" s="275">
        <v>1</v>
      </c>
      <c r="J284" s="275">
        <v>4</v>
      </c>
      <c r="K284" s="275">
        <v>3</v>
      </c>
      <c r="L284" s="275">
        <v>3</v>
      </c>
      <c r="M284" s="275">
        <v>1</v>
      </c>
      <c r="N284" s="275">
        <v>1</v>
      </c>
      <c r="O284" s="275">
        <v>1</v>
      </c>
      <c r="P284" s="275">
        <v>1</v>
      </c>
      <c r="Q284" s="275">
        <v>1</v>
      </c>
      <c r="R284" s="275">
        <v>1</v>
      </c>
      <c r="S284" s="275">
        <v>0</v>
      </c>
      <c r="T284" s="275">
        <v>4</v>
      </c>
      <c r="U284" s="275">
        <v>1</v>
      </c>
      <c r="V284" s="275">
        <v>1</v>
      </c>
      <c r="W284" s="275">
        <v>1</v>
      </c>
      <c r="X284" s="275">
        <v>1</v>
      </c>
      <c r="Y284" s="275">
        <v>3</v>
      </c>
      <c r="Z284" s="275">
        <v>4</v>
      </c>
      <c r="AA284" s="275">
        <v>1</v>
      </c>
      <c r="AB284" s="275">
        <v>1</v>
      </c>
      <c r="AC284" s="275">
        <v>1</v>
      </c>
      <c r="AD284" s="275">
        <v>1</v>
      </c>
      <c r="AE284" s="275">
        <v>3</v>
      </c>
      <c r="AF284" s="275">
        <v>1</v>
      </c>
      <c r="AG284" s="275">
        <v>3</v>
      </c>
      <c r="AH284" s="275">
        <v>3</v>
      </c>
      <c r="AI284" s="275">
        <v>3</v>
      </c>
      <c r="AJ284" s="275">
        <v>3</v>
      </c>
      <c r="AK284" s="275">
        <v>3</v>
      </c>
      <c r="AL284" s="275">
        <v>0</v>
      </c>
      <c r="AM284" s="275">
        <v>1</v>
      </c>
      <c r="AN284" s="275">
        <v>0</v>
      </c>
      <c r="AO284" s="275">
        <v>1</v>
      </c>
      <c r="AP284" s="275">
        <v>1</v>
      </c>
      <c r="AQ284" s="275">
        <v>1</v>
      </c>
      <c r="AR284" s="275">
        <v>4</v>
      </c>
      <c r="AS284" s="275">
        <v>1</v>
      </c>
      <c r="AT284" s="275">
        <v>1</v>
      </c>
      <c r="AU284" s="275">
        <v>1</v>
      </c>
      <c r="AV284" s="275">
        <v>0</v>
      </c>
      <c r="AW284" s="275">
        <v>1</v>
      </c>
      <c r="AX284" s="275">
        <v>1</v>
      </c>
      <c r="AY284" s="275">
        <v>1</v>
      </c>
      <c r="AZ284" s="275">
        <v>3</v>
      </c>
      <c r="BA284" s="275">
        <v>1</v>
      </c>
      <c r="BB284" s="275">
        <v>3</v>
      </c>
      <c r="BC284" s="275">
        <v>1</v>
      </c>
      <c r="BD284" s="275">
        <v>1</v>
      </c>
      <c r="BE284" s="275">
        <v>4</v>
      </c>
      <c r="BF284" s="275">
        <v>1</v>
      </c>
      <c r="BG284" s="275">
        <v>1</v>
      </c>
      <c r="BH284" s="275">
        <v>1</v>
      </c>
      <c r="BI284" s="275">
        <v>3</v>
      </c>
      <c r="BJ284" s="275">
        <v>3</v>
      </c>
      <c r="BK284" s="275">
        <v>3</v>
      </c>
      <c r="BL284" s="275">
        <v>1</v>
      </c>
      <c r="BM284" s="275">
        <v>1</v>
      </c>
      <c r="BN284" s="275">
        <v>3</v>
      </c>
      <c r="BO284" s="275">
        <v>3</v>
      </c>
      <c r="BP284" s="275">
        <v>3</v>
      </c>
      <c r="BQ284" s="275">
        <v>1</v>
      </c>
      <c r="BR284" s="275">
        <v>3</v>
      </c>
      <c r="BS284" s="275">
        <v>1</v>
      </c>
    </row>
    <row r="285" spans="1:71" x14ac:dyDescent="0.3">
      <c r="A285" s="275"/>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75"/>
      <c r="AE285" s="275"/>
      <c r="AF285" s="275"/>
      <c r="AG285" s="275"/>
      <c r="AH285" s="275"/>
      <c r="AI285" s="275"/>
      <c r="AJ285" s="275"/>
      <c r="AK285" s="275"/>
      <c r="AL285" s="275"/>
      <c r="AM285" s="275"/>
      <c r="AN285" s="275"/>
      <c r="AO285" s="275"/>
      <c r="AP285" s="275"/>
      <c r="AQ285" s="275"/>
      <c r="AR285" s="275"/>
      <c r="AS285" s="275"/>
      <c r="AT285" s="275"/>
      <c r="AU285" s="275"/>
      <c r="AV285" s="275"/>
      <c r="AW285" s="275"/>
      <c r="AX285" s="275"/>
      <c r="AY285" s="275"/>
      <c r="AZ285" s="275"/>
      <c r="BA285" s="275"/>
      <c r="BB285" s="275"/>
      <c r="BC285" s="275"/>
      <c r="BD285" s="275"/>
      <c r="BE285" s="275"/>
      <c r="BF285" s="275"/>
      <c r="BG285" s="275"/>
      <c r="BH285" s="275"/>
      <c r="BI285" s="275"/>
      <c r="BJ285" s="275"/>
      <c r="BK285" s="275"/>
      <c r="BL285" s="275"/>
      <c r="BM285" s="275"/>
      <c r="BN285" s="275"/>
      <c r="BO285" s="275"/>
      <c r="BP285" s="275"/>
      <c r="BQ285" s="275"/>
      <c r="BR285" s="275"/>
      <c r="BS285" s="275"/>
    </row>
    <row r="286" spans="1:71" x14ac:dyDescent="0.3">
      <c r="A286" s="275"/>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75"/>
      <c r="AE286" s="275"/>
      <c r="AF286" s="275"/>
      <c r="AG286" s="275"/>
      <c r="AH286" s="275"/>
      <c r="AI286" s="275"/>
      <c r="AJ286" s="275"/>
      <c r="AK286" s="275"/>
      <c r="AL286" s="275"/>
      <c r="AM286" s="275"/>
      <c r="AN286" s="275"/>
      <c r="AO286" s="275"/>
      <c r="AP286" s="275"/>
      <c r="AQ286" s="275"/>
      <c r="AR286" s="275"/>
      <c r="AS286" s="275"/>
      <c r="AT286" s="275"/>
      <c r="AU286" s="275"/>
      <c r="AV286" s="275"/>
      <c r="AW286" s="275"/>
      <c r="AX286" s="275"/>
      <c r="AY286" s="275"/>
      <c r="AZ286" s="275"/>
      <c r="BA286" s="275"/>
      <c r="BB286" s="275"/>
      <c r="BC286" s="275"/>
      <c r="BD286" s="275"/>
      <c r="BE286" s="275"/>
      <c r="BF286" s="275"/>
      <c r="BG286" s="275"/>
      <c r="BH286" s="275"/>
      <c r="BI286" s="275"/>
      <c r="BJ286" s="275"/>
      <c r="BK286" s="275"/>
      <c r="BL286" s="275"/>
      <c r="BM286" s="275"/>
      <c r="BN286" s="275"/>
      <c r="BO286" s="275"/>
      <c r="BP286" s="275"/>
      <c r="BQ286" s="275"/>
      <c r="BR286" s="275"/>
      <c r="BS286" s="275"/>
    </row>
    <row r="287" spans="1:71" x14ac:dyDescent="0.3">
      <c r="A287" s="275"/>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75"/>
      <c r="AE287" s="275"/>
      <c r="AF287" s="275"/>
      <c r="AG287" s="275"/>
      <c r="AH287" s="275"/>
      <c r="AI287" s="275"/>
      <c r="AJ287" s="275"/>
      <c r="AK287" s="275"/>
      <c r="AL287" s="275"/>
      <c r="AM287" s="275"/>
      <c r="AN287" s="275"/>
      <c r="AO287" s="275"/>
      <c r="AP287" s="275"/>
      <c r="AQ287" s="275"/>
      <c r="AR287" s="275"/>
      <c r="AS287" s="275"/>
      <c r="AT287" s="275"/>
      <c r="AU287" s="275"/>
      <c r="AV287" s="275"/>
      <c r="AW287" s="275"/>
      <c r="AX287" s="275"/>
      <c r="AY287" s="275"/>
      <c r="AZ287" s="275"/>
      <c r="BA287" s="275"/>
      <c r="BB287" s="275"/>
      <c r="BC287" s="275"/>
      <c r="BD287" s="275"/>
      <c r="BE287" s="275"/>
      <c r="BF287" s="275"/>
      <c r="BG287" s="275"/>
      <c r="BH287" s="275"/>
      <c r="BI287" s="275"/>
      <c r="BJ287" s="275"/>
      <c r="BK287" s="275"/>
      <c r="BL287" s="275"/>
      <c r="BM287" s="275"/>
      <c r="BN287" s="275"/>
      <c r="BO287" s="275"/>
      <c r="BP287" s="275"/>
      <c r="BQ287" s="275"/>
      <c r="BR287" s="275"/>
      <c r="BS287" s="275"/>
    </row>
    <row r="288" spans="1:71" x14ac:dyDescent="0.3">
      <c r="A288" s="1114"/>
      <c r="B288" s="1114"/>
      <c r="C288" s="1115"/>
      <c r="D288" s="1116"/>
      <c r="E288" s="1117"/>
      <c r="F288" s="1117"/>
      <c r="G288" s="1117"/>
      <c r="H288" s="1117"/>
      <c r="I288" s="1117"/>
      <c r="J288" s="1117"/>
      <c r="K288" s="1117"/>
      <c r="L288" s="1117"/>
      <c r="M288" s="1117"/>
      <c r="N288" s="1117"/>
      <c r="O288" s="1117"/>
      <c r="P288" s="1117"/>
      <c r="Q288" s="1117"/>
      <c r="R288" s="1117"/>
      <c r="S288" s="1117"/>
      <c r="T288" s="1117"/>
      <c r="U288" s="1117"/>
      <c r="V288" s="1117"/>
      <c r="W288" s="1117"/>
      <c r="X288" s="1117"/>
      <c r="Y288" s="1117"/>
      <c r="Z288" s="1117"/>
      <c r="AA288" s="1117"/>
      <c r="AB288" s="1117"/>
      <c r="AC288" s="1117"/>
      <c r="AD288" s="1117"/>
      <c r="AE288" s="1117"/>
      <c r="AF288" s="1117"/>
      <c r="AG288" s="1117"/>
      <c r="AH288" s="1117"/>
      <c r="AI288" s="1117"/>
      <c r="AJ288" s="1117"/>
      <c r="AK288" s="1117"/>
      <c r="AL288" s="1117"/>
      <c r="AM288" s="1117"/>
      <c r="AN288" s="1117"/>
      <c r="AO288" s="1117"/>
      <c r="AP288" s="1117"/>
      <c r="AQ288" s="1117"/>
      <c r="AR288" s="1117"/>
      <c r="AS288" s="1117"/>
      <c r="AT288" s="1117"/>
      <c r="AU288" s="1117"/>
      <c r="AV288" s="1117"/>
      <c r="AW288" s="1117"/>
      <c r="AX288" s="1117"/>
      <c r="AY288" s="1117"/>
      <c r="AZ288" s="1117"/>
      <c r="BA288" s="1117"/>
      <c r="BB288" s="1117"/>
      <c r="BC288" s="1117"/>
      <c r="BD288" s="1117"/>
      <c r="BE288" s="1117"/>
      <c r="BF288" s="1117"/>
      <c r="BG288" s="1117"/>
      <c r="BH288" s="1117"/>
      <c r="BI288" s="1117"/>
      <c r="BJ288" s="1117"/>
      <c r="BK288" s="1117"/>
      <c r="BL288" s="1117"/>
      <c r="BM288" s="1117"/>
      <c r="BN288" s="1117"/>
      <c r="BO288" s="1117"/>
      <c r="BP288" s="1117"/>
      <c r="BQ288" s="1117"/>
      <c r="BR288" s="1117"/>
      <c r="BS288" s="1117"/>
    </row>
    <row r="289" spans="1:71" x14ac:dyDescent="0.3">
      <c r="A289" s="1114">
        <v>647</v>
      </c>
      <c r="B289" s="1114">
        <v>647</v>
      </c>
      <c r="C289" s="1115" t="s">
        <v>790</v>
      </c>
      <c r="D289" s="1116"/>
      <c r="E289" s="1117">
        <v>0</v>
      </c>
      <c r="F289" s="1117">
        <v>0</v>
      </c>
      <c r="G289" s="1117">
        <v>0</v>
      </c>
      <c r="H289" s="1117">
        <v>0</v>
      </c>
      <c r="I289" s="1117">
        <v>0</v>
      </c>
      <c r="J289" s="1117">
        <v>0</v>
      </c>
      <c r="K289" s="1117">
        <v>0</v>
      </c>
      <c r="L289" s="1117">
        <v>0</v>
      </c>
      <c r="M289" s="1117">
        <v>0</v>
      </c>
      <c r="N289" s="1117">
        <v>0</v>
      </c>
      <c r="O289" s="1117">
        <v>0</v>
      </c>
      <c r="P289" s="1117">
        <v>0</v>
      </c>
      <c r="Q289" s="1117">
        <v>0</v>
      </c>
      <c r="R289" s="1117">
        <v>0</v>
      </c>
      <c r="S289" s="1117">
        <v>0</v>
      </c>
      <c r="T289" s="1117">
        <v>0</v>
      </c>
      <c r="U289" s="1117">
        <v>0</v>
      </c>
      <c r="V289" s="1117">
        <v>0</v>
      </c>
      <c r="W289" s="1117">
        <v>0</v>
      </c>
      <c r="X289" s="1117">
        <v>0</v>
      </c>
      <c r="Y289" s="1117">
        <v>0</v>
      </c>
      <c r="Z289" s="1117">
        <v>0</v>
      </c>
      <c r="AA289" s="1117">
        <v>0</v>
      </c>
      <c r="AB289" s="1117">
        <v>0</v>
      </c>
      <c r="AC289" s="1117">
        <v>0</v>
      </c>
      <c r="AD289" s="1117">
        <v>0</v>
      </c>
      <c r="AE289" s="1117">
        <v>0</v>
      </c>
      <c r="AF289" s="1117">
        <v>0</v>
      </c>
      <c r="AG289" s="1117">
        <v>0</v>
      </c>
      <c r="AH289" s="1117">
        <v>0</v>
      </c>
      <c r="AI289" s="1117">
        <v>0</v>
      </c>
      <c r="AJ289" s="1117">
        <v>0</v>
      </c>
      <c r="AK289" s="1117">
        <v>0</v>
      </c>
      <c r="AL289" s="1117">
        <v>0</v>
      </c>
      <c r="AM289" s="1117">
        <v>0</v>
      </c>
      <c r="AN289" s="1117">
        <v>0</v>
      </c>
      <c r="AO289" s="1117">
        <v>0</v>
      </c>
      <c r="AP289" s="1117">
        <v>0</v>
      </c>
      <c r="AQ289" s="1117">
        <v>0</v>
      </c>
      <c r="AR289" s="1117">
        <v>0</v>
      </c>
      <c r="AS289" s="1117">
        <v>0</v>
      </c>
      <c r="AT289" s="1117">
        <v>0</v>
      </c>
      <c r="AU289" s="1117">
        <v>0</v>
      </c>
      <c r="AV289" s="1117">
        <v>0</v>
      </c>
      <c r="AW289" s="1117">
        <v>0</v>
      </c>
      <c r="AX289" s="1117">
        <v>0</v>
      </c>
      <c r="AY289" s="1117">
        <v>0</v>
      </c>
      <c r="AZ289" s="1117">
        <v>0</v>
      </c>
      <c r="BA289" s="1117">
        <v>0</v>
      </c>
      <c r="BB289" s="1117">
        <v>0</v>
      </c>
      <c r="BC289" s="1117">
        <v>0</v>
      </c>
      <c r="BD289" s="1117">
        <v>0</v>
      </c>
      <c r="BE289" s="1117">
        <v>0</v>
      </c>
      <c r="BF289" s="1117">
        <v>0</v>
      </c>
      <c r="BG289" s="1117">
        <v>0</v>
      </c>
      <c r="BH289" s="1117">
        <v>0</v>
      </c>
      <c r="BI289" s="1117">
        <v>0</v>
      </c>
      <c r="BJ289" s="1117">
        <v>0</v>
      </c>
      <c r="BK289" s="1117">
        <v>0</v>
      </c>
      <c r="BL289" s="1117">
        <v>0</v>
      </c>
      <c r="BM289" s="1117">
        <v>0</v>
      </c>
      <c r="BN289" s="1117">
        <v>0</v>
      </c>
      <c r="BO289" s="1117">
        <v>0</v>
      </c>
      <c r="BP289" s="1117">
        <v>0</v>
      </c>
      <c r="BQ289" s="1117">
        <v>0</v>
      </c>
      <c r="BR289" s="1117">
        <v>0</v>
      </c>
      <c r="BS289" s="1117">
        <v>0</v>
      </c>
    </row>
    <row r="290" spans="1:71" x14ac:dyDescent="0.3">
      <c r="A290" s="1118" t="s">
        <v>791</v>
      </c>
      <c r="B290" s="1119"/>
      <c r="C290" s="1119" t="s">
        <v>794</v>
      </c>
      <c r="D290" s="1119"/>
      <c r="E290" s="130">
        <f t="shared" ref="E290:BP290" si="0">E156+E186-E3-E4-E5+E289</f>
        <v>3166029</v>
      </c>
      <c r="F290" s="130">
        <f t="shared" si="0"/>
        <v>948742</v>
      </c>
      <c r="G290" s="130">
        <f t="shared" si="0"/>
        <v>2330009</v>
      </c>
      <c r="H290" s="130">
        <f t="shared" si="0"/>
        <v>5419734</v>
      </c>
      <c r="I290" s="130">
        <f t="shared" si="0"/>
        <v>476817</v>
      </c>
      <c r="J290" s="130">
        <f t="shared" si="0"/>
        <v>907709</v>
      </c>
      <c r="K290" s="130">
        <f t="shared" si="0"/>
        <v>4133001</v>
      </c>
      <c r="L290" s="130">
        <f t="shared" si="0"/>
        <v>321159</v>
      </c>
      <c r="M290" s="130">
        <f t="shared" si="0"/>
        <v>30743908</v>
      </c>
      <c r="N290" s="130">
        <f t="shared" si="0"/>
        <v>84775</v>
      </c>
      <c r="O290" s="130">
        <f t="shared" si="0"/>
        <v>8770890</v>
      </c>
      <c r="P290" s="130">
        <f t="shared" si="0"/>
        <v>981163</v>
      </c>
      <c r="Q290" s="130">
        <f t="shared" si="0"/>
        <v>19240683</v>
      </c>
      <c r="R290" s="130">
        <f t="shared" si="0"/>
        <v>59602772</v>
      </c>
      <c r="S290" s="130" t="e">
        <f t="shared" si="0"/>
        <v>#VALUE!</v>
      </c>
      <c r="T290" s="130">
        <f t="shared" si="0"/>
        <v>692132</v>
      </c>
      <c r="U290" s="130">
        <f t="shared" si="0"/>
        <v>3322659</v>
      </c>
      <c r="V290" s="130">
        <f t="shared" si="0"/>
        <v>884757</v>
      </c>
      <c r="W290" s="130">
        <f t="shared" si="0"/>
        <v>369622</v>
      </c>
      <c r="X290" s="130">
        <f t="shared" si="0"/>
        <v>307284</v>
      </c>
      <c r="Y290" s="130">
        <f t="shared" si="0"/>
        <v>1250092</v>
      </c>
      <c r="Z290" s="130">
        <f t="shared" si="0"/>
        <v>336548</v>
      </c>
      <c r="AA290" s="130">
        <f t="shared" si="0"/>
        <v>873806</v>
      </c>
      <c r="AB290" s="130">
        <f t="shared" si="0"/>
        <v>707767</v>
      </c>
      <c r="AC290" s="130">
        <f t="shared" si="0"/>
        <v>4760262</v>
      </c>
      <c r="AD290" s="130">
        <f t="shared" si="0"/>
        <v>2076894</v>
      </c>
      <c r="AE290" s="130">
        <f t="shared" si="0"/>
        <v>47204</v>
      </c>
      <c r="AF290" s="130">
        <f t="shared" si="0"/>
        <v>189665</v>
      </c>
      <c r="AG290" s="130">
        <f t="shared" si="0"/>
        <v>168903</v>
      </c>
      <c r="AH290" s="130">
        <f t="shared" si="0"/>
        <v>3505552</v>
      </c>
      <c r="AI290" s="130">
        <f t="shared" si="0"/>
        <v>7733157</v>
      </c>
      <c r="AJ290" s="130">
        <f t="shared" si="0"/>
        <v>1062002</v>
      </c>
      <c r="AK290" s="130">
        <f t="shared" si="0"/>
        <v>4177101</v>
      </c>
      <c r="AL290" s="130" t="e">
        <f t="shared" si="0"/>
        <v>#VALUE!</v>
      </c>
      <c r="AM290" s="130">
        <f t="shared" si="0"/>
        <v>76367</v>
      </c>
      <c r="AN290" s="130">
        <f t="shared" si="0"/>
        <v>1948307</v>
      </c>
      <c r="AO290" s="130">
        <f t="shared" si="0"/>
        <v>2554620</v>
      </c>
      <c r="AP290" s="130">
        <f t="shared" si="0"/>
        <v>1818182</v>
      </c>
      <c r="AQ290" s="130">
        <f t="shared" si="0"/>
        <v>410532</v>
      </c>
      <c r="AR290" s="130">
        <f t="shared" si="0"/>
        <v>1212373</v>
      </c>
      <c r="AS290" s="130">
        <f t="shared" si="0"/>
        <v>713367</v>
      </c>
      <c r="AT290" s="130">
        <f t="shared" si="0"/>
        <v>3285215</v>
      </c>
      <c r="AU290" s="130">
        <f t="shared" si="0"/>
        <v>2296077</v>
      </c>
      <c r="AV290" s="130" t="e">
        <f t="shared" si="0"/>
        <v>#VALUE!</v>
      </c>
      <c r="AW290" s="130">
        <f t="shared" si="0"/>
        <v>3713800</v>
      </c>
      <c r="AX290" s="130">
        <f t="shared" si="0"/>
        <v>642851</v>
      </c>
      <c r="AY290" s="130">
        <f t="shared" si="0"/>
        <v>5069351</v>
      </c>
      <c r="AZ290" s="130">
        <f t="shared" si="0"/>
        <v>47949</v>
      </c>
      <c r="BA290" s="130">
        <f t="shared" si="0"/>
        <v>472203</v>
      </c>
      <c r="BB290" s="130">
        <f t="shared" si="0"/>
        <v>1589989</v>
      </c>
      <c r="BC290" s="130">
        <f t="shared" si="0"/>
        <v>1436870</v>
      </c>
      <c r="BD290" s="130">
        <f t="shared" si="0"/>
        <v>813809</v>
      </c>
      <c r="BE290" s="130">
        <f t="shared" si="0"/>
        <v>284940</v>
      </c>
      <c r="BF290" s="130">
        <f t="shared" si="0"/>
        <v>11911471</v>
      </c>
      <c r="BG290" s="130">
        <f t="shared" si="0"/>
        <v>577717</v>
      </c>
      <c r="BH290" s="130">
        <f t="shared" si="0"/>
        <v>287029</v>
      </c>
      <c r="BI290" s="130">
        <f t="shared" si="0"/>
        <v>3534200</v>
      </c>
      <c r="BJ290" s="130">
        <f t="shared" si="0"/>
        <v>566734</v>
      </c>
      <c r="BK290" s="130">
        <f t="shared" si="0"/>
        <v>979478</v>
      </c>
      <c r="BL290" s="130">
        <f t="shared" si="0"/>
        <v>600272</v>
      </c>
      <c r="BM290" s="130">
        <f t="shared" si="0"/>
        <v>1088825</v>
      </c>
      <c r="BN290" s="130">
        <f t="shared" si="0"/>
        <v>2360722</v>
      </c>
      <c r="BO290" s="130">
        <f t="shared" si="0"/>
        <v>769995</v>
      </c>
      <c r="BP290" s="130">
        <f t="shared" si="0"/>
        <v>3466443</v>
      </c>
      <c r="BQ290" s="130">
        <f t="shared" ref="BQ290:BS290" si="1">BQ156+BQ186-BQ3-BQ4-BQ5+BQ289</f>
        <v>28251851</v>
      </c>
      <c r="BR290" s="130">
        <f t="shared" si="1"/>
        <v>1331699</v>
      </c>
      <c r="BS290" s="130">
        <f t="shared" si="1"/>
        <v>6908107</v>
      </c>
    </row>
    <row r="291" spans="1:71" x14ac:dyDescent="0.3">
      <c r="A291" s="1118" t="s">
        <v>792</v>
      </c>
      <c r="B291" s="1119"/>
      <c r="C291" s="1119" t="s">
        <v>800</v>
      </c>
      <c r="D291" s="1119"/>
      <c r="E291" s="130">
        <f>E182+E159+E15-E183-E158</f>
        <v>8553730</v>
      </c>
      <c r="F291" s="130">
        <f t="shared" ref="F291:BQ291" si="2">F182+F159+F15-F183-F158</f>
        <v>5621834</v>
      </c>
      <c r="G291" s="130">
        <f t="shared" si="2"/>
        <v>331755</v>
      </c>
      <c r="H291" s="130">
        <f t="shared" si="2"/>
        <v>16597185</v>
      </c>
      <c r="I291" s="130">
        <f t="shared" si="2"/>
        <v>133310</v>
      </c>
      <c r="J291" s="130">
        <f t="shared" si="2"/>
        <v>1186180</v>
      </c>
      <c r="K291" s="130">
        <f t="shared" si="2"/>
        <v>3720425</v>
      </c>
      <c r="L291" s="130">
        <f t="shared" si="2"/>
        <v>444145</v>
      </c>
      <c r="M291" s="130">
        <f t="shared" si="2"/>
        <v>55314476</v>
      </c>
      <c r="N291" s="130">
        <f t="shared" si="2"/>
        <v>24004</v>
      </c>
      <c r="O291" s="130">
        <f t="shared" si="2"/>
        <v>9479631</v>
      </c>
      <c r="P291" s="130">
        <f t="shared" si="2"/>
        <v>1636654</v>
      </c>
      <c r="Q291" s="130">
        <f t="shared" si="2"/>
        <v>27533760</v>
      </c>
      <c r="R291" s="130">
        <f t="shared" si="2"/>
        <v>123185455</v>
      </c>
      <c r="S291" s="130">
        <f t="shared" si="2"/>
        <v>0</v>
      </c>
      <c r="T291" s="130">
        <f t="shared" si="2"/>
        <v>484895</v>
      </c>
      <c r="U291" s="130">
        <f t="shared" si="2"/>
        <v>7050365</v>
      </c>
      <c r="V291" s="130">
        <f t="shared" si="2"/>
        <v>631174</v>
      </c>
      <c r="W291" s="130">
        <f t="shared" si="2"/>
        <v>409401</v>
      </c>
      <c r="X291" s="130">
        <f t="shared" si="2"/>
        <v>176874</v>
      </c>
      <c r="Y291" s="130" t="e">
        <f t="shared" si="2"/>
        <v>#VALUE!</v>
      </c>
      <c r="Z291" s="130">
        <f t="shared" si="2"/>
        <v>1247347</v>
      </c>
      <c r="AA291" s="130">
        <f t="shared" si="2"/>
        <v>483551</v>
      </c>
      <c r="AB291" s="130">
        <f t="shared" si="2"/>
        <v>687067</v>
      </c>
      <c r="AC291" s="130">
        <f t="shared" si="2"/>
        <v>13736281</v>
      </c>
      <c r="AD291" s="130">
        <f t="shared" si="2"/>
        <v>2141724</v>
      </c>
      <c r="AE291" s="130">
        <f t="shared" si="2"/>
        <v>229737</v>
      </c>
      <c r="AF291" s="130">
        <f t="shared" si="2"/>
        <v>311926</v>
      </c>
      <c r="AG291" s="130">
        <f t="shared" si="2"/>
        <v>40891</v>
      </c>
      <c r="AH291" s="130">
        <f t="shared" si="2"/>
        <v>7890791</v>
      </c>
      <c r="AI291" s="130">
        <f t="shared" si="2"/>
        <v>6455597</v>
      </c>
      <c r="AJ291" s="130">
        <f t="shared" si="2"/>
        <v>1681365</v>
      </c>
      <c r="AK291" s="130">
        <f t="shared" si="2"/>
        <v>12971031</v>
      </c>
      <c r="AL291" s="130">
        <f t="shared" si="2"/>
        <v>0</v>
      </c>
      <c r="AM291" s="130">
        <f t="shared" si="2"/>
        <v>81738</v>
      </c>
      <c r="AN291" s="130">
        <f t="shared" si="2"/>
        <v>4766086</v>
      </c>
      <c r="AO291" s="130">
        <f t="shared" si="2"/>
        <v>1797440</v>
      </c>
      <c r="AP291" s="130">
        <f t="shared" si="2"/>
        <v>4196906</v>
      </c>
      <c r="AQ291" s="130">
        <f t="shared" si="2"/>
        <v>179743</v>
      </c>
      <c r="AR291" s="130">
        <f t="shared" si="2"/>
        <v>855529</v>
      </c>
      <c r="AS291" s="130">
        <f t="shared" si="2"/>
        <v>1077718</v>
      </c>
      <c r="AT291" s="130">
        <f t="shared" si="2"/>
        <v>4522093</v>
      </c>
      <c r="AU291" s="130">
        <f t="shared" si="2"/>
        <v>1796893</v>
      </c>
      <c r="AV291" s="130">
        <f t="shared" si="2"/>
        <v>0</v>
      </c>
      <c r="AW291" s="130">
        <f t="shared" si="2"/>
        <v>8423628</v>
      </c>
      <c r="AX291" s="130">
        <f t="shared" si="2"/>
        <v>1335105</v>
      </c>
      <c r="AY291" s="130">
        <f t="shared" si="2"/>
        <v>8810825</v>
      </c>
      <c r="AZ291" s="130">
        <f t="shared" si="2"/>
        <v>51241</v>
      </c>
      <c r="BA291" s="130">
        <f t="shared" si="2"/>
        <v>204214</v>
      </c>
      <c r="BB291" s="130">
        <f t="shared" si="2"/>
        <v>4292040</v>
      </c>
      <c r="BC291" s="130">
        <f t="shared" si="2"/>
        <v>2628137</v>
      </c>
      <c r="BD291" s="130">
        <f t="shared" si="2"/>
        <v>30577</v>
      </c>
      <c r="BE291" s="130">
        <f t="shared" si="2"/>
        <v>461224</v>
      </c>
      <c r="BF291" s="130">
        <f t="shared" si="2"/>
        <v>15559026</v>
      </c>
      <c r="BG291" s="130">
        <f t="shared" si="2"/>
        <v>744110</v>
      </c>
      <c r="BH291" s="130">
        <f t="shared" si="2"/>
        <v>173076</v>
      </c>
      <c r="BI291" s="130">
        <f t="shared" si="2"/>
        <v>9579734</v>
      </c>
      <c r="BJ291" s="130">
        <f t="shared" si="2"/>
        <v>786988</v>
      </c>
      <c r="BK291" s="130">
        <f t="shared" si="2"/>
        <v>907973</v>
      </c>
      <c r="BL291" s="130">
        <f t="shared" si="2"/>
        <v>287648</v>
      </c>
      <c r="BM291" s="130">
        <f t="shared" si="2"/>
        <v>378713</v>
      </c>
      <c r="BN291" s="130">
        <f t="shared" si="2"/>
        <v>1668401</v>
      </c>
      <c r="BO291" s="130">
        <f t="shared" si="2"/>
        <v>435921</v>
      </c>
      <c r="BP291" s="130" t="e">
        <f t="shared" si="2"/>
        <v>#VALUE!</v>
      </c>
      <c r="BQ291" s="130">
        <f t="shared" si="2"/>
        <v>64957014</v>
      </c>
      <c r="BR291" s="130">
        <f>BR182+BR159+BR15-BR183-BR158</f>
        <v>1981849</v>
      </c>
      <c r="BS291" s="130">
        <f>BS182+BS159+BS15-BS183-BS158</f>
        <v>7343468</v>
      </c>
    </row>
    <row r="292" spans="1:71" x14ac:dyDescent="0.3">
      <c r="A292" s="1118" t="s">
        <v>793</v>
      </c>
      <c r="B292" s="1119"/>
      <c r="C292" s="1120" t="s">
        <v>799</v>
      </c>
      <c r="D292" s="1119"/>
      <c r="E292" s="1121">
        <f>E290/E291</f>
        <v>0.37013431567281174</v>
      </c>
      <c r="F292" s="1121">
        <f t="shared" ref="F292:BQ292" si="3">F290/F291</f>
        <v>0.16876023020245706</v>
      </c>
      <c r="G292" s="1121">
        <f t="shared" si="3"/>
        <v>7.0232822414130913</v>
      </c>
      <c r="H292" s="1121">
        <f t="shared" si="3"/>
        <v>0.32654537501389541</v>
      </c>
      <c r="I292" s="1121">
        <f t="shared" si="3"/>
        <v>3.576753431850574</v>
      </c>
      <c r="J292" s="1121">
        <f t="shared" si="3"/>
        <v>0.76523714781904939</v>
      </c>
      <c r="K292" s="1121">
        <f t="shared" si="3"/>
        <v>1.110894857442362</v>
      </c>
      <c r="L292" s="1121">
        <f t="shared" si="3"/>
        <v>0.72309493521259949</v>
      </c>
      <c r="M292" s="1121">
        <f t="shared" si="3"/>
        <v>0.55580220989529039</v>
      </c>
      <c r="N292" s="1121">
        <f t="shared" si="3"/>
        <v>3.5317030494917514</v>
      </c>
      <c r="O292" s="1121">
        <f t="shared" si="3"/>
        <v>0.92523538099742486</v>
      </c>
      <c r="P292" s="1121">
        <f t="shared" si="3"/>
        <v>0.5994932343671906</v>
      </c>
      <c r="Q292" s="1121">
        <f t="shared" si="3"/>
        <v>0.6988033236288832</v>
      </c>
      <c r="R292" s="1121">
        <f t="shared" si="3"/>
        <v>0.4838458566394872</v>
      </c>
      <c r="S292" s="1121" t="e">
        <f t="shared" si="3"/>
        <v>#VALUE!</v>
      </c>
      <c r="T292" s="1121">
        <f t="shared" si="3"/>
        <v>1.4273853102218006</v>
      </c>
      <c r="U292" s="1121">
        <f t="shared" si="3"/>
        <v>0.4712747496051623</v>
      </c>
      <c r="V292" s="1121">
        <f t="shared" si="3"/>
        <v>1.4017640143605408</v>
      </c>
      <c r="W292" s="1121">
        <f t="shared" si="3"/>
        <v>0.90283609468467341</v>
      </c>
      <c r="X292" s="1121">
        <f t="shared" si="3"/>
        <v>1.7373045218630212</v>
      </c>
      <c r="Y292" s="1121" t="e">
        <f t="shared" si="3"/>
        <v>#VALUE!</v>
      </c>
      <c r="Z292" s="1121">
        <f t="shared" si="3"/>
        <v>0.26981104696608083</v>
      </c>
      <c r="AA292" s="1121">
        <f t="shared" si="3"/>
        <v>1.8070606823272002</v>
      </c>
      <c r="AB292" s="1121">
        <f t="shared" si="3"/>
        <v>1.0301280661129117</v>
      </c>
      <c r="AC292" s="1121">
        <f t="shared" si="3"/>
        <v>0.34654663806018526</v>
      </c>
      <c r="AD292" s="1121">
        <f t="shared" si="3"/>
        <v>0.96972999322041498</v>
      </c>
      <c r="AE292" s="1121">
        <f t="shared" si="3"/>
        <v>0.20546973278139785</v>
      </c>
      <c r="AF292" s="1121">
        <f t="shared" si="3"/>
        <v>0.60804485679295728</v>
      </c>
      <c r="AG292" s="1121">
        <f t="shared" si="3"/>
        <v>4.130566628353427</v>
      </c>
      <c r="AH292" s="1121">
        <f t="shared" si="3"/>
        <v>0.44425863009171068</v>
      </c>
      <c r="AI292" s="1121">
        <f t="shared" si="3"/>
        <v>1.197899590076642</v>
      </c>
      <c r="AJ292" s="1121">
        <f t="shared" si="3"/>
        <v>0.63163084755540888</v>
      </c>
      <c r="AK292" s="1121">
        <f t="shared" si="3"/>
        <v>0.32203307508863405</v>
      </c>
      <c r="AL292" s="1121" t="e">
        <f t="shared" si="3"/>
        <v>#VALUE!</v>
      </c>
      <c r="AM292" s="1121">
        <f t="shared" si="3"/>
        <v>0.93429004869216281</v>
      </c>
      <c r="AN292" s="1121">
        <f t="shared" si="3"/>
        <v>0.40878553177596877</v>
      </c>
      <c r="AO292" s="1121">
        <f t="shared" si="3"/>
        <v>1.4212546733131566</v>
      </c>
      <c r="AP292" s="1121">
        <f t="shared" si="3"/>
        <v>0.43321961463992759</v>
      </c>
      <c r="AQ292" s="1121">
        <f t="shared" si="3"/>
        <v>2.2839943697390162</v>
      </c>
      <c r="AR292" s="1121">
        <f t="shared" si="3"/>
        <v>1.417103336064587</v>
      </c>
      <c r="AS292" s="1121">
        <f t="shared" si="3"/>
        <v>0.66192362009356809</v>
      </c>
      <c r="AT292" s="1121">
        <f t="shared" si="3"/>
        <v>0.7264810785625152</v>
      </c>
      <c r="AU292" s="1121">
        <f t="shared" si="3"/>
        <v>1.2778039649550641</v>
      </c>
      <c r="AV292" s="1121" t="e">
        <f t="shared" si="3"/>
        <v>#VALUE!</v>
      </c>
      <c r="AW292" s="1121">
        <f t="shared" si="3"/>
        <v>0.44087891820483999</v>
      </c>
      <c r="AX292" s="1121">
        <f t="shared" si="3"/>
        <v>0.48149845892270643</v>
      </c>
      <c r="AY292" s="1121">
        <f t="shared" si="3"/>
        <v>0.57535486177514594</v>
      </c>
      <c r="AZ292" s="1121">
        <f t="shared" si="3"/>
        <v>0.93575457153451336</v>
      </c>
      <c r="BA292" s="1121">
        <f t="shared" si="3"/>
        <v>2.3122949454983499</v>
      </c>
      <c r="BB292" s="1121">
        <f t="shared" si="3"/>
        <v>0.37045064817662465</v>
      </c>
      <c r="BC292" s="1121">
        <f t="shared" si="3"/>
        <v>0.54672568439164315</v>
      </c>
      <c r="BD292" s="1121">
        <f t="shared" si="3"/>
        <v>26.615070150766915</v>
      </c>
      <c r="BE292" s="1121">
        <f t="shared" si="3"/>
        <v>0.61779092154788129</v>
      </c>
      <c r="BF292" s="1121">
        <f t="shared" si="3"/>
        <v>0.76556662351486526</v>
      </c>
      <c r="BG292" s="1121">
        <f t="shared" si="3"/>
        <v>0.77638655575116577</v>
      </c>
      <c r="BH292" s="1121">
        <f t="shared" si="3"/>
        <v>1.6583986225704315</v>
      </c>
      <c r="BI292" s="1121">
        <f t="shared" si="3"/>
        <v>0.36892464863846952</v>
      </c>
      <c r="BJ292" s="1121">
        <f t="shared" si="3"/>
        <v>0.72013042130248495</v>
      </c>
      <c r="BK292" s="1121">
        <f t="shared" si="3"/>
        <v>1.0787523417546556</v>
      </c>
      <c r="BL292" s="1121">
        <f t="shared" si="3"/>
        <v>2.086828345755924</v>
      </c>
      <c r="BM292" s="1121">
        <f t="shared" si="3"/>
        <v>2.8750663431147068</v>
      </c>
      <c r="BN292" s="1121">
        <f t="shared" si="3"/>
        <v>1.4149607918000529</v>
      </c>
      <c r="BO292" s="1121">
        <f t="shared" si="3"/>
        <v>1.76636363010729</v>
      </c>
      <c r="BP292" s="1121" t="e">
        <f t="shared" si="3"/>
        <v>#VALUE!</v>
      </c>
      <c r="BQ292" s="1121">
        <f t="shared" si="3"/>
        <v>0.43493149177085016</v>
      </c>
      <c r="BR292" s="1121">
        <f>BR290/BR291</f>
        <v>0.67194776191324368</v>
      </c>
      <c r="BS292" s="1121">
        <f>BS290/BS291</f>
        <v>0.94071452343770001</v>
      </c>
    </row>
    <row r="293" spans="1:71" x14ac:dyDescent="0.3">
      <c r="A293" s="1118" t="s">
        <v>795</v>
      </c>
      <c r="B293" s="1119"/>
      <c r="C293" s="1122" t="s">
        <v>801</v>
      </c>
      <c r="D293" s="1119"/>
      <c r="E293" s="1123">
        <f>E97+E51</f>
        <v>0</v>
      </c>
      <c r="F293" s="1123">
        <f t="shared" ref="F293:BQ293" si="4">F97+F51</f>
        <v>843452</v>
      </c>
      <c r="G293" s="1123">
        <f t="shared" si="4"/>
        <v>12799</v>
      </c>
      <c r="H293" s="1123">
        <f t="shared" si="4"/>
        <v>2137003</v>
      </c>
      <c r="I293" s="1123">
        <f t="shared" si="4"/>
        <v>0</v>
      </c>
      <c r="J293" s="1123">
        <f t="shared" si="4"/>
        <v>100327</v>
      </c>
      <c r="K293" s="1123">
        <f t="shared" si="4"/>
        <v>482239</v>
      </c>
      <c r="L293" s="1123">
        <f t="shared" si="4"/>
        <v>55613</v>
      </c>
      <c r="M293" s="1123">
        <f t="shared" si="4"/>
        <v>3899182</v>
      </c>
      <c r="N293" s="1123">
        <f t="shared" si="4"/>
        <v>0</v>
      </c>
      <c r="O293" s="1123">
        <f t="shared" si="4"/>
        <v>1140482</v>
      </c>
      <c r="P293" s="1123">
        <f t="shared" si="4"/>
        <v>0</v>
      </c>
      <c r="Q293" s="1123">
        <f t="shared" si="4"/>
        <v>614462</v>
      </c>
      <c r="R293" s="1123">
        <f t="shared" si="4"/>
        <v>5643566</v>
      </c>
      <c r="S293" s="1123">
        <f t="shared" si="4"/>
        <v>0</v>
      </c>
      <c r="T293" s="1123">
        <f t="shared" si="4"/>
        <v>32365</v>
      </c>
      <c r="U293" s="1123">
        <f t="shared" si="4"/>
        <v>38527</v>
      </c>
      <c r="V293" s="1123">
        <f t="shared" si="4"/>
        <v>74993</v>
      </c>
      <c r="W293" s="1123">
        <f t="shared" si="4"/>
        <v>0</v>
      </c>
      <c r="X293" s="1123">
        <f t="shared" si="4"/>
        <v>30427</v>
      </c>
      <c r="Y293" s="1123">
        <f t="shared" si="4"/>
        <v>451506</v>
      </c>
      <c r="Z293" s="1123">
        <f t="shared" si="4"/>
        <v>0</v>
      </c>
      <c r="AA293" s="1123">
        <f t="shared" si="4"/>
        <v>42004</v>
      </c>
      <c r="AB293" s="1123">
        <f t="shared" si="4"/>
        <v>18330</v>
      </c>
      <c r="AC293" s="1123">
        <f t="shared" si="4"/>
        <v>838893</v>
      </c>
      <c r="AD293" s="1123">
        <f t="shared" si="4"/>
        <v>84758</v>
      </c>
      <c r="AE293" s="1123">
        <f t="shared" si="4"/>
        <v>68168</v>
      </c>
      <c r="AF293" s="1123">
        <f t="shared" si="4"/>
        <v>0</v>
      </c>
      <c r="AG293" s="1123">
        <f t="shared" si="4"/>
        <v>0</v>
      </c>
      <c r="AH293" s="1123">
        <f t="shared" si="4"/>
        <v>1515018</v>
      </c>
      <c r="AI293" s="1123">
        <f t="shared" si="4"/>
        <v>1021317</v>
      </c>
      <c r="AJ293" s="1123">
        <f t="shared" si="4"/>
        <v>322018</v>
      </c>
      <c r="AK293" s="1123">
        <f t="shared" si="4"/>
        <v>630899</v>
      </c>
      <c r="AL293" s="1123">
        <f t="shared" si="4"/>
        <v>0</v>
      </c>
      <c r="AM293" s="1123">
        <f t="shared" si="4"/>
        <v>0</v>
      </c>
      <c r="AN293" s="1123">
        <f t="shared" si="4"/>
        <v>300213</v>
      </c>
      <c r="AO293" s="1123">
        <f t="shared" si="4"/>
        <v>0</v>
      </c>
      <c r="AP293" s="1123">
        <f t="shared" si="4"/>
        <v>243957</v>
      </c>
      <c r="AQ293" s="1123">
        <f t="shared" si="4"/>
        <v>0</v>
      </c>
      <c r="AR293" s="1123">
        <f t="shared" si="4"/>
        <v>393675</v>
      </c>
      <c r="AS293" s="1123">
        <f t="shared" si="4"/>
        <v>172689</v>
      </c>
      <c r="AT293" s="1123">
        <f t="shared" si="4"/>
        <v>0</v>
      </c>
      <c r="AU293" s="1123">
        <f t="shared" si="4"/>
        <v>140542</v>
      </c>
      <c r="AV293" s="1123">
        <f t="shared" si="4"/>
        <v>0</v>
      </c>
      <c r="AW293" s="1123">
        <f t="shared" si="4"/>
        <v>238236</v>
      </c>
      <c r="AX293" s="1123">
        <f t="shared" si="4"/>
        <v>8929</v>
      </c>
      <c r="AY293" s="1123">
        <f t="shared" si="4"/>
        <v>319020</v>
      </c>
      <c r="AZ293" s="1123">
        <f t="shared" si="4"/>
        <v>0</v>
      </c>
      <c r="BA293" s="1123">
        <f t="shared" si="4"/>
        <v>0</v>
      </c>
      <c r="BB293" s="1123">
        <f t="shared" si="4"/>
        <v>0</v>
      </c>
      <c r="BC293" s="1123">
        <f t="shared" si="4"/>
        <v>192438</v>
      </c>
      <c r="BD293" s="1123">
        <f t="shared" si="4"/>
        <v>0</v>
      </c>
      <c r="BE293" s="1123">
        <f t="shared" si="4"/>
        <v>8900</v>
      </c>
      <c r="BF293" s="1123">
        <f t="shared" si="4"/>
        <v>1845180</v>
      </c>
      <c r="BG293" s="1123">
        <f t="shared" si="4"/>
        <v>84010</v>
      </c>
      <c r="BH293" s="1123">
        <f t="shared" si="4"/>
        <v>32689</v>
      </c>
      <c r="BI293" s="1123">
        <f t="shared" si="4"/>
        <v>1710364</v>
      </c>
      <c r="BJ293" s="1123">
        <f t="shared" si="4"/>
        <v>51106</v>
      </c>
      <c r="BK293" s="1123">
        <f t="shared" si="4"/>
        <v>70657</v>
      </c>
      <c r="BL293" s="1123">
        <f t="shared" si="4"/>
        <v>0</v>
      </c>
      <c r="BM293" s="1123">
        <f t="shared" si="4"/>
        <v>0</v>
      </c>
      <c r="BN293" s="1123">
        <f t="shared" si="4"/>
        <v>226906</v>
      </c>
      <c r="BO293" s="1123">
        <f t="shared" si="4"/>
        <v>56009</v>
      </c>
      <c r="BP293" s="1123">
        <f t="shared" si="4"/>
        <v>150057</v>
      </c>
      <c r="BQ293" s="1123">
        <f t="shared" si="4"/>
        <v>3496579</v>
      </c>
      <c r="BR293" s="1123">
        <f t="shared" ref="BR293:BS293" si="5">BR97+BR51</f>
        <v>61246</v>
      </c>
      <c r="BS293" s="1123">
        <f t="shared" si="5"/>
        <v>0</v>
      </c>
    </row>
    <row r="294" spans="1:71" x14ac:dyDescent="0.3">
      <c r="A294" s="1118" t="s">
        <v>851</v>
      </c>
      <c r="B294" s="1119"/>
      <c r="C294" s="1119" t="s">
        <v>796</v>
      </c>
      <c r="D294" s="1119"/>
      <c r="E294" s="1123">
        <f>E60+E58</f>
        <v>0</v>
      </c>
      <c r="F294" s="1123">
        <f t="shared" ref="F294:BQ294" si="6">F60+F58</f>
        <v>0</v>
      </c>
      <c r="G294" s="1123">
        <f t="shared" si="6"/>
        <v>0</v>
      </c>
      <c r="H294" s="1123">
        <f t="shared" si="6"/>
        <v>159051</v>
      </c>
      <c r="I294" s="1123">
        <f t="shared" si="6"/>
        <v>0</v>
      </c>
      <c r="J294" s="1123">
        <f t="shared" si="6"/>
        <v>0</v>
      </c>
      <c r="K294" s="1123">
        <f t="shared" si="6"/>
        <v>0</v>
      </c>
      <c r="L294" s="1123">
        <f t="shared" si="6"/>
        <v>0</v>
      </c>
      <c r="M294" s="1123">
        <f t="shared" si="6"/>
        <v>636453</v>
      </c>
      <c r="N294" s="1123">
        <f t="shared" si="6"/>
        <v>0</v>
      </c>
      <c r="O294" s="1123">
        <f t="shared" si="6"/>
        <v>0</v>
      </c>
      <c r="P294" s="1123">
        <f t="shared" si="6"/>
        <v>0</v>
      </c>
      <c r="Q294" s="1123">
        <f t="shared" si="6"/>
        <v>0</v>
      </c>
      <c r="R294" s="1123">
        <f t="shared" si="6"/>
        <v>0</v>
      </c>
      <c r="S294" s="1123">
        <f t="shared" si="6"/>
        <v>0</v>
      </c>
      <c r="T294" s="1123">
        <f t="shared" si="6"/>
        <v>0</v>
      </c>
      <c r="U294" s="1123">
        <f t="shared" si="6"/>
        <v>0</v>
      </c>
      <c r="V294" s="1123">
        <f t="shared" si="6"/>
        <v>0</v>
      </c>
      <c r="W294" s="1123">
        <f t="shared" si="6"/>
        <v>0</v>
      </c>
      <c r="X294" s="1123">
        <f t="shared" si="6"/>
        <v>0</v>
      </c>
      <c r="Y294" s="1123">
        <f t="shared" si="6"/>
        <v>323774</v>
      </c>
      <c r="Z294" s="1123">
        <f t="shared" si="6"/>
        <v>0</v>
      </c>
      <c r="AA294" s="1123">
        <f t="shared" si="6"/>
        <v>0</v>
      </c>
      <c r="AB294" s="1123">
        <f t="shared" si="6"/>
        <v>0</v>
      </c>
      <c r="AC294" s="1123">
        <f t="shared" si="6"/>
        <v>0</v>
      </c>
      <c r="AD294" s="1123">
        <f t="shared" si="6"/>
        <v>0</v>
      </c>
      <c r="AE294" s="1123">
        <f t="shared" si="6"/>
        <v>0</v>
      </c>
      <c r="AF294" s="1123">
        <f t="shared" si="6"/>
        <v>0</v>
      </c>
      <c r="AG294" s="1123">
        <f t="shared" si="6"/>
        <v>0</v>
      </c>
      <c r="AH294" s="1123">
        <f t="shared" si="6"/>
        <v>0</v>
      </c>
      <c r="AI294" s="1123">
        <f t="shared" si="6"/>
        <v>0</v>
      </c>
      <c r="AJ294" s="1123">
        <f t="shared" si="6"/>
        <v>0</v>
      </c>
      <c r="AK294" s="1123">
        <f t="shared" si="6"/>
        <v>0</v>
      </c>
      <c r="AL294" s="1123">
        <f t="shared" si="6"/>
        <v>0</v>
      </c>
      <c r="AM294" s="1123">
        <f t="shared" si="6"/>
        <v>0</v>
      </c>
      <c r="AN294" s="1123">
        <f t="shared" si="6"/>
        <v>0</v>
      </c>
      <c r="AO294" s="1123">
        <f t="shared" si="6"/>
        <v>0</v>
      </c>
      <c r="AP294" s="1123">
        <f t="shared" si="6"/>
        <v>0</v>
      </c>
      <c r="AQ294" s="1123">
        <f t="shared" si="6"/>
        <v>0</v>
      </c>
      <c r="AR294" s="1123">
        <f t="shared" si="6"/>
        <v>0</v>
      </c>
      <c r="AS294" s="1123">
        <f t="shared" si="6"/>
        <v>0</v>
      </c>
      <c r="AT294" s="1123">
        <f t="shared" si="6"/>
        <v>0</v>
      </c>
      <c r="AU294" s="1123">
        <f t="shared" si="6"/>
        <v>0</v>
      </c>
      <c r="AV294" s="1123">
        <f t="shared" si="6"/>
        <v>0</v>
      </c>
      <c r="AW294" s="1123">
        <f t="shared" si="6"/>
        <v>0</v>
      </c>
      <c r="AX294" s="1123">
        <f t="shared" si="6"/>
        <v>0</v>
      </c>
      <c r="AY294" s="1123">
        <f t="shared" si="6"/>
        <v>0</v>
      </c>
      <c r="AZ294" s="1123">
        <f t="shared" si="6"/>
        <v>0</v>
      </c>
      <c r="BA294" s="1123">
        <f t="shared" si="6"/>
        <v>0</v>
      </c>
      <c r="BB294" s="1123">
        <f t="shared" si="6"/>
        <v>0</v>
      </c>
      <c r="BC294" s="1123">
        <f t="shared" si="6"/>
        <v>0</v>
      </c>
      <c r="BD294" s="1123">
        <f t="shared" si="6"/>
        <v>0</v>
      </c>
      <c r="BE294" s="1123">
        <f t="shared" si="6"/>
        <v>0</v>
      </c>
      <c r="BF294" s="1123">
        <f t="shared" si="6"/>
        <v>0</v>
      </c>
      <c r="BG294" s="1123">
        <f t="shared" si="6"/>
        <v>0</v>
      </c>
      <c r="BH294" s="1123">
        <f t="shared" si="6"/>
        <v>0</v>
      </c>
      <c r="BI294" s="1123">
        <f t="shared" si="6"/>
        <v>0</v>
      </c>
      <c r="BJ294" s="1123">
        <f t="shared" si="6"/>
        <v>0</v>
      </c>
      <c r="BK294" s="1123">
        <f t="shared" si="6"/>
        <v>0</v>
      </c>
      <c r="BL294" s="1123">
        <f t="shared" si="6"/>
        <v>0</v>
      </c>
      <c r="BM294" s="1123">
        <f t="shared" si="6"/>
        <v>0</v>
      </c>
      <c r="BN294" s="1123">
        <f t="shared" si="6"/>
        <v>0</v>
      </c>
      <c r="BO294" s="1123">
        <f t="shared" si="6"/>
        <v>0</v>
      </c>
      <c r="BP294" s="1123">
        <f t="shared" si="6"/>
        <v>0</v>
      </c>
      <c r="BQ294" s="1123">
        <f t="shared" si="6"/>
        <v>0</v>
      </c>
      <c r="BR294" s="1123">
        <f>BR60+BR58</f>
        <v>0</v>
      </c>
      <c r="BS294" s="1123">
        <f>BS60+BS58</f>
        <v>0</v>
      </c>
    </row>
    <row r="295" spans="1:71" x14ac:dyDescent="0.3">
      <c r="A295" s="1118" t="s">
        <v>798</v>
      </c>
      <c r="B295" s="275"/>
      <c r="C295" s="1119" t="s">
        <v>797</v>
      </c>
      <c r="D295" s="275"/>
      <c r="E295" s="1124">
        <f>E31-E160</f>
        <v>2930799</v>
      </c>
      <c r="F295" s="1124">
        <f t="shared" ref="F295:BQ295" si="7">F31-F160</f>
        <v>560413</v>
      </c>
      <c r="G295" s="1124">
        <f t="shared" si="7"/>
        <v>358144</v>
      </c>
      <c r="H295" s="1124">
        <f t="shared" si="7"/>
        <v>5144705</v>
      </c>
      <c r="I295" s="1124">
        <f t="shared" si="7"/>
        <v>0</v>
      </c>
      <c r="J295" s="1124">
        <f t="shared" si="7"/>
        <v>418711</v>
      </c>
      <c r="K295" s="1124">
        <f t="shared" si="7"/>
        <v>3850823</v>
      </c>
      <c r="L295" s="1124">
        <f t="shared" si="7"/>
        <v>170232</v>
      </c>
      <c r="M295" s="1124">
        <f t="shared" si="7"/>
        <v>69547667</v>
      </c>
      <c r="N295" s="1124">
        <f t="shared" si="7"/>
        <v>0</v>
      </c>
      <c r="O295" s="1124">
        <f t="shared" si="7"/>
        <v>7675718</v>
      </c>
      <c r="P295" s="1124">
        <f t="shared" si="7"/>
        <v>0</v>
      </c>
      <c r="Q295" s="1124">
        <f t="shared" si="7"/>
        <v>14657795</v>
      </c>
      <c r="R295" s="1124">
        <f t="shared" si="7"/>
        <v>76139694</v>
      </c>
      <c r="S295" s="1124">
        <f t="shared" si="7"/>
        <v>0</v>
      </c>
      <c r="T295" s="1124">
        <f t="shared" si="7"/>
        <v>149600</v>
      </c>
      <c r="U295" s="1124">
        <f t="shared" si="7"/>
        <v>1534860</v>
      </c>
      <c r="V295" s="1124">
        <f t="shared" si="7"/>
        <v>826915</v>
      </c>
      <c r="W295" s="1124">
        <f t="shared" si="7"/>
        <v>123617</v>
      </c>
      <c r="X295" s="1124">
        <f t="shared" si="7"/>
        <v>46366</v>
      </c>
      <c r="Y295" s="1124">
        <f t="shared" si="7"/>
        <v>1612568</v>
      </c>
      <c r="Z295" s="1124">
        <f t="shared" si="7"/>
        <v>0</v>
      </c>
      <c r="AA295" s="1124">
        <f t="shared" si="7"/>
        <v>376730</v>
      </c>
      <c r="AB295" s="1124">
        <f t="shared" si="7"/>
        <v>102354</v>
      </c>
      <c r="AC295" s="1124">
        <f t="shared" si="7"/>
        <v>2005046</v>
      </c>
      <c r="AD295" s="1124">
        <f t="shared" si="7"/>
        <v>1371971</v>
      </c>
      <c r="AE295" s="1124">
        <f t="shared" si="7"/>
        <v>160630</v>
      </c>
      <c r="AF295" s="1124">
        <f t="shared" si="7"/>
        <v>0</v>
      </c>
      <c r="AG295" s="1124">
        <f t="shared" si="7"/>
        <v>0</v>
      </c>
      <c r="AH295" s="1124">
        <f t="shared" si="7"/>
        <v>2039193</v>
      </c>
      <c r="AI295" s="1124">
        <f t="shared" si="7"/>
        <v>1667522</v>
      </c>
      <c r="AJ295" s="1124">
        <f t="shared" si="7"/>
        <v>176828</v>
      </c>
      <c r="AK295" s="1124">
        <f t="shared" si="7"/>
        <v>12613605</v>
      </c>
      <c r="AL295" s="1124">
        <f t="shared" si="7"/>
        <v>0</v>
      </c>
      <c r="AM295" s="1124">
        <f t="shared" si="7"/>
        <v>0</v>
      </c>
      <c r="AN295" s="1124">
        <f t="shared" si="7"/>
        <v>883941</v>
      </c>
      <c r="AO295" s="1124">
        <f t="shared" si="7"/>
        <v>1635615</v>
      </c>
      <c r="AP295" s="1124">
        <f t="shared" si="7"/>
        <v>1559741</v>
      </c>
      <c r="AQ295" s="1124">
        <f t="shared" si="7"/>
        <v>0</v>
      </c>
      <c r="AR295" s="1124">
        <f t="shared" si="7"/>
        <v>332904</v>
      </c>
      <c r="AS295" s="1124">
        <f t="shared" si="7"/>
        <v>845726</v>
      </c>
      <c r="AT295" s="1124">
        <f t="shared" si="7"/>
        <v>295443</v>
      </c>
      <c r="AU295" s="1124">
        <f t="shared" si="7"/>
        <v>1653796</v>
      </c>
      <c r="AV295" s="1124">
        <f t="shared" si="7"/>
        <v>0</v>
      </c>
      <c r="AW295" s="1124">
        <f t="shared" si="7"/>
        <v>1549759</v>
      </c>
      <c r="AX295" s="1124">
        <f t="shared" si="7"/>
        <v>386743</v>
      </c>
      <c r="AY295" s="1124">
        <f t="shared" si="7"/>
        <v>2918251</v>
      </c>
      <c r="AZ295" s="1124">
        <f t="shared" si="7"/>
        <v>98371</v>
      </c>
      <c r="BA295" s="1124">
        <f t="shared" si="7"/>
        <v>0</v>
      </c>
      <c r="BB295" s="1124">
        <f t="shared" si="7"/>
        <v>264764</v>
      </c>
      <c r="BC295" s="1124">
        <f t="shared" si="7"/>
        <v>692007</v>
      </c>
      <c r="BD295" s="1124">
        <f t="shared" si="7"/>
        <v>0</v>
      </c>
      <c r="BE295" s="1124">
        <f t="shared" si="7"/>
        <v>9127</v>
      </c>
      <c r="BF295" s="1124">
        <f t="shared" si="7"/>
        <v>20219309</v>
      </c>
      <c r="BG295" s="1124">
        <f t="shared" si="7"/>
        <v>739839</v>
      </c>
      <c r="BH295" s="1124">
        <f t="shared" si="7"/>
        <v>693507</v>
      </c>
      <c r="BI295" s="1124">
        <f t="shared" si="7"/>
        <v>1269307</v>
      </c>
      <c r="BJ295" s="1124">
        <f t="shared" si="7"/>
        <v>155408</v>
      </c>
      <c r="BK295" s="1124">
        <f t="shared" si="7"/>
        <v>690621</v>
      </c>
      <c r="BL295" s="1124">
        <f t="shared" si="7"/>
        <v>0</v>
      </c>
      <c r="BM295" s="1124">
        <f t="shared" si="7"/>
        <v>170329</v>
      </c>
      <c r="BN295" s="1124">
        <f t="shared" si="7"/>
        <v>603750</v>
      </c>
      <c r="BO295" s="1124">
        <f t="shared" si="7"/>
        <v>1069949</v>
      </c>
      <c r="BP295" s="1124">
        <f t="shared" si="7"/>
        <v>2733311</v>
      </c>
      <c r="BQ295" s="1124">
        <f t="shared" si="7"/>
        <v>79901774</v>
      </c>
      <c r="BR295" s="1124">
        <f>BR31-BR160</f>
        <v>1634715</v>
      </c>
      <c r="BS295" s="1124">
        <f>BS31-BS160</f>
        <v>0</v>
      </c>
    </row>
    <row r="296" spans="1:71" x14ac:dyDescent="0.3">
      <c r="A296" s="1118" t="s">
        <v>802</v>
      </c>
      <c r="B296" s="275"/>
      <c r="C296" s="1119" t="s">
        <v>804</v>
      </c>
      <c r="D296" s="275"/>
      <c r="E296" s="1125">
        <f>E45*365/E50</f>
        <v>65.269570372154917</v>
      </c>
      <c r="F296" s="1125">
        <f t="shared" ref="F296:BQ296" si="8">F45*365/F50</f>
        <v>38.282522229653303</v>
      </c>
      <c r="G296" s="1125">
        <f t="shared" si="8"/>
        <v>53.832910050300818</v>
      </c>
      <c r="H296" s="1125">
        <f t="shared" si="8"/>
        <v>42.355646561598036</v>
      </c>
      <c r="I296" s="1125" t="e">
        <f t="shared" si="8"/>
        <v>#DIV/0!</v>
      </c>
      <c r="J296" s="1125">
        <f t="shared" si="8"/>
        <v>41.244282648990236</v>
      </c>
      <c r="K296" s="1125">
        <f t="shared" si="8"/>
        <v>51.441939872637718</v>
      </c>
      <c r="L296" s="1125">
        <f t="shared" si="8"/>
        <v>16.942753943805812</v>
      </c>
      <c r="M296" s="1125">
        <f t="shared" si="8"/>
        <v>60.063958753734646</v>
      </c>
      <c r="N296" s="1125" t="e">
        <f t="shared" si="8"/>
        <v>#DIV/0!</v>
      </c>
      <c r="O296" s="1125">
        <f t="shared" si="8"/>
        <v>54.953526750207438</v>
      </c>
      <c r="P296" s="1125" t="e">
        <f t="shared" si="8"/>
        <v>#DIV/0!</v>
      </c>
      <c r="Q296" s="1125">
        <f t="shared" si="8"/>
        <v>67.686229455917982</v>
      </c>
      <c r="R296" s="1125">
        <f t="shared" si="8"/>
        <v>43.524679118084315</v>
      </c>
      <c r="S296" s="1125" t="e">
        <f t="shared" si="8"/>
        <v>#DIV/0!</v>
      </c>
      <c r="T296" s="1125">
        <f t="shared" si="8"/>
        <v>28.951411960132891</v>
      </c>
      <c r="U296" s="1125">
        <f t="shared" si="8"/>
        <v>70.664594342555176</v>
      </c>
      <c r="V296" s="1125">
        <f t="shared" si="8"/>
        <v>50.750032480187087</v>
      </c>
      <c r="W296" s="1125">
        <f t="shared" si="8"/>
        <v>57.43084580895205</v>
      </c>
      <c r="X296" s="1125">
        <f t="shared" si="8"/>
        <v>36.617396840730208</v>
      </c>
      <c r="Y296" s="1125">
        <f t="shared" si="8"/>
        <v>66.783337281766677</v>
      </c>
      <c r="Z296" s="1125" t="e">
        <f t="shared" si="8"/>
        <v>#DIV/0!</v>
      </c>
      <c r="AA296" s="1125">
        <f t="shared" si="8"/>
        <v>45.080593294478113</v>
      </c>
      <c r="AB296" s="1125">
        <f t="shared" si="8"/>
        <v>91.682357546042596</v>
      </c>
      <c r="AC296" s="1125">
        <f t="shared" si="8"/>
        <v>30.911201674010815</v>
      </c>
      <c r="AD296" s="1125">
        <f t="shared" si="8"/>
        <v>37.321691386211533</v>
      </c>
      <c r="AE296" s="1125">
        <f t="shared" si="8"/>
        <v>35.51029459074406</v>
      </c>
      <c r="AF296" s="1125" t="e">
        <f t="shared" si="8"/>
        <v>#DIV/0!</v>
      </c>
      <c r="AG296" s="1125" t="e">
        <f t="shared" si="8"/>
        <v>#DIV/0!</v>
      </c>
      <c r="AH296" s="1125">
        <f t="shared" si="8"/>
        <v>72.159040921432904</v>
      </c>
      <c r="AI296" s="1125">
        <f t="shared" si="8"/>
        <v>37.159116682680114</v>
      </c>
      <c r="AJ296" s="1125">
        <f t="shared" si="8"/>
        <v>53.904724225893212</v>
      </c>
      <c r="AK296" s="1125">
        <f t="shared" si="8"/>
        <v>65.63947944101362</v>
      </c>
      <c r="AL296" s="1125" t="e">
        <f t="shared" si="8"/>
        <v>#DIV/0!</v>
      </c>
      <c r="AM296" s="1125" t="e">
        <f t="shared" si="8"/>
        <v>#DIV/0!</v>
      </c>
      <c r="AN296" s="1125">
        <f t="shared" si="8"/>
        <v>46.861712357120012</v>
      </c>
      <c r="AO296" s="1125">
        <f t="shared" si="8"/>
        <v>0</v>
      </c>
      <c r="AP296" s="1125">
        <f t="shared" si="8"/>
        <v>60.900268557870312</v>
      </c>
      <c r="AQ296" s="1125" t="e">
        <f t="shared" si="8"/>
        <v>#DIV/0!</v>
      </c>
      <c r="AR296" s="1125">
        <f t="shared" si="8"/>
        <v>114.88694174365595</v>
      </c>
      <c r="AS296" s="1125">
        <f t="shared" si="8"/>
        <v>65.068835347705573</v>
      </c>
      <c r="AT296" s="1125">
        <f t="shared" si="8"/>
        <v>56.322817106755224</v>
      </c>
      <c r="AU296" s="1125">
        <f t="shared" si="8"/>
        <v>40.220603682015643</v>
      </c>
      <c r="AV296" s="1125" t="e">
        <f t="shared" si="8"/>
        <v>#DIV/0!</v>
      </c>
      <c r="AW296" s="1125">
        <f t="shared" si="8"/>
        <v>60.089120422718629</v>
      </c>
      <c r="AX296" s="1125">
        <f t="shared" si="8"/>
        <v>96.610063931774278</v>
      </c>
      <c r="AY296" s="1125">
        <f t="shared" si="8"/>
        <v>74.623258701990565</v>
      </c>
      <c r="AZ296" s="1125">
        <f t="shared" si="8"/>
        <v>29.25739488949614</v>
      </c>
      <c r="BA296" s="1125" t="e">
        <f t="shared" si="8"/>
        <v>#DIV/0!</v>
      </c>
      <c r="BB296" s="1125" t="e">
        <f t="shared" si="8"/>
        <v>#DIV/0!</v>
      </c>
      <c r="BC296" s="1125">
        <f t="shared" si="8"/>
        <v>40.769720378990456</v>
      </c>
      <c r="BD296" s="1125" t="e">
        <f t="shared" si="8"/>
        <v>#DIV/0!</v>
      </c>
      <c r="BE296" s="1125">
        <f t="shared" si="8"/>
        <v>28.507718769788976</v>
      </c>
      <c r="BF296" s="1125">
        <f t="shared" si="8"/>
        <v>343.06978190773782</v>
      </c>
      <c r="BG296" s="1125">
        <f t="shared" si="8"/>
        <v>36.259072963623723</v>
      </c>
      <c r="BH296" s="1125">
        <f t="shared" si="8"/>
        <v>58.534576485126195</v>
      </c>
      <c r="BI296" s="1125">
        <f t="shared" si="8"/>
        <v>36.52900688570184</v>
      </c>
      <c r="BJ296" s="1125">
        <f t="shared" si="8"/>
        <v>48.357192443267216</v>
      </c>
      <c r="BK296" s="1125">
        <f t="shared" si="8"/>
        <v>31.733765753583842</v>
      </c>
      <c r="BL296" s="1125" t="e">
        <f t="shared" si="8"/>
        <v>#DIV/0!</v>
      </c>
      <c r="BM296" s="1125">
        <f t="shared" si="8"/>
        <v>49.422168295799032</v>
      </c>
      <c r="BN296" s="1125">
        <f t="shared" si="8"/>
        <v>48.7204793414897</v>
      </c>
      <c r="BO296" s="1125">
        <f t="shared" si="8"/>
        <v>33.812242573087048</v>
      </c>
      <c r="BP296" s="1125">
        <f t="shared" si="8"/>
        <v>65.922414459386957</v>
      </c>
      <c r="BQ296" s="1125">
        <f t="shared" si="8"/>
        <v>97.564058507212494</v>
      </c>
      <c r="BR296" s="1125">
        <f>BR45*365/BR50</f>
        <v>73.133309063785717</v>
      </c>
      <c r="BS296" s="1125" t="e">
        <f>BS45*365/BS50</f>
        <v>#DIV/0!</v>
      </c>
    </row>
    <row r="297" spans="1:71" x14ac:dyDescent="0.3">
      <c r="A297" s="1118" t="s">
        <v>803</v>
      </c>
      <c r="B297" s="275"/>
      <c r="C297" s="1119" t="s">
        <v>805</v>
      </c>
      <c r="D297" s="275"/>
      <c r="E297" s="1125" t="e">
        <f>E53*365/E57</f>
        <v>#DIV/0!</v>
      </c>
      <c r="F297" s="1125" t="e">
        <f t="shared" ref="F297:BQ297" si="9">F53*365/F57</f>
        <v>#DIV/0!</v>
      </c>
      <c r="G297" s="1125" t="e">
        <f t="shared" si="9"/>
        <v>#DIV/0!</v>
      </c>
      <c r="H297" s="1125">
        <f t="shared" si="9"/>
        <v>46.573137023105858</v>
      </c>
      <c r="I297" s="1125" t="e">
        <f t="shared" si="9"/>
        <v>#DIV/0!</v>
      </c>
      <c r="J297" s="1125" t="e">
        <f t="shared" si="9"/>
        <v>#DIV/0!</v>
      </c>
      <c r="K297" s="1125" t="e">
        <f t="shared" si="9"/>
        <v>#DIV/0!</v>
      </c>
      <c r="L297" s="1125" t="e">
        <f t="shared" si="9"/>
        <v>#DIV/0!</v>
      </c>
      <c r="M297" s="1125">
        <f t="shared" si="9"/>
        <v>66.737592056744546</v>
      </c>
      <c r="N297" s="1125" t="e">
        <f t="shared" si="9"/>
        <v>#DIV/0!</v>
      </c>
      <c r="O297" s="1125" t="e">
        <f t="shared" si="9"/>
        <v>#DIV/0!</v>
      </c>
      <c r="P297" s="1125" t="e">
        <f t="shared" si="9"/>
        <v>#DIV/0!</v>
      </c>
      <c r="Q297" s="1125" t="e">
        <f t="shared" si="9"/>
        <v>#DIV/0!</v>
      </c>
      <c r="R297" s="1125" t="e">
        <f t="shared" si="9"/>
        <v>#DIV/0!</v>
      </c>
      <c r="S297" s="1125" t="e">
        <f t="shared" si="9"/>
        <v>#DIV/0!</v>
      </c>
      <c r="T297" s="1125" t="e">
        <f t="shared" si="9"/>
        <v>#DIV/0!</v>
      </c>
      <c r="U297" s="1125" t="e">
        <f t="shared" si="9"/>
        <v>#DIV/0!</v>
      </c>
      <c r="V297" s="1125" t="e">
        <f t="shared" si="9"/>
        <v>#DIV/0!</v>
      </c>
      <c r="W297" s="1125" t="e">
        <f t="shared" si="9"/>
        <v>#DIV/0!</v>
      </c>
      <c r="X297" s="1125" t="e">
        <f t="shared" si="9"/>
        <v>#DIV/0!</v>
      </c>
      <c r="Y297" s="1125">
        <f t="shared" si="9"/>
        <v>49.480482423501869</v>
      </c>
      <c r="Z297" s="1125" t="e">
        <f t="shared" si="9"/>
        <v>#DIV/0!</v>
      </c>
      <c r="AA297" s="1125" t="e">
        <f t="shared" si="9"/>
        <v>#DIV/0!</v>
      </c>
      <c r="AB297" s="1125" t="e">
        <f t="shared" si="9"/>
        <v>#DIV/0!</v>
      </c>
      <c r="AC297" s="1125" t="e">
        <f t="shared" si="9"/>
        <v>#DIV/0!</v>
      </c>
      <c r="AD297" s="1125" t="e">
        <f t="shared" si="9"/>
        <v>#DIV/0!</v>
      </c>
      <c r="AE297" s="1125" t="e">
        <f t="shared" si="9"/>
        <v>#DIV/0!</v>
      </c>
      <c r="AF297" s="1125" t="e">
        <f t="shared" si="9"/>
        <v>#DIV/0!</v>
      </c>
      <c r="AG297" s="1125" t="e">
        <f t="shared" si="9"/>
        <v>#DIV/0!</v>
      </c>
      <c r="AH297" s="1125" t="e">
        <f t="shared" si="9"/>
        <v>#DIV/0!</v>
      </c>
      <c r="AI297" s="1125" t="e">
        <f t="shared" si="9"/>
        <v>#DIV/0!</v>
      </c>
      <c r="AJ297" s="1125">
        <f t="shared" si="9"/>
        <v>46.161374573962867</v>
      </c>
      <c r="AK297" s="1125" t="e">
        <f t="shared" si="9"/>
        <v>#DIV/0!</v>
      </c>
      <c r="AL297" s="1125" t="e">
        <f t="shared" si="9"/>
        <v>#DIV/0!</v>
      </c>
      <c r="AM297" s="1125" t="e">
        <f t="shared" si="9"/>
        <v>#DIV/0!</v>
      </c>
      <c r="AN297" s="1125">
        <f t="shared" si="9"/>
        <v>35.07031463069417</v>
      </c>
      <c r="AO297" s="1125" t="e">
        <f t="shared" si="9"/>
        <v>#DIV/0!</v>
      </c>
      <c r="AP297" s="1125" t="e">
        <f t="shared" si="9"/>
        <v>#DIV/0!</v>
      </c>
      <c r="AQ297" s="1125" t="e">
        <f t="shared" si="9"/>
        <v>#DIV/0!</v>
      </c>
      <c r="AR297" s="1125" t="e">
        <f t="shared" si="9"/>
        <v>#DIV/0!</v>
      </c>
      <c r="AS297" s="1125" t="e">
        <f t="shared" si="9"/>
        <v>#DIV/0!</v>
      </c>
      <c r="AT297" s="1125" t="e">
        <f t="shared" si="9"/>
        <v>#DIV/0!</v>
      </c>
      <c r="AU297" s="1125" t="e">
        <f t="shared" si="9"/>
        <v>#DIV/0!</v>
      </c>
      <c r="AV297" s="1125" t="e">
        <f t="shared" si="9"/>
        <v>#DIV/0!</v>
      </c>
      <c r="AW297" s="1125" t="e">
        <f t="shared" si="9"/>
        <v>#DIV/0!</v>
      </c>
      <c r="AX297" s="1125" t="e">
        <f t="shared" si="9"/>
        <v>#DIV/0!</v>
      </c>
      <c r="AY297" s="1125" t="e">
        <f t="shared" si="9"/>
        <v>#DIV/0!</v>
      </c>
      <c r="AZ297" s="1125" t="e">
        <f t="shared" si="9"/>
        <v>#DIV/0!</v>
      </c>
      <c r="BA297" s="1125" t="e">
        <f t="shared" si="9"/>
        <v>#DIV/0!</v>
      </c>
      <c r="BB297" s="1125" t="e">
        <f t="shared" si="9"/>
        <v>#DIV/0!</v>
      </c>
      <c r="BC297" s="1125" t="e">
        <f t="shared" si="9"/>
        <v>#DIV/0!</v>
      </c>
      <c r="BD297" s="1125" t="e">
        <f t="shared" si="9"/>
        <v>#DIV/0!</v>
      </c>
      <c r="BE297" s="1125" t="e">
        <f t="shared" si="9"/>
        <v>#DIV/0!</v>
      </c>
      <c r="BF297" s="1125" t="e">
        <f t="shared" si="9"/>
        <v>#DIV/0!</v>
      </c>
      <c r="BG297" s="1125" t="e">
        <f t="shared" si="9"/>
        <v>#DIV/0!</v>
      </c>
      <c r="BH297" s="1125">
        <f t="shared" si="9"/>
        <v>43.775891382790043</v>
      </c>
      <c r="BI297" s="1125" t="e">
        <f t="shared" si="9"/>
        <v>#DIV/0!</v>
      </c>
      <c r="BJ297" s="1125" t="e">
        <f t="shared" si="9"/>
        <v>#DIV/0!</v>
      </c>
      <c r="BK297" s="1125" t="e">
        <f t="shared" si="9"/>
        <v>#DIV/0!</v>
      </c>
      <c r="BL297" s="1125" t="e">
        <f t="shared" si="9"/>
        <v>#DIV/0!</v>
      </c>
      <c r="BM297" s="1125" t="e">
        <f t="shared" si="9"/>
        <v>#DIV/0!</v>
      </c>
      <c r="BN297" s="1125" t="e">
        <f t="shared" si="9"/>
        <v>#DIV/0!</v>
      </c>
      <c r="BO297" s="1125" t="e">
        <f t="shared" si="9"/>
        <v>#DIV/0!</v>
      </c>
      <c r="BP297" s="1125" t="e">
        <f t="shared" si="9"/>
        <v>#DIV/0!</v>
      </c>
      <c r="BQ297" s="1125" t="e">
        <f t="shared" si="9"/>
        <v>#DIV/0!</v>
      </c>
      <c r="BR297" s="1125" t="e">
        <f>BR53*365/BR57</f>
        <v>#DIV/0!</v>
      </c>
      <c r="BS297" s="1125" t="e">
        <f>BS53*365/BS57</f>
        <v>#DIV/0!</v>
      </c>
    </row>
    <row r="298" spans="1:71" x14ac:dyDescent="0.3">
      <c r="A298" s="304" t="s">
        <v>873</v>
      </c>
      <c r="C298" s="304" t="s">
        <v>876</v>
      </c>
      <c r="E298" s="418">
        <f>+E290-E8</f>
        <v>2624199</v>
      </c>
      <c r="F298" s="418">
        <f t="shared" ref="F298:BQ298" si="10">+F290-F8</f>
        <v>948742</v>
      </c>
      <c r="G298" s="418">
        <f t="shared" si="10"/>
        <v>2310718</v>
      </c>
      <c r="H298" s="418">
        <f t="shared" si="10"/>
        <v>5266338</v>
      </c>
      <c r="I298" s="418">
        <f t="shared" si="10"/>
        <v>468314</v>
      </c>
      <c r="J298" s="418">
        <f t="shared" si="10"/>
        <v>790289</v>
      </c>
      <c r="K298" s="418">
        <f t="shared" si="10"/>
        <v>3906249</v>
      </c>
      <c r="L298" s="418">
        <f t="shared" si="10"/>
        <v>241538</v>
      </c>
      <c r="M298" s="418">
        <f t="shared" si="10"/>
        <v>30743908</v>
      </c>
      <c r="N298" s="418">
        <f t="shared" si="10"/>
        <v>84775</v>
      </c>
      <c r="O298" s="418">
        <f t="shared" si="10"/>
        <v>8143913</v>
      </c>
      <c r="P298" s="418">
        <f t="shared" si="10"/>
        <v>981163</v>
      </c>
      <c r="Q298" s="418">
        <f t="shared" si="10"/>
        <v>18603602</v>
      </c>
      <c r="R298" s="418">
        <f t="shared" si="10"/>
        <v>59602772</v>
      </c>
      <c r="S298" s="418" t="e">
        <f t="shared" si="10"/>
        <v>#VALUE!</v>
      </c>
      <c r="T298" s="418">
        <f t="shared" si="10"/>
        <v>683303</v>
      </c>
      <c r="U298" s="418">
        <f t="shared" si="10"/>
        <v>2992109</v>
      </c>
      <c r="V298" s="418">
        <f t="shared" si="10"/>
        <v>830643</v>
      </c>
      <c r="W298" s="418">
        <f t="shared" si="10"/>
        <v>351709</v>
      </c>
      <c r="X298" s="418">
        <f t="shared" si="10"/>
        <v>307284</v>
      </c>
      <c r="Y298" s="418">
        <f t="shared" si="10"/>
        <v>922227</v>
      </c>
      <c r="Z298" s="418">
        <f t="shared" si="10"/>
        <v>232660</v>
      </c>
      <c r="AA298" s="418">
        <f t="shared" si="10"/>
        <v>871371</v>
      </c>
      <c r="AB298" s="418">
        <f t="shared" si="10"/>
        <v>701157</v>
      </c>
      <c r="AC298" s="418">
        <f t="shared" si="10"/>
        <v>4760262</v>
      </c>
      <c r="AD298" s="418">
        <f t="shared" si="10"/>
        <v>2076894</v>
      </c>
      <c r="AE298" s="418">
        <f t="shared" si="10"/>
        <v>47204</v>
      </c>
      <c r="AF298" s="418">
        <f t="shared" si="10"/>
        <v>167357</v>
      </c>
      <c r="AG298" s="418">
        <f t="shared" si="10"/>
        <v>151479</v>
      </c>
      <c r="AH298" s="418">
        <f t="shared" si="10"/>
        <v>3468716</v>
      </c>
      <c r="AI298" s="418">
        <f t="shared" si="10"/>
        <v>7733157</v>
      </c>
      <c r="AJ298" s="418">
        <f t="shared" si="10"/>
        <v>869829</v>
      </c>
      <c r="AK298" s="418">
        <f t="shared" si="10"/>
        <v>3976994</v>
      </c>
      <c r="AL298" s="418" t="e">
        <f t="shared" si="10"/>
        <v>#VALUE!</v>
      </c>
      <c r="AM298" s="418">
        <f t="shared" si="10"/>
        <v>76367</v>
      </c>
      <c r="AN298" s="418">
        <f t="shared" si="10"/>
        <v>1948307</v>
      </c>
      <c r="AO298" s="418">
        <f t="shared" si="10"/>
        <v>2298339</v>
      </c>
      <c r="AP298" s="418">
        <f t="shared" si="10"/>
        <v>1551082</v>
      </c>
      <c r="AQ298" s="418">
        <f t="shared" si="10"/>
        <v>339195</v>
      </c>
      <c r="AR298" s="418">
        <f t="shared" si="10"/>
        <v>1189989</v>
      </c>
      <c r="AS298" s="418">
        <f t="shared" si="10"/>
        <v>713193</v>
      </c>
      <c r="AT298" s="418">
        <f t="shared" si="10"/>
        <v>3285215</v>
      </c>
      <c r="AU298" s="418">
        <f t="shared" si="10"/>
        <v>2206432</v>
      </c>
      <c r="AV298" s="418" t="e">
        <f t="shared" si="10"/>
        <v>#VALUE!</v>
      </c>
      <c r="AW298" s="418">
        <f t="shared" si="10"/>
        <v>3454246</v>
      </c>
      <c r="AX298" s="418">
        <f t="shared" si="10"/>
        <v>639917</v>
      </c>
      <c r="AY298" s="418">
        <f t="shared" si="10"/>
        <v>5069351</v>
      </c>
      <c r="AZ298" s="418">
        <f t="shared" si="10"/>
        <v>28476</v>
      </c>
      <c r="BA298" s="418">
        <f t="shared" si="10"/>
        <v>427427</v>
      </c>
      <c r="BB298" s="418">
        <f t="shared" si="10"/>
        <v>1366791</v>
      </c>
      <c r="BC298" s="418">
        <f t="shared" si="10"/>
        <v>948875</v>
      </c>
      <c r="BD298" s="418">
        <f t="shared" si="10"/>
        <v>796477</v>
      </c>
      <c r="BE298" s="418">
        <f t="shared" si="10"/>
        <v>276599</v>
      </c>
      <c r="BF298" s="418">
        <f t="shared" si="10"/>
        <v>11396685</v>
      </c>
      <c r="BG298" s="418">
        <f t="shared" si="10"/>
        <v>555350</v>
      </c>
      <c r="BH298" s="418">
        <f t="shared" si="10"/>
        <v>231801</v>
      </c>
      <c r="BI298" s="418">
        <f t="shared" si="10"/>
        <v>3499491</v>
      </c>
      <c r="BJ298" s="418">
        <f t="shared" si="10"/>
        <v>529857</v>
      </c>
      <c r="BK298" s="418">
        <f t="shared" si="10"/>
        <v>764917</v>
      </c>
      <c r="BL298" s="418">
        <f t="shared" si="10"/>
        <v>594560</v>
      </c>
      <c r="BM298" s="418">
        <f t="shared" si="10"/>
        <v>1088825</v>
      </c>
      <c r="BN298" s="418">
        <f t="shared" si="10"/>
        <v>2360722</v>
      </c>
      <c r="BO298" s="418">
        <f t="shared" si="10"/>
        <v>735268</v>
      </c>
      <c r="BP298" s="418">
        <f t="shared" si="10"/>
        <v>3407461</v>
      </c>
      <c r="BQ298" s="418">
        <f t="shared" si="10"/>
        <v>28251851</v>
      </c>
      <c r="BR298" s="418">
        <f t="shared" ref="BR298:BS298" si="11">+BR290-BR8</f>
        <v>1243127</v>
      </c>
      <c r="BS298" s="418">
        <f t="shared" si="11"/>
        <v>6407081</v>
      </c>
    </row>
    <row r="299" spans="1:71" x14ac:dyDescent="0.3">
      <c r="A299" s="304" t="s">
        <v>874</v>
      </c>
      <c r="C299" s="303" t="s">
        <v>875</v>
      </c>
      <c r="E299" s="419">
        <f>E298/E291</f>
        <v>0.30679002026016722</v>
      </c>
      <c r="F299" s="419">
        <f t="shared" ref="F299:BQ299" si="12">F298/F291</f>
        <v>0.16876023020245706</v>
      </c>
      <c r="G299" s="419">
        <f t="shared" si="12"/>
        <v>6.9651339090593964</v>
      </c>
      <c r="H299" s="419">
        <f t="shared" si="12"/>
        <v>0.31730308483034925</v>
      </c>
      <c r="I299" s="419">
        <f t="shared" si="12"/>
        <v>3.5129697697096991</v>
      </c>
      <c r="J299" s="419">
        <f t="shared" si="12"/>
        <v>0.66624711257987823</v>
      </c>
      <c r="K299" s="419">
        <f t="shared" si="12"/>
        <v>1.0499469818636311</v>
      </c>
      <c r="L299" s="419">
        <f t="shared" si="12"/>
        <v>0.5438269033761497</v>
      </c>
      <c r="M299" s="419">
        <f t="shared" si="12"/>
        <v>0.55580220989529039</v>
      </c>
      <c r="N299" s="419">
        <f t="shared" si="12"/>
        <v>3.5317030494917514</v>
      </c>
      <c r="O299" s="419">
        <f t="shared" si="12"/>
        <v>0.8590959922385164</v>
      </c>
      <c r="P299" s="419">
        <f t="shared" si="12"/>
        <v>0.5994932343671906</v>
      </c>
      <c r="Q299" s="419">
        <f t="shared" si="12"/>
        <v>0.67566514707762393</v>
      </c>
      <c r="R299" s="419">
        <f t="shared" si="12"/>
        <v>0.4838458566394872</v>
      </c>
      <c r="S299" s="419" t="e">
        <f t="shared" si="12"/>
        <v>#VALUE!</v>
      </c>
      <c r="T299" s="419">
        <f t="shared" si="12"/>
        <v>1.4091772445581001</v>
      </c>
      <c r="U299" s="419">
        <f t="shared" si="12"/>
        <v>0.42439065211517418</v>
      </c>
      <c r="V299" s="419">
        <f t="shared" si="12"/>
        <v>1.3160285436345605</v>
      </c>
      <c r="W299" s="419">
        <f t="shared" si="12"/>
        <v>0.85908192701043717</v>
      </c>
      <c r="X299" s="419">
        <f t="shared" si="12"/>
        <v>1.7373045218630212</v>
      </c>
      <c r="Y299" s="419" t="e">
        <f t="shared" si="12"/>
        <v>#VALUE!</v>
      </c>
      <c r="Z299" s="419">
        <f t="shared" si="12"/>
        <v>0.1865238782792599</v>
      </c>
      <c r="AA299" s="419">
        <f t="shared" si="12"/>
        <v>1.8020250190776155</v>
      </c>
      <c r="AB299" s="419">
        <f t="shared" si="12"/>
        <v>1.020507461426615</v>
      </c>
      <c r="AC299" s="419">
        <f t="shared" si="12"/>
        <v>0.34654663806018526</v>
      </c>
      <c r="AD299" s="419">
        <f t="shared" si="12"/>
        <v>0.96972999322041498</v>
      </c>
      <c r="AE299" s="419">
        <f t="shared" si="12"/>
        <v>0.20546973278139785</v>
      </c>
      <c r="AF299" s="419">
        <f t="shared" si="12"/>
        <v>0.53652789443650095</v>
      </c>
      <c r="AG299" s="419">
        <f t="shared" si="12"/>
        <v>3.7044581937345624</v>
      </c>
      <c r="AH299" s="419">
        <f t="shared" si="12"/>
        <v>0.43959040354762913</v>
      </c>
      <c r="AI299" s="419">
        <f t="shared" si="12"/>
        <v>1.197899590076642</v>
      </c>
      <c r="AJ299" s="419">
        <f t="shared" si="12"/>
        <v>0.51733502243712692</v>
      </c>
      <c r="AK299" s="419">
        <f t="shared" si="12"/>
        <v>0.30660585114629668</v>
      </c>
      <c r="AL299" s="419" t="e">
        <f t="shared" si="12"/>
        <v>#VALUE!</v>
      </c>
      <c r="AM299" s="419">
        <f t="shared" si="12"/>
        <v>0.93429004869216281</v>
      </c>
      <c r="AN299" s="419">
        <f t="shared" si="12"/>
        <v>0.40878553177596877</v>
      </c>
      <c r="AO299" s="419">
        <f t="shared" si="12"/>
        <v>1.2786735579490831</v>
      </c>
      <c r="AP299" s="419">
        <f t="shared" si="12"/>
        <v>0.36957749351546115</v>
      </c>
      <c r="AQ299" s="419">
        <f t="shared" si="12"/>
        <v>1.887111041876457</v>
      </c>
      <c r="AR299" s="419">
        <f t="shared" si="12"/>
        <v>1.3909394070802976</v>
      </c>
      <c r="AS299" s="419">
        <f t="shared" si="12"/>
        <v>0.66176216783982456</v>
      </c>
      <c r="AT299" s="419">
        <f t="shared" si="12"/>
        <v>0.7264810785625152</v>
      </c>
      <c r="AU299" s="419">
        <f t="shared" si="12"/>
        <v>1.2279150734072646</v>
      </c>
      <c r="AV299" s="419" t="e">
        <f t="shared" si="12"/>
        <v>#VALUE!</v>
      </c>
      <c r="AW299" s="419">
        <f t="shared" si="12"/>
        <v>0.41006630397258759</v>
      </c>
      <c r="AX299" s="419">
        <f t="shared" si="12"/>
        <v>0.47930087895708579</v>
      </c>
      <c r="AY299" s="419">
        <f t="shared" si="12"/>
        <v>0.57535486177514594</v>
      </c>
      <c r="AZ299" s="419">
        <f t="shared" si="12"/>
        <v>0.55572685935091037</v>
      </c>
      <c r="BA299" s="419">
        <f t="shared" si="12"/>
        <v>2.0930347576561843</v>
      </c>
      <c r="BB299" s="419">
        <f t="shared" si="12"/>
        <v>0.31844787094248889</v>
      </c>
      <c r="BC299" s="419">
        <f t="shared" si="12"/>
        <v>0.36104472483740385</v>
      </c>
      <c r="BD299" s="419">
        <f t="shared" si="12"/>
        <v>26.048238872355039</v>
      </c>
      <c r="BE299" s="419">
        <f t="shared" si="12"/>
        <v>0.59970643331656637</v>
      </c>
      <c r="BF299" s="419">
        <f t="shared" si="12"/>
        <v>0.73248061928812258</v>
      </c>
      <c r="BG299" s="419">
        <f t="shared" si="12"/>
        <v>0.74632782787491092</v>
      </c>
      <c r="BH299" s="419">
        <f t="shared" si="12"/>
        <v>1.3393018096096512</v>
      </c>
      <c r="BI299" s="419">
        <f t="shared" si="12"/>
        <v>0.36530147914336664</v>
      </c>
      <c r="BJ299" s="419">
        <f t="shared" si="12"/>
        <v>0.67327201939546732</v>
      </c>
      <c r="BK299" s="419">
        <f t="shared" si="12"/>
        <v>0.84244465419125902</v>
      </c>
      <c r="BL299" s="419">
        <f t="shared" si="12"/>
        <v>2.0669707420180221</v>
      </c>
      <c r="BM299" s="419">
        <f t="shared" si="12"/>
        <v>2.8750663431147068</v>
      </c>
      <c r="BN299" s="419">
        <f t="shared" si="12"/>
        <v>1.4149607918000529</v>
      </c>
      <c r="BO299" s="419">
        <f t="shared" si="12"/>
        <v>1.6867001130938863</v>
      </c>
      <c r="BP299" s="419" t="e">
        <f t="shared" si="12"/>
        <v>#VALUE!</v>
      </c>
      <c r="BQ299" s="419">
        <f t="shared" si="12"/>
        <v>0.43493149177085016</v>
      </c>
      <c r="BR299" s="419">
        <f t="shared" ref="BR299:BS299" si="13">BR298/BR291</f>
        <v>0.62725616331012102</v>
      </c>
      <c r="BS299" s="419">
        <f t="shared" si="13"/>
        <v>0.87248708648284434</v>
      </c>
    </row>
    <row r="300" spans="1:71" x14ac:dyDescent="0.3">
      <c r="A300" s="304" t="s">
        <v>1099</v>
      </c>
      <c r="C300" s="317" t="s">
        <v>1101</v>
      </c>
      <c r="E300" s="407">
        <f>E295/E32</f>
        <v>4.4106123812619638</v>
      </c>
      <c r="F300" s="407">
        <f t="shared" ref="F300:BQ300" si="14">F295/F32</f>
        <v>1.3437066164746503</v>
      </c>
      <c r="G300" s="407">
        <f t="shared" si="14"/>
        <v>9.5469424748094038</v>
      </c>
      <c r="H300" s="407">
        <f t="shared" si="14"/>
        <v>2.5345721672746047</v>
      </c>
      <c r="I300" s="407" t="e">
        <f t="shared" si="14"/>
        <v>#DIV/0!</v>
      </c>
      <c r="J300" s="407">
        <f t="shared" si="14"/>
        <v>3.4470321890178646</v>
      </c>
      <c r="K300" s="407">
        <f t="shared" si="14"/>
        <v>7.6435094669940433</v>
      </c>
      <c r="L300" s="407">
        <f t="shared" si="14"/>
        <v>3.4364616347376709</v>
      </c>
      <c r="M300" s="407">
        <f t="shared" si="14"/>
        <v>3.3861433780637347</v>
      </c>
      <c r="N300" s="407" t="e">
        <f t="shared" si="14"/>
        <v>#DIV/0!</v>
      </c>
      <c r="O300" s="407">
        <f t="shared" si="14"/>
        <v>7.1131331833923186</v>
      </c>
      <c r="P300" s="407" t="e">
        <f t="shared" si="14"/>
        <v>#DIV/0!</v>
      </c>
      <c r="Q300" s="407">
        <f t="shared" si="14"/>
        <v>7.6653408059859318</v>
      </c>
      <c r="R300" s="407">
        <f t="shared" si="14"/>
        <v>5.4733585681049854</v>
      </c>
      <c r="S300" s="407" t="e">
        <f t="shared" si="14"/>
        <v>#DIV/0!</v>
      </c>
      <c r="T300" s="407">
        <f t="shared" si="14"/>
        <v>10.685714285714285</v>
      </c>
      <c r="U300" s="407">
        <f t="shared" si="14"/>
        <v>12.659892113033868</v>
      </c>
      <c r="V300" s="407">
        <f t="shared" si="14"/>
        <v>1.9119245139929342</v>
      </c>
      <c r="W300" s="407">
        <f t="shared" si="14"/>
        <v>21.517319408181027</v>
      </c>
      <c r="X300" s="407">
        <f t="shared" si="14"/>
        <v>3.3395275136848173</v>
      </c>
      <c r="Y300" s="407">
        <f t="shared" si="14"/>
        <v>1.2174817725183105</v>
      </c>
      <c r="Z300" s="407" t="e">
        <f t="shared" si="14"/>
        <v>#DIV/0!</v>
      </c>
      <c r="AA300" s="407">
        <f t="shared" si="14"/>
        <v>9.7912984717746134</v>
      </c>
      <c r="AB300" s="407">
        <f t="shared" si="14"/>
        <v>5.5998468103731263</v>
      </c>
      <c r="AC300" s="407">
        <f t="shared" si="14"/>
        <v>2.2743804015295281</v>
      </c>
      <c r="AD300" s="407">
        <f t="shared" si="14"/>
        <v>11.257475055796245</v>
      </c>
      <c r="AE300" s="407">
        <f t="shared" si="14"/>
        <v>0.42921883934822225</v>
      </c>
      <c r="AF300" s="407" t="e">
        <f t="shared" si="14"/>
        <v>#DIV/0!</v>
      </c>
      <c r="AG300" s="407" t="e">
        <f t="shared" si="14"/>
        <v>#DIV/0!</v>
      </c>
      <c r="AH300" s="407">
        <f t="shared" si="14"/>
        <v>1.5150630114432526</v>
      </c>
      <c r="AI300" s="407">
        <f t="shared" si="14"/>
        <v>2.7101223155109588</v>
      </c>
      <c r="AJ300" s="407">
        <f t="shared" si="14"/>
        <v>0.4597915144455163</v>
      </c>
      <c r="AK300" s="407">
        <f t="shared" si="14"/>
        <v>2.01269486325485</v>
      </c>
      <c r="AL300" s="407" t="e">
        <f t="shared" si="14"/>
        <v>#DIV/0!</v>
      </c>
      <c r="AM300" s="407" t="e">
        <f t="shared" si="14"/>
        <v>#DIV/0!</v>
      </c>
      <c r="AN300" s="407">
        <f t="shared" si="14"/>
        <v>1.9619459185915662</v>
      </c>
      <c r="AO300" s="407">
        <f t="shared" si="14"/>
        <v>19706.204819277107</v>
      </c>
      <c r="AP300" s="407">
        <f t="shared" si="14"/>
        <v>1.6932559227660238</v>
      </c>
      <c r="AQ300" s="407" t="e">
        <f t="shared" si="14"/>
        <v>#DIV/0!</v>
      </c>
      <c r="AR300" s="407">
        <f t="shared" si="14"/>
        <v>0.56238438654550804</v>
      </c>
      <c r="AS300" s="407">
        <f t="shared" si="14"/>
        <v>10.3528706083976</v>
      </c>
      <c r="AT300" s="407">
        <f t="shared" si="14"/>
        <v>207.4740168539326</v>
      </c>
      <c r="AU300" s="407">
        <f t="shared" si="14"/>
        <v>8.9146214591811983</v>
      </c>
      <c r="AV300" s="407" t="e">
        <f t="shared" si="14"/>
        <v>#DIV/0!</v>
      </c>
      <c r="AW300" s="407">
        <f t="shared" si="14"/>
        <v>6.0142307184824704</v>
      </c>
      <c r="AX300" s="407">
        <f>AX295/AX32</f>
        <v>9.6952369014790669</v>
      </c>
      <c r="AY300" s="407">
        <f t="shared" si="14"/>
        <v>5.6021097289411044</v>
      </c>
      <c r="AZ300" s="407" t="e">
        <f t="shared" si="14"/>
        <v>#DIV/0!</v>
      </c>
      <c r="BA300" s="407" t="e">
        <f t="shared" si="14"/>
        <v>#DIV/0!</v>
      </c>
      <c r="BB300" s="407" t="e">
        <f t="shared" si="14"/>
        <v>#DIV/0!</v>
      </c>
      <c r="BC300" s="407">
        <f t="shared" si="14"/>
        <v>3.2010389394121619</v>
      </c>
      <c r="BD300" s="407" t="e">
        <f t="shared" si="14"/>
        <v>#DIV/0!</v>
      </c>
      <c r="BE300" s="407">
        <f t="shared" si="14"/>
        <v>0.76370178227763363</v>
      </c>
      <c r="BF300" s="407">
        <f t="shared" si="14"/>
        <v>22.412084982613969</v>
      </c>
      <c r="BG300" s="407">
        <f t="shared" si="14"/>
        <v>6.0122139513717334</v>
      </c>
      <c r="BH300" s="407">
        <f t="shared" si="14"/>
        <v>20.475553587245351</v>
      </c>
      <c r="BI300" s="407">
        <f t="shared" si="14"/>
        <v>0.85935974565312467</v>
      </c>
      <c r="BJ300" s="407">
        <f t="shared" si="14"/>
        <v>2.0442772391839097</v>
      </c>
      <c r="BK300" s="407">
        <f t="shared" si="14"/>
        <v>3.9836701026170522</v>
      </c>
      <c r="BL300" s="407" t="e">
        <f t="shared" si="14"/>
        <v>#DIV/0!</v>
      </c>
      <c r="BM300" s="407">
        <f t="shared" si="14"/>
        <v>56776.333333333336</v>
      </c>
      <c r="BN300" s="407">
        <f t="shared" si="14"/>
        <v>3.0237543133886584</v>
      </c>
      <c r="BO300" s="407">
        <f t="shared" si="14"/>
        <v>9.2017251907083946</v>
      </c>
      <c r="BP300" s="407">
        <f t="shared" si="14"/>
        <v>16.139916504774106</v>
      </c>
      <c r="BQ300" s="407">
        <f t="shared" si="14"/>
        <v>22.287946059347103</v>
      </c>
      <c r="BR300" s="407">
        <f t="shared" ref="BR300:BS300" si="15">BR295/BR32</f>
        <v>10.840788365507683</v>
      </c>
      <c r="BS300" s="407" t="e">
        <f t="shared" si="15"/>
        <v>#DIV/0!</v>
      </c>
    </row>
    <row r="301" spans="1:71" ht="33" customHeight="1" x14ac:dyDescent="0.3">
      <c r="A301" s="420" t="s">
        <v>1108</v>
      </c>
      <c r="B301" s="421"/>
      <c r="C301" s="422" t="s">
        <v>1275</v>
      </c>
      <c r="E301" s="417">
        <f>+E48-E49+E36-E97</f>
        <v>452626</v>
      </c>
      <c r="F301" s="417">
        <f t="shared" ref="F301:BQ301" si="16">+F48-F49+F36-F97</f>
        <v>1236596</v>
      </c>
      <c r="G301" s="417">
        <f t="shared" si="16"/>
        <v>53885</v>
      </c>
      <c r="H301" s="417">
        <f t="shared" si="16"/>
        <v>1518479</v>
      </c>
      <c r="I301" s="417">
        <f t="shared" si="16"/>
        <v>0</v>
      </c>
      <c r="J301" s="417">
        <f t="shared" si="16"/>
        <v>195672</v>
      </c>
      <c r="K301" s="417">
        <f t="shared" si="16"/>
        <v>491227</v>
      </c>
      <c r="L301" s="417">
        <f t="shared" si="16"/>
        <v>37232</v>
      </c>
      <c r="M301" s="417">
        <f t="shared" si="16"/>
        <v>2814195</v>
      </c>
      <c r="N301" s="417">
        <f t="shared" si="16"/>
        <v>0</v>
      </c>
      <c r="O301" s="417">
        <f t="shared" si="16"/>
        <v>801466</v>
      </c>
      <c r="P301" s="417">
        <f t="shared" si="16"/>
        <v>0</v>
      </c>
      <c r="Q301" s="417">
        <f t="shared" si="16"/>
        <v>417341</v>
      </c>
      <c r="R301" s="417">
        <f t="shared" si="16"/>
        <v>14874247</v>
      </c>
      <c r="S301" s="417">
        <f t="shared" si="16"/>
        <v>0</v>
      </c>
      <c r="T301" s="417">
        <f t="shared" si="16"/>
        <v>27879</v>
      </c>
      <c r="U301" s="417">
        <f t="shared" si="16"/>
        <v>309087</v>
      </c>
      <c r="V301" s="417">
        <f t="shared" si="16"/>
        <v>61691</v>
      </c>
      <c r="W301" s="417">
        <f t="shared" si="16"/>
        <v>22652</v>
      </c>
      <c r="X301" s="417">
        <f t="shared" si="16"/>
        <v>-21881</v>
      </c>
      <c r="Y301" s="417">
        <f t="shared" si="16"/>
        <v>234784</v>
      </c>
      <c r="Z301" s="417">
        <f t="shared" si="16"/>
        <v>0</v>
      </c>
      <c r="AA301" s="417">
        <f t="shared" si="16"/>
        <v>64026</v>
      </c>
      <c r="AB301" s="417">
        <f t="shared" si="16"/>
        <v>44594</v>
      </c>
      <c r="AC301" s="417">
        <f t="shared" si="16"/>
        <v>26051</v>
      </c>
      <c r="AD301" s="417">
        <f t="shared" si="16"/>
        <v>274987</v>
      </c>
      <c r="AE301" s="417">
        <f t="shared" si="16"/>
        <v>-47661</v>
      </c>
      <c r="AF301" s="417">
        <f t="shared" si="16"/>
        <v>0</v>
      </c>
      <c r="AG301" s="417">
        <f t="shared" si="16"/>
        <v>0</v>
      </c>
      <c r="AH301" s="417">
        <f t="shared" si="16"/>
        <v>946689</v>
      </c>
      <c r="AI301" s="417">
        <f t="shared" si="16"/>
        <v>-355435</v>
      </c>
      <c r="AJ301" s="417">
        <f t="shared" si="16"/>
        <v>62439</v>
      </c>
      <c r="AK301" s="417">
        <f t="shared" si="16"/>
        <v>862352</v>
      </c>
      <c r="AL301" s="417">
        <f t="shared" si="16"/>
        <v>0</v>
      </c>
      <c r="AM301" s="417">
        <f t="shared" si="16"/>
        <v>0</v>
      </c>
      <c r="AN301" s="417">
        <f t="shared" si="16"/>
        <v>-241742</v>
      </c>
      <c r="AO301" s="417">
        <f t="shared" si="16"/>
        <v>353289</v>
      </c>
      <c r="AP301" s="417">
        <f t="shared" si="16"/>
        <v>719262</v>
      </c>
      <c r="AQ301" s="417">
        <f t="shared" si="16"/>
        <v>0</v>
      </c>
      <c r="AR301" s="417">
        <f t="shared" si="16"/>
        <v>-147596</v>
      </c>
      <c r="AS301" s="417">
        <f t="shared" si="16"/>
        <v>156145</v>
      </c>
      <c r="AT301" s="417">
        <f t="shared" si="16"/>
        <v>180295</v>
      </c>
      <c r="AU301" s="417">
        <f t="shared" si="16"/>
        <v>394476</v>
      </c>
      <c r="AV301" s="417">
        <f t="shared" si="16"/>
        <v>0</v>
      </c>
      <c r="AW301" s="417">
        <f t="shared" si="16"/>
        <v>256726</v>
      </c>
      <c r="AX301" s="417">
        <f t="shared" si="16"/>
        <v>-59178</v>
      </c>
      <c r="AY301" s="417">
        <f t="shared" si="16"/>
        <v>98106</v>
      </c>
      <c r="AZ301" s="417">
        <f t="shared" si="16"/>
        <v>-39087</v>
      </c>
      <c r="BA301" s="417">
        <f t="shared" si="16"/>
        <v>0</v>
      </c>
      <c r="BB301" s="417">
        <f t="shared" si="16"/>
        <v>0</v>
      </c>
      <c r="BC301" s="417">
        <f t="shared" si="16"/>
        <v>298129</v>
      </c>
      <c r="BD301" s="417">
        <f t="shared" si="16"/>
        <v>0</v>
      </c>
      <c r="BE301" s="417">
        <f t="shared" si="16"/>
        <v>-85889</v>
      </c>
      <c r="BF301" s="417">
        <f t="shared" si="16"/>
        <v>2602925</v>
      </c>
      <c r="BG301" s="417">
        <f t="shared" si="16"/>
        <v>-56032</v>
      </c>
      <c r="BH301" s="417">
        <f t="shared" si="16"/>
        <v>56830</v>
      </c>
      <c r="BI301" s="417">
        <f t="shared" si="16"/>
        <v>207892</v>
      </c>
      <c r="BJ301" s="417">
        <f t="shared" si="16"/>
        <v>13389</v>
      </c>
      <c r="BK301" s="417">
        <f t="shared" si="16"/>
        <v>41138</v>
      </c>
      <c r="BL301" s="417">
        <f t="shared" si="16"/>
        <v>0</v>
      </c>
      <c r="BM301" s="417">
        <f t="shared" si="16"/>
        <v>39983</v>
      </c>
      <c r="BN301" s="417">
        <f t="shared" si="16"/>
        <v>121224</v>
      </c>
      <c r="BO301" s="417">
        <f t="shared" si="16"/>
        <v>88087</v>
      </c>
      <c r="BP301" s="417">
        <f t="shared" si="16"/>
        <v>495297</v>
      </c>
      <c r="BQ301" s="417">
        <f t="shared" si="16"/>
        <v>10613534</v>
      </c>
      <c r="BR301" s="417">
        <f t="shared" ref="BR301:BS301" si="17">+BR48-BR49+BR36-BR97</f>
        <v>268984</v>
      </c>
      <c r="BS301" s="417">
        <f t="shared" si="17"/>
        <v>0</v>
      </c>
    </row>
    <row r="302" spans="1:71" ht="39" customHeight="1" x14ac:dyDescent="0.3">
      <c r="A302" s="423" t="s">
        <v>1107</v>
      </c>
      <c r="B302" s="421"/>
      <c r="C302" s="422" t="s">
        <v>1109</v>
      </c>
      <c r="E302" s="424">
        <f>+E44/(E49+E115+E97-E36)</f>
        <v>0.92502480800879194</v>
      </c>
      <c r="F302" s="424">
        <f t="shared" ref="F302:BQ302" si="18">+F44/(F49+F115+F97-F36)</f>
        <v>5.9418321944588043E-2</v>
      </c>
      <c r="G302" s="424">
        <f t="shared" si="18"/>
        <v>1.0536502487820947</v>
      </c>
      <c r="H302" s="424">
        <f t="shared" si="18"/>
        <v>0.44802719231660737</v>
      </c>
      <c r="I302" s="424" t="e">
        <f t="shared" si="18"/>
        <v>#DIV/0!</v>
      </c>
      <c r="J302" s="424">
        <f t="shared" si="18"/>
        <v>0.21636744926121085</v>
      </c>
      <c r="K302" s="424">
        <f t="shared" si="18"/>
        <v>1.5546850723104952</v>
      </c>
      <c r="L302" s="424">
        <f t="shared" si="18"/>
        <v>0.4354436562523073</v>
      </c>
      <c r="M302" s="424">
        <f t="shared" si="18"/>
        <v>2.1686869104205502</v>
      </c>
      <c r="N302" s="424" t="e">
        <f t="shared" si="18"/>
        <v>#DIV/0!</v>
      </c>
      <c r="O302" s="424">
        <f t="shared" si="18"/>
        <v>2.1333143705146953</v>
      </c>
      <c r="P302" s="424" t="e">
        <f t="shared" si="18"/>
        <v>#DIV/0!</v>
      </c>
      <c r="Q302" s="424">
        <f t="shared" si="18"/>
        <v>0.97499448237937558</v>
      </c>
      <c r="R302" s="424">
        <f t="shared" si="18"/>
        <v>2.650239417117823</v>
      </c>
      <c r="S302" s="424" t="e">
        <f t="shared" si="18"/>
        <v>#DIV/0!</v>
      </c>
      <c r="T302" s="424">
        <f t="shared" si="18"/>
        <v>2.0324085893399144</v>
      </c>
      <c r="U302" s="424">
        <f t="shared" si="18"/>
        <v>1.0715077691631298</v>
      </c>
      <c r="V302" s="424">
        <f t="shared" si="18"/>
        <v>1.7785631169388407</v>
      </c>
      <c r="W302" s="424">
        <f t="shared" si="18"/>
        <v>0.39221357987101058</v>
      </c>
      <c r="X302" s="424">
        <f t="shared" si="18"/>
        <v>0.31920008929874727</v>
      </c>
      <c r="Y302" s="424">
        <f t="shared" si="18"/>
        <v>0.39808288253681401</v>
      </c>
      <c r="Z302" s="424" t="e">
        <f t="shared" si="18"/>
        <v>#DIV/0!</v>
      </c>
      <c r="AA302" s="424">
        <f t="shared" si="18"/>
        <v>1.2682715723381157</v>
      </c>
      <c r="AB302" s="424">
        <f t="shared" si="18"/>
        <v>0.56907649980100705</v>
      </c>
      <c r="AC302" s="424">
        <f t="shared" si="18"/>
        <v>0.5628744907781702</v>
      </c>
      <c r="AD302" s="424">
        <f t="shared" si="18"/>
        <v>1.8787508697132538</v>
      </c>
      <c r="AE302" s="424">
        <f t="shared" si="18"/>
        <v>0.46365368184130296</v>
      </c>
      <c r="AF302" s="424" t="e">
        <f t="shared" si="18"/>
        <v>#DIV/0!</v>
      </c>
      <c r="AG302" s="424" t="e">
        <f t="shared" si="18"/>
        <v>#DIV/0!</v>
      </c>
      <c r="AH302" s="424">
        <f t="shared" si="18"/>
        <v>0.31368361167254816</v>
      </c>
      <c r="AI302" s="424">
        <f t="shared" si="18"/>
        <v>0.42433289070073632</v>
      </c>
      <c r="AJ302" s="424">
        <f t="shared" si="18"/>
        <v>6.0603269182752791E-5</v>
      </c>
      <c r="AK302" s="424">
        <f t="shared" si="18"/>
        <v>1.578000552502294</v>
      </c>
      <c r="AL302" s="424" t="e">
        <f t="shared" si="18"/>
        <v>#DIV/0!</v>
      </c>
      <c r="AM302" s="424" t="e">
        <f t="shared" si="18"/>
        <v>#DIV/0!</v>
      </c>
      <c r="AN302" s="424">
        <f t="shared" si="18"/>
        <v>0.13298513929045197</v>
      </c>
      <c r="AO302" s="424">
        <f t="shared" si="18"/>
        <v>8.4568115072799479</v>
      </c>
      <c r="AP302" s="424">
        <f t="shared" si="18"/>
        <v>0.18445853812747542</v>
      </c>
      <c r="AQ302" s="424" t="e">
        <f t="shared" si="18"/>
        <v>#DIV/0!</v>
      </c>
      <c r="AR302" s="424">
        <f t="shared" si="18"/>
        <v>0</v>
      </c>
      <c r="AS302" s="424">
        <f t="shared" si="18"/>
        <v>1.2202840408964724</v>
      </c>
      <c r="AT302" s="424">
        <f t="shared" si="18"/>
        <v>0.31062139025695196</v>
      </c>
      <c r="AU302" s="424">
        <f t="shared" si="18"/>
        <v>1.1657577380213222</v>
      </c>
      <c r="AV302" s="424" t="e">
        <f t="shared" si="18"/>
        <v>#DIV/0!</v>
      </c>
      <c r="AW302" s="424">
        <f t="shared" si="18"/>
        <v>0.78734421733264193</v>
      </c>
      <c r="AX302" s="424">
        <f t="shared" si="18"/>
        <v>0.41670936886155946</v>
      </c>
      <c r="AY302" s="424">
        <f t="shared" si="18"/>
        <v>1.5359878811788199</v>
      </c>
      <c r="AZ302" s="424">
        <f t="shared" si="18"/>
        <v>1.1760039601509809</v>
      </c>
      <c r="BA302" s="424" t="e">
        <f t="shared" si="18"/>
        <v>#DIV/0!</v>
      </c>
      <c r="BB302" s="424" t="e">
        <f t="shared" si="18"/>
        <v>#DIV/0!</v>
      </c>
      <c r="BC302" s="424">
        <f t="shared" si="18"/>
        <v>0.40050981462548058</v>
      </c>
      <c r="BD302" s="424" t="e">
        <f t="shared" si="18"/>
        <v>#DIV/0!</v>
      </c>
      <c r="BE302" s="424">
        <f t="shared" si="18"/>
        <v>0</v>
      </c>
      <c r="BF302" s="424">
        <f t="shared" si="18"/>
        <v>1.797581618704988</v>
      </c>
      <c r="BG302" s="424">
        <f t="shared" si="18"/>
        <v>1.2957413870011283</v>
      </c>
      <c r="BH302" s="424">
        <f t="shared" si="18"/>
        <v>4.7913328661932661</v>
      </c>
      <c r="BI302" s="424">
        <f t="shared" si="18"/>
        <v>0.10750657781522381</v>
      </c>
      <c r="BJ302" s="424">
        <f t="shared" si="18"/>
        <v>0.8147782154240143</v>
      </c>
      <c r="BK302" s="424">
        <f t="shared" si="18"/>
        <v>1.6465699539684753</v>
      </c>
      <c r="BL302" s="424" t="e">
        <f t="shared" si="18"/>
        <v>#DIV/0!</v>
      </c>
      <c r="BM302" s="424">
        <f t="shared" si="18"/>
        <v>1.4915012085212984</v>
      </c>
      <c r="BN302" s="424">
        <f t="shared" si="18"/>
        <v>0.30838079679696195</v>
      </c>
      <c r="BO302" s="424">
        <f t="shared" si="18"/>
        <v>1.0403497489320561</v>
      </c>
      <c r="BP302" s="424">
        <f t="shared" si="18"/>
        <v>1.5525207923592097</v>
      </c>
      <c r="BQ302" s="424">
        <f t="shared" si="18"/>
        <v>3.2779988395457322</v>
      </c>
      <c r="BR302" s="424">
        <f t="shared" ref="BR302:BS302" si="19">+BR44/(BR49+BR115+BR97-BR36)</f>
        <v>0.38287997314425803</v>
      </c>
      <c r="BS302" s="424" t="e">
        <f t="shared" si="19"/>
        <v>#DIV/0!</v>
      </c>
    </row>
    <row r="303" spans="1:71" x14ac:dyDescent="0.3">
      <c r="A303" s="425" t="s">
        <v>1105</v>
      </c>
      <c r="C303" s="422" t="s">
        <v>1114</v>
      </c>
      <c r="E303" s="303" t="e">
        <f>+(E34-E161)/E35</f>
        <v>#DIV/0!</v>
      </c>
      <c r="F303" s="303" t="e">
        <f t="shared" ref="F303:BQ303" si="20">+(F34-F161)/F35</f>
        <v>#DIV/0!</v>
      </c>
      <c r="G303" s="303" t="e">
        <f t="shared" si="20"/>
        <v>#DIV/0!</v>
      </c>
      <c r="H303" s="303">
        <f t="shared" si="20"/>
        <v>2.9002880244038218</v>
      </c>
      <c r="I303" s="303" t="e">
        <f t="shared" si="20"/>
        <v>#DIV/0!</v>
      </c>
      <c r="J303" s="303" t="e">
        <f t="shared" si="20"/>
        <v>#DIV/0!</v>
      </c>
      <c r="K303" s="303" t="e">
        <f t="shared" si="20"/>
        <v>#DIV/0!</v>
      </c>
      <c r="L303" s="303" t="e">
        <f t="shared" si="20"/>
        <v>#DIV/0!</v>
      </c>
      <c r="M303" s="303">
        <f t="shared" si="20"/>
        <v>3.5086522115712993</v>
      </c>
      <c r="N303" s="303" t="e">
        <f t="shared" si="20"/>
        <v>#DIV/0!</v>
      </c>
      <c r="O303" s="303" t="e">
        <f t="shared" si="20"/>
        <v>#DIV/0!</v>
      </c>
      <c r="P303" s="303" t="e">
        <f t="shared" si="20"/>
        <v>#DIV/0!</v>
      </c>
      <c r="Q303" s="303" t="e">
        <f t="shared" si="20"/>
        <v>#DIV/0!</v>
      </c>
      <c r="R303" s="303" t="e">
        <f t="shared" si="20"/>
        <v>#DIV/0!</v>
      </c>
      <c r="S303" s="303" t="e">
        <f t="shared" si="20"/>
        <v>#DIV/0!</v>
      </c>
      <c r="T303" s="303" t="e">
        <f t="shared" si="20"/>
        <v>#DIV/0!</v>
      </c>
      <c r="U303" s="303" t="e">
        <f t="shared" si="20"/>
        <v>#DIV/0!</v>
      </c>
      <c r="V303" s="303" t="e">
        <f t="shared" si="20"/>
        <v>#DIV/0!</v>
      </c>
      <c r="W303" s="303" t="e">
        <f t="shared" si="20"/>
        <v>#DIV/0!</v>
      </c>
      <c r="X303" s="303" t="e">
        <f t="shared" si="20"/>
        <v>#DIV/0!</v>
      </c>
      <c r="Y303" s="303">
        <f t="shared" si="20"/>
        <v>5.3129365307941461</v>
      </c>
      <c r="Z303" s="303" t="e">
        <f t="shared" si="20"/>
        <v>#DIV/0!</v>
      </c>
      <c r="AA303" s="303" t="e">
        <f t="shared" si="20"/>
        <v>#DIV/0!</v>
      </c>
      <c r="AB303" s="303" t="e">
        <f t="shared" si="20"/>
        <v>#DIV/0!</v>
      </c>
      <c r="AC303" s="303" t="e">
        <f t="shared" si="20"/>
        <v>#DIV/0!</v>
      </c>
      <c r="AD303" s="303" t="e">
        <f t="shared" si="20"/>
        <v>#DIV/0!</v>
      </c>
      <c r="AE303" s="303" t="e">
        <f t="shared" si="20"/>
        <v>#DIV/0!</v>
      </c>
      <c r="AF303" s="303" t="e">
        <f t="shared" si="20"/>
        <v>#DIV/0!</v>
      </c>
      <c r="AG303" s="303" t="e">
        <f t="shared" si="20"/>
        <v>#DIV/0!</v>
      </c>
      <c r="AH303" s="303" t="e">
        <f t="shared" si="20"/>
        <v>#DIV/0!</v>
      </c>
      <c r="AI303" s="303" t="e">
        <f t="shared" si="20"/>
        <v>#DIV/0!</v>
      </c>
      <c r="AJ303" s="303">
        <f t="shared" si="20"/>
        <v>53.216404436419914</v>
      </c>
      <c r="AK303" s="303" t="e">
        <f t="shared" si="20"/>
        <v>#DIV/0!</v>
      </c>
      <c r="AL303" s="303" t="e">
        <f t="shared" si="20"/>
        <v>#DIV/0!</v>
      </c>
      <c r="AM303" s="303" t="e">
        <f t="shared" si="20"/>
        <v>#DIV/0!</v>
      </c>
      <c r="AN303" s="303">
        <f t="shared" si="20"/>
        <v>3.0294755937409574</v>
      </c>
      <c r="AO303" s="303" t="e">
        <f t="shared" si="20"/>
        <v>#DIV/0!</v>
      </c>
      <c r="AP303" s="303" t="e">
        <f t="shared" si="20"/>
        <v>#DIV/0!</v>
      </c>
      <c r="AQ303" s="303" t="e">
        <f t="shared" si="20"/>
        <v>#DIV/0!</v>
      </c>
      <c r="AR303" s="303" t="e">
        <f t="shared" si="20"/>
        <v>#DIV/0!</v>
      </c>
      <c r="AS303" s="303" t="e">
        <f t="shared" si="20"/>
        <v>#DIV/0!</v>
      </c>
      <c r="AT303" s="303" t="e">
        <f t="shared" si="20"/>
        <v>#DIV/0!</v>
      </c>
      <c r="AU303" s="303" t="e">
        <f t="shared" si="20"/>
        <v>#DIV/0!</v>
      </c>
      <c r="AV303" s="303" t="e">
        <f t="shared" si="20"/>
        <v>#DIV/0!</v>
      </c>
      <c r="AW303" s="303" t="e">
        <f t="shared" si="20"/>
        <v>#DIV/0!</v>
      </c>
      <c r="AX303" s="303" t="e">
        <f t="shared" si="20"/>
        <v>#DIV/0!</v>
      </c>
      <c r="AY303" s="303" t="e">
        <f t="shared" si="20"/>
        <v>#DIV/0!</v>
      </c>
      <c r="AZ303" s="303" t="e">
        <f t="shared" si="20"/>
        <v>#DIV/0!</v>
      </c>
      <c r="BA303" s="303" t="e">
        <f t="shared" si="20"/>
        <v>#DIV/0!</v>
      </c>
      <c r="BB303" s="303" t="e">
        <f t="shared" si="20"/>
        <v>#DIV/0!</v>
      </c>
      <c r="BC303" s="303" t="e">
        <f t="shared" si="20"/>
        <v>#DIV/0!</v>
      </c>
      <c r="BD303" s="303" t="e">
        <f t="shared" si="20"/>
        <v>#DIV/0!</v>
      </c>
      <c r="BE303" s="303" t="e">
        <f t="shared" si="20"/>
        <v>#DIV/0!</v>
      </c>
      <c r="BF303" s="303" t="e">
        <f t="shared" si="20"/>
        <v>#DIV/0!</v>
      </c>
      <c r="BG303" s="303" t="e">
        <f t="shared" si="20"/>
        <v>#DIV/0!</v>
      </c>
      <c r="BH303" s="303">
        <f t="shared" si="20"/>
        <v>55.699256369620869</v>
      </c>
      <c r="BI303" s="303" t="e">
        <f t="shared" si="20"/>
        <v>#DIV/0!</v>
      </c>
      <c r="BJ303" s="303" t="e">
        <f t="shared" si="20"/>
        <v>#DIV/0!</v>
      </c>
      <c r="BK303" s="303" t="e">
        <f t="shared" si="20"/>
        <v>#DIV/0!</v>
      </c>
      <c r="BL303" s="303" t="e">
        <f t="shared" si="20"/>
        <v>#DIV/0!</v>
      </c>
      <c r="BM303" s="303" t="e">
        <f t="shared" si="20"/>
        <v>#DIV/0!</v>
      </c>
      <c r="BN303" s="303" t="e">
        <f t="shared" si="20"/>
        <v>#DIV/0!</v>
      </c>
      <c r="BO303" s="303" t="e">
        <f t="shared" si="20"/>
        <v>#DIV/0!</v>
      </c>
      <c r="BP303" s="303" t="e">
        <f t="shared" si="20"/>
        <v>#DIV/0!</v>
      </c>
      <c r="BQ303" s="303" t="e">
        <f t="shared" si="20"/>
        <v>#DIV/0!</v>
      </c>
      <c r="BR303" s="303" t="e">
        <f t="shared" ref="BR303:BS303" si="21">+(BR34-BR161)/BR35</f>
        <v>#DIV/0!</v>
      </c>
      <c r="BS303" s="303" t="e">
        <f t="shared" si="21"/>
        <v>#DIV/0!</v>
      </c>
    </row>
    <row r="304" spans="1:71" x14ac:dyDescent="0.3">
      <c r="A304" s="426" t="s">
        <v>1100</v>
      </c>
      <c r="C304" s="422" t="s">
        <v>1276</v>
      </c>
      <c r="E304" s="417">
        <f>+E55-E56+E39-E60</f>
        <v>0</v>
      </c>
      <c r="F304" s="417">
        <f t="shared" ref="F304:BQ304" si="22">+F55-F56+F39-F60</f>
        <v>0</v>
      </c>
      <c r="G304" s="417">
        <f t="shared" si="22"/>
        <v>0</v>
      </c>
      <c r="H304" s="417">
        <f t="shared" si="22"/>
        <v>2590165</v>
      </c>
      <c r="I304" s="417">
        <f t="shared" si="22"/>
        <v>0</v>
      </c>
      <c r="J304" s="417">
        <f t="shared" si="22"/>
        <v>0</v>
      </c>
      <c r="K304" s="417">
        <f t="shared" si="22"/>
        <v>0</v>
      </c>
      <c r="L304" s="417">
        <f t="shared" si="22"/>
        <v>0</v>
      </c>
      <c r="M304" s="417">
        <f t="shared" si="22"/>
        <v>6002600</v>
      </c>
      <c r="N304" s="417">
        <f t="shared" si="22"/>
        <v>0</v>
      </c>
      <c r="O304" s="417">
        <f t="shared" si="22"/>
        <v>0</v>
      </c>
      <c r="P304" s="417">
        <f t="shared" si="22"/>
        <v>0</v>
      </c>
      <c r="Q304" s="417">
        <f t="shared" si="22"/>
        <v>0</v>
      </c>
      <c r="R304" s="417">
        <f t="shared" si="22"/>
        <v>0</v>
      </c>
      <c r="S304" s="417">
        <f t="shared" si="22"/>
        <v>0</v>
      </c>
      <c r="T304" s="417">
        <f t="shared" si="22"/>
        <v>0</v>
      </c>
      <c r="U304" s="417">
        <f t="shared" si="22"/>
        <v>0</v>
      </c>
      <c r="V304" s="417">
        <f t="shared" si="22"/>
        <v>0</v>
      </c>
      <c r="W304" s="417">
        <f t="shared" si="22"/>
        <v>0</v>
      </c>
      <c r="X304" s="417">
        <f t="shared" si="22"/>
        <v>0</v>
      </c>
      <c r="Y304" s="417">
        <f t="shared" si="22"/>
        <v>1177783</v>
      </c>
      <c r="Z304" s="417">
        <f t="shared" si="22"/>
        <v>0</v>
      </c>
      <c r="AA304" s="417">
        <f t="shared" si="22"/>
        <v>0</v>
      </c>
      <c r="AB304" s="417">
        <f t="shared" si="22"/>
        <v>0</v>
      </c>
      <c r="AC304" s="417">
        <f t="shared" si="22"/>
        <v>0</v>
      </c>
      <c r="AD304" s="417">
        <f t="shared" si="22"/>
        <v>0</v>
      </c>
      <c r="AE304" s="417">
        <f t="shared" si="22"/>
        <v>0</v>
      </c>
      <c r="AF304" s="417">
        <f t="shared" si="22"/>
        <v>0</v>
      </c>
      <c r="AG304" s="417">
        <f t="shared" si="22"/>
        <v>0</v>
      </c>
      <c r="AH304" s="417">
        <f t="shared" si="22"/>
        <v>0</v>
      </c>
      <c r="AI304" s="417">
        <f t="shared" si="22"/>
        <v>0</v>
      </c>
      <c r="AJ304" s="417">
        <f t="shared" si="22"/>
        <v>185014</v>
      </c>
      <c r="AK304" s="417">
        <f t="shared" si="22"/>
        <v>0</v>
      </c>
      <c r="AL304" s="417">
        <f t="shared" si="22"/>
        <v>0</v>
      </c>
      <c r="AM304" s="417">
        <f t="shared" si="22"/>
        <v>0</v>
      </c>
      <c r="AN304" s="417">
        <f t="shared" si="22"/>
        <v>114401</v>
      </c>
      <c r="AO304" s="417">
        <f t="shared" si="22"/>
        <v>0</v>
      </c>
      <c r="AP304" s="417">
        <f t="shared" si="22"/>
        <v>0</v>
      </c>
      <c r="AQ304" s="417">
        <f t="shared" si="22"/>
        <v>0</v>
      </c>
      <c r="AR304" s="417">
        <f t="shared" si="22"/>
        <v>0</v>
      </c>
      <c r="AS304" s="417">
        <f t="shared" si="22"/>
        <v>0</v>
      </c>
      <c r="AT304" s="417">
        <f t="shared" si="22"/>
        <v>0</v>
      </c>
      <c r="AU304" s="417">
        <f t="shared" si="22"/>
        <v>0</v>
      </c>
      <c r="AV304" s="417">
        <f t="shared" si="22"/>
        <v>0</v>
      </c>
      <c r="AW304" s="417">
        <f t="shared" si="22"/>
        <v>0</v>
      </c>
      <c r="AX304" s="417">
        <f t="shared" si="22"/>
        <v>0</v>
      </c>
      <c r="AY304" s="417">
        <f t="shared" si="22"/>
        <v>0</v>
      </c>
      <c r="AZ304" s="417">
        <f t="shared" si="22"/>
        <v>0</v>
      </c>
      <c r="BA304" s="417">
        <f t="shared" si="22"/>
        <v>0</v>
      </c>
      <c r="BB304" s="417">
        <f t="shared" si="22"/>
        <v>0</v>
      </c>
      <c r="BC304" s="417">
        <f t="shared" si="22"/>
        <v>0</v>
      </c>
      <c r="BD304" s="417">
        <f t="shared" si="22"/>
        <v>0</v>
      </c>
      <c r="BE304" s="417">
        <f t="shared" si="22"/>
        <v>0</v>
      </c>
      <c r="BF304" s="417">
        <f t="shared" si="22"/>
        <v>0</v>
      </c>
      <c r="BG304" s="417">
        <f t="shared" si="22"/>
        <v>0</v>
      </c>
      <c r="BH304" s="417">
        <f t="shared" si="22"/>
        <v>155889</v>
      </c>
      <c r="BI304" s="417">
        <f t="shared" si="22"/>
        <v>0</v>
      </c>
      <c r="BJ304" s="417">
        <f t="shared" si="22"/>
        <v>0</v>
      </c>
      <c r="BK304" s="417">
        <f t="shared" si="22"/>
        <v>0</v>
      </c>
      <c r="BL304" s="417">
        <f t="shared" si="22"/>
        <v>0</v>
      </c>
      <c r="BM304" s="417">
        <f t="shared" si="22"/>
        <v>0</v>
      </c>
      <c r="BN304" s="417">
        <f t="shared" si="22"/>
        <v>0</v>
      </c>
      <c r="BO304" s="417">
        <f t="shared" si="22"/>
        <v>0</v>
      </c>
      <c r="BP304" s="417">
        <f t="shared" si="22"/>
        <v>0</v>
      </c>
      <c r="BQ304" s="417">
        <f t="shared" si="22"/>
        <v>0</v>
      </c>
      <c r="BR304" s="417">
        <f t="shared" ref="BR304:BS304" si="23">+BR55-BR56+BR39-BR60</f>
        <v>0</v>
      </c>
      <c r="BS304" s="417">
        <f t="shared" si="23"/>
        <v>0</v>
      </c>
    </row>
    <row r="305" spans="1:71" x14ac:dyDescent="0.3">
      <c r="A305" s="426" t="s">
        <v>1102</v>
      </c>
      <c r="C305" s="422" t="s">
        <v>1115</v>
      </c>
      <c r="E305" s="303" t="e">
        <f>+E52/(E125+E56-E39+E60)</f>
        <v>#DIV/0!</v>
      </c>
      <c r="F305" s="303" t="e">
        <f t="shared" ref="F305:BQ305" si="24">+F52/(F125+F56-F39+F60)</f>
        <v>#DIV/0!</v>
      </c>
      <c r="G305" s="303" t="e">
        <f t="shared" si="24"/>
        <v>#DIV/0!</v>
      </c>
      <c r="H305" s="303">
        <f t="shared" si="24"/>
        <v>0.14533038069730447</v>
      </c>
      <c r="I305" s="303" t="e">
        <f t="shared" si="24"/>
        <v>#DIV/0!</v>
      </c>
      <c r="J305" s="303" t="e">
        <f t="shared" si="24"/>
        <v>#DIV/0!</v>
      </c>
      <c r="K305" s="303" t="e">
        <f t="shared" si="24"/>
        <v>#DIV/0!</v>
      </c>
      <c r="L305" s="303" t="e">
        <f t="shared" si="24"/>
        <v>#DIV/0!</v>
      </c>
      <c r="M305" s="303">
        <f t="shared" si="24"/>
        <v>0.28408794980916557</v>
      </c>
      <c r="N305" s="303" t="e">
        <f t="shared" si="24"/>
        <v>#DIV/0!</v>
      </c>
      <c r="O305" s="303" t="e">
        <f t="shared" si="24"/>
        <v>#DIV/0!</v>
      </c>
      <c r="P305" s="303" t="e">
        <f t="shared" si="24"/>
        <v>#DIV/0!</v>
      </c>
      <c r="Q305" s="303" t="e">
        <f t="shared" si="24"/>
        <v>#DIV/0!</v>
      </c>
      <c r="R305" s="303" t="e">
        <f t="shared" si="24"/>
        <v>#DIV/0!</v>
      </c>
      <c r="S305" s="303" t="e">
        <f t="shared" si="24"/>
        <v>#DIV/0!</v>
      </c>
      <c r="T305" s="303" t="e">
        <f t="shared" si="24"/>
        <v>#DIV/0!</v>
      </c>
      <c r="U305" s="303" t="e">
        <f t="shared" si="24"/>
        <v>#DIV/0!</v>
      </c>
      <c r="V305" s="303" t="e">
        <f t="shared" si="24"/>
        <v>#DIV/0!</v>
      </c>
      <c r="W305" s="303" t="e">
        <f t="shared" si="24"/>
        <v>#DIV/0!</v>
      </c>
      <c r="X305" s="303" t="e">
        <f t="shared" si="24"/>
        <v>#DIV/0!</v>
      </c>
      <c r="Y305" s="303">
        <f t="shared" si="24"/>
        <v>0.57854832728552041</v>
      </c>
      <c r="Z305" s="303" t="e">
        <f t="shared" si="24"/>
        <v>#DIV/0!</v>
      </c>
      <c r="AA305" s="303" t="e">
        <f t="shared" si="24"/>
        <v>#DIV/0!</v>
      </c>
      <c r="AB305" s="303" t="e">
        <f t="shared" si="24"/>
        <v>#DIV/0!</v>
      </c>
      <c r="AC305" s="303" t="e">
        <f t="shared" si="24"/>
        <v>#DIV/0!</v>
      </c>
      <c r="AD305" s="303" t="e">
        <f t="shared" si="24"/>
        <v>#DIV/0!</v>
      </c>
      <c r="AE305" s="303" t="e">
        <f t="shared" si="24"/>
        <v>#DIV/0!</v>
      </c>
      <c r="AF305" s="303" t="e">
        <f t="shared" si="24"/>
        <v>#DIV/0!</v>
      </c>
      <c r="AG305" s="303" t="e">
        <f t="shared" si="24"/>
        <v>#DIV/0!</v>
      </c>
      <c r="AH305" s="303" t="e">
        <f t="shared" si="24"/>
        <v>#DIV/0!</v>
      </c>
      <c r="AI305" s="303" t="e">
        <f t="shared" si="24"/>
        <v>#DIV/0!</v>
      </c>
      <c r="AJ305" s="303">
        <f t="shared" si="24"/>
        <v>0.25859809543200446</v>
      </c>
      <c r="AK305" s="303" t="e">
        <f t="shared" si="24"/>
        <v>#DIV/0!</v>
      </c>
      <c r="AL305" s="303" t="e">
        <f t="shared" si="24"/>
        <v>#DIV/0!</v>
      </c>
      <c r="AM305" s="303" t="e">
        <f t="shared" si="24"/>
        <v>#DIV/0!</v>
      </c>
      <c r="AN305" s="303">
        <f t="shared" si="24"/>
        <v>0.1320188170638425</v>
      </c>
      <c r="AO305" s="303" t="e">
        <f t="shared" si="24"/>
        <v>#DIV/0!</v>
      </c>
      <c r="AP305" s="303" t="e">
        <f t="shared" si="24"/>
        <v>#DIV/0!</v>
      </c>
      <c r="AQ305" s="303" t="e">
        <f t="shared" si="24"/>
        <v>#DIV/0!</v>
      </c>
      <c r="AR305" s="303" t="e">
        <f t="shared" si="24"/>
        <v>#DIV/0!</v>
      </c>
      <c r="AS305" s="303" t="e">
        <f t="shared" si="24"/>
        <v>#DIV/0!</v>
      </c>
      <c r="AT305" s="303" t="e">
        <f t="shared" si="24"/>
        <v>#DIV/0!</v>
      </c>
      <c r="AU305" s="303" t="e">
        <f t="shared" si="24"/>
        <v>#DIV/0!</v>
      </c>
      <c r="AV305" s="303" t="e">
        <f t="shared" si="24"/>
        <v>#DIV/0!</v>
      </c>
      <c r="AW305" s="303" t="e">
        <f t="shared" si="24"/>
        <v>#DIV/0!</v>
      </c>
      <c r="AX305" s="303" t="e">
        <f t="shared" si="24"/>
        <v>#DIV/0!</v>
      </c>
      <c r="AY305" s="303" t="e">
        <f t="shared" si="24"/>
        <v>#DIV/0!</v>
      </c>
      <c r="AZ305" s="303" t="e">
        <f t="shared" si="24"/>
        <v>#DIV/0!</v>
      </c>
      <c r="BA305" s="303" t="e">
        <f t="shared" si="24"/>
        <v>#DIV/0!</v>
      </c>
      <c r="BB305" s="303" t="e">
        <f t="shared" si="24"/>
        <v>#DIV/0!</v>
      </c>
      <c r="BC305" s="303" t="e">
        <f t="shared" si="24"/>
        <v>#DIV/0!</v>
      </c>
      <c r="BD305" s="303" t="e">
        <f t="shared" si="24"/>
        <v>#DIV/0!</v>
      </c>
      <c r="BE305" s="303" t="e">
        <f t="shared" si="24"/>
        <v>#DIV/0!</v>
      </c>
      <c r="BF305" s="303" t="e">
        <f t="shared" si="24"/>
        <v>#DIV/0!</v>
      </c>
      <c r="BG305" s="303" t="e">
        <f t="shared" si="24"/>
        <v>#DIV/0!</v>
      </c>
      <c r="BH305" s="303">
        <f t="shared" si="24"/>
        <v>5.0800124533001245</v>
      </c>
      <c r="BI305" s="303" t="e">
        <f t="shared" si="24"/>
        <v>#DIV/0!</v>
      </c>
      <c r="BJ305" s="303" t="e">
        <f t="shared" si="24"/>
        <v>#DIV/0!</v>
      </c>
      <c r="BK305" s="303" t="e">
        <f t="shared" si="24"/>
        <v>#DIV/0!</v>
      </c>
      <c r="BL305" s="303" t="e">
        <f t="shared" si="24"/>
        <v>#DIV/0!</v>
      </c>
      <c r="BM305" s="303" t="e">
        <f t="shared" si="24"/>
        <v>#DIV/0!</v>
      </c>
      <c r="BN305" s="303" t="e">
        <f t="shared" si="24"/>
        <v>#DIV/0!</v>
      </c>
      <c r="BO305" s="303" t="e">
        <f t="shared" si="24"/>
        <v>#DIV/0!</v>
      </c>
      <c r="BP305" s="303" t="e">
        <f t="shared" si="24"/>
        <v>#DIV/0!</v>
      </c>
      <c r="BQ305" s="303" t="e">
        <f t="shared" si="24"/>
        <v>#DIV/0!</v>
      </c>
      <c r="BR305" s="303" t="e">
        <f t="shared" ref="BR305:BS305" si="25">+BR52/(BR125+BR56-BR39+BR60)</f>
        <v>#DIV/0!</v>
      </c>
      <c r="BS305" s="303" t="e">
        <f t="shared" si="25"/>
        <v>#DIV/0!</v>
      </c>
    </row>
  </sheetData>
  <sheetProtection algorithmName="SHA-512" hashValue="ZihJRIWZvuIDTzPBRa1aj2hCzs9Y2RaTcsA8cQDFNhIDrmGiuBEURnxv/AvlfXx3dZm0wOyH6kkYIXqPIULhVQ==" saltValue="qfrmtGEEoY49Ik/oZFeaVA=="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C8" sqref="C8"/>
    </sheetView>
  </sheetViews>
  <sheetFormatPr defaultColWidth="9.109375" defaultRowHeight="14.4" x14ac:dyDescent="0.3"/>
  <cols>
    <col min="1" max="1" width="31.5546875" style="306" customWidth="1"/>
    <col min="2" max="2" width="8" style="306" customWidth="1"/>
    <col min="3" max="3" width="14.88671875" style="306" customWidth="1"/>
    <col min="4" max="4" width="16" style="306" customWidth="1"/>
    <col min="5" max="7" width="9.109375" style="306"/>
    <col min="8" max="8" width="21.33203125" style="306" customWidth="1"/>
    <col min="9" max="16384" width="9.109375" style="306"/>
  </cols>
  <sheetData>
    <row r="1" spans="1:11" ht="15.75" customHeight="1" x14ac:dyDescent="0.3">
      <c r="A1" s="1336" t="s">
        <v>1047</v>
      </c>
      <c r="B1" s="1336"/>
      <c r="C1" s="1336"/>
      <c r="D1" s="1336"/>
    </row>
    <row r="2" spans="1:11" ht="15.75" customHeight="1" x14ac:dyDescent="0.3">
      <c r="A2" s="1337" t="s">
        <v>1147</v>
      </c>
      <c r="B2" s="1337"/>
      <c r="C2" s="1337"/>
      <c r="D2" s="1337"/>
    </row>
    <row r="3" spans="1:11" ht="21.9" customHeight="1" x14ac:dyDescent="0.3">
      <c r="A3" s="1336" t="s">
        <v>1148</v>
      </c>
      <c r="B3" s="1336"/>
      <c r="C3" s="1336"/>
      <c r="D3" s="1336"/>
    </row>
    <row r="4" spans="1:11" ht="21" customHeight="1" x14ac:dyDescent="0.3">
      <c r="A4" s="719"/>
      <c r="B4" s="719"/>
      <c r="C4" s="718" t="s">
        <v>1149</v>
      </c>
      <c r="D4" s="718" t="s">
        <v>1150</v>
      </c>
      <c r="I4" s="719"/>
      <c r="J4" s="718"/>
      <c r="K4" s="718"/>
    </row>
    <row r="5" spans="1:11" ht="15.75" customHeight="1" x14ac:dyDescent="0.3">
      <c r="A5" s="719"/>
      <c r="B5" s="714" t="s">
        <v>1151</v>
      </c>
      <c r="C5" s="718" t="s">
        <v>1152</v>
      </c>
      <c r="D5" s="718" t="s">
        <v>1153</v>
      </c>
      <c r="I5" s="714"/>
      <c r="J5" s="718"/>
      <c r="K5" s="718"/>
    </row>
    <row r="6" spans="1:11" ht="21" customHeight="1" x14ac:dyDescent="0.3">
      <c r="A6" s="698" t="s">
        <v>1154</v>
      </c>
      <c r="B6" s="714" t="s">
        <v>1155</v>
      </c>
      <c r="C6" s="718" t="s">
        <v>1156</v>
      </c>
      <c r="D6" s="718" t="s">
        <v>1156</v>
      </c>
      <c r="I6" s="714"/>
      <c r="J6" s="718"/>
      <c r="K6" s="718"/>
    </row>
    <row r="7" spans="1:11" ht="21.9" customHeight="1" x14ac:dyDescent="0.3">
      <c r="A7" s="698" t="s">
        <v>1157</v>
      </c>
      <c r="B7" s="703">
        <v>0.59699999999999998</v>
      </c>
      <c r="C7" s="699">
        <v>2015</v>
      </c>
      <c r="D7" s="699">
        <v>2021</v>
      </c>
      <c r="H7" s="705"/>
      <c r="I7" s="701"/>
      <c r="J7" s="712"/>
      <c r="K7" s="712"/>
    </row>
    <row r="8" spans="1:11" ht="15.75" customHeight="1" x14ac:dyDescent="0.3">
      <c r="A8" s="698" t="s">
        <v>1158</v>
      </c>
      <c r="B8" s="703">
        <v>0.52900000000000003</v>
      </c>
      <c r="C8" s="699">
        <v>2017</v>
      </c>
      <c r="D8" s="699">
        <v>2021</v>
      </c>
      <c r="H8" s="705"/>
      <c r="I8" s="701"/>
      <c r="J8" s="712"/>
      <c r="K8" s="712"/>
    </row>
    <row r="9" spans="1:11" ht="15.75" customHeight="1" x14ac:dyDescent="0.3">
      <c r="A9" s="698" t="s">
        <v>1159</v>
      </c>
      <c r="B9" s="703">
        <v>0.63</v>
      </c>
      <c r="C9" s="699">
        <v>2013</v>
      </c>
      <c r="D9" s="699">
        <v>2021</v>
      </c>
      <c r="H9" s="705"/>
      <c r="I9" s="701"/>
      <c r="J9" s="712"/>
      <c r="K9" s="712"/>
    </row>
    <row r="10" spans="1:11" ht="15.75" customHeight="1" x14ac:dyDescent="0.3">
      <c r="A10" s="698" t="s">
        <v>1160</v>
      </c>
      <c r="B10" s="703">
        <v>0.73499999999999999</v>
      </c>
      <c r="C10" s="699">
        <v>2016</v>
      </c>
      <c r="D10" s="699">
        <v>2021</v>
      </c>
      <c r="H10" s="705"/>
      <c r="I10" s="701"/>
      <c r="J10" s="712"/>
      <c r="K10" s="712"/>
    </row>
    <row r="11" spans="1:11" ht="21.9" customHeight="1" x14ac:dyDescent="0.3">
      <c r="A11" s="698" t="s">
        <v>1161</v>
      </c>
      <c r="B11" s="703">
        <v>0.67</v>
      </c>
      <c r="C11" s="699">
        <v>2017</v>
      </c>
      <c r="D11" s="699">
        <v>2021</v>
      </c>
      <c r="H11" s="705"/>
      <c r="I11" s="701"/>
      <c r="J11" s="712"/>
      <c r="K11" s="712"/>
    </row>
    <row r="12" spans="1:11" ht="21" customHeight="1" x14ac:dyDescent="0.3">
      <c r="A12" s="698" t="s">
        <v>1162</v>
      </c>
      <c r="B12" s="703">
        <v>0.72</v>
      </c>
      <c r="C12" s="699">
        <v>2016</v>
      </c>
      <c r="D12" s="699">
        <v>2021</v>
      </c>
      <c r="H12" s="705"/>
      <c r="I12" s="701"/>
      <c r="J12" s="712"/>
      <c r="K12" s="712"/>
    </row>
    <row r="13" spans="1:11" ht="15.75" customHeight="1" x14ac:dyDescent="0.3">
      <c r="A13" s="698" t="s">
        <v>1163</v>
      </c>
      <c r="B13" s="703">
        <v>0.80500000000000005</v>
      </c>
      <c r="C13" s="699">
        <v>2013</v>
      </c>
      <c r="D13" s="699">
        <v>2021</v>
      </c>
      <c r="H13" s="705"/>
      <c r="I13" s="701"/>
      <c r="J13" s="712"/>
      <c r="K13" s="712"/>
    </row>
    <row r="14" spans="1:11" ht="15.75" customHeight="1" x14ac:dyDescent="0.3">
      <c r="A14" s="698" t="s">
        <v>1164</v>
      </c>
      <c r="B14" s="703">
        <v>0.48</v>
      </c>
      <c r="C14" s="699">
        <v>2013</v>
      </c>
      <c r="D14" s="699">
        <v>2021</v>
      </c>
      <c r="H14" s="705"/>
      <c r="I14" s="701"/>
      <c r="J14" s="712"/>
      <c r="K14" s="712"/>
    </row>
    <row r="15" spans="1:11" ht="15.75" customHeight="1" x14ac:dyDescent="0.3">
      <c r="A15" s="698" t="s">
        <v>1165</v>
      </c>
      <c r="B15" s="703">
        <v>0.54</v>
      </c>
      <c r="C15" s="699">
        <v>2015</v>
      </c>
      <c r="D15" s="699">
        <v>2021</v>
      </c>
      <c r="H15" s="705"/>
      <c r="I15" s="701"/>
      <c r="J15" s="712"/>
      <c r="K15" s="704"/>
    </row>
    <row r="16" spans="1:11" ht="21" customHeight="1" x14ac:dyDescent="0.3">
      <c r="A16" s="698" t="s">
        <v>1166</v>
      </c>
      <c r="B16" s="703">
        <v>0.73799999999999999</v>
      </c>
      <c r="C16" s="699">
        <v>2017</v>
      </c>
      <c r="D16" s="699">
        <v>2021</v>
      </c>
      <c r="H16" s="705"/>
      <c r="I16" s="701"/>
      <c r="J16" s="712"/>
      <c r="K16" s="704"/>
    </row>
    <row r="17" spans="1:11" ht="21.9" customHeight="1" x14ac:dyDescent="0.3">
      <c r="A17" s="698" t="s">
        <v>1167</v>
      </c>
      <c r="B17" s="703">
        <v>0.74350000000000005</v>
      </c>
      <c r="C17" s="699">
        <v>2017</v>
      </c>
      <c r="D17" s="699">
        <v>2021</v>
      </c>
      <c r="H17" s="705"/>
      <c r="I17" s="701"/>
      <c r="J17" s="712"/>
      <c r="K17" s="704"/>
    </row>
    <row r="18" spans="1:11" ht="15.75" customHeight="1" x14ac:dyDescent="0.3">
      <c r="A18" s="698" t="s">
        <v>1168</v>
      </c>
      <c r="B18" s="703">
        <v>0.78600000000000003</v>
      </c>
      <c r="C18" s="699">
        <v>2013</v>
      </c>
      <c r="D18" s="699">
        <v>2021</v>
      </c>
      <c r="H18" s="705"/>
      <c r="I18" s="701"/>
      <c r="J18" s="712"/>
      <c r="K18" s="704"/>
    </row>
    <row r="19" spans="1:11" ht="15.75" customHeight="1" x14ac:dyDescent="0.3">
      <c r="A19" s="698" t="s">
        <v>1169</v>
      </c>
      <c r="B19" s="703">
        <v>0.58499999999999996</v>
      </c>
      <c r="C19" s="699">
        <v>2017</v>
      </c>
      <c r="D19" s="699">
        <v>2021</v>
      </c>
      <c r="H19" s="705"/>
      <c r="I19" s="701"/>
      <c r="J19" s="712"/>
      <c r="K19" s="704"/>
    </row>
    <row r="20" spans="1:11" ht="15.75" customHeight="1" x14ac:dyDescent="0.3">
      <c r="A20" s="698" t="s">
        <v>1170</v>
      </c>
      <c r="B20" s="703">
        <v>0.38</v>
      </c>
      <c r="C20" s="699">
        <v>2016</v>
      </c>
      <c r="D20" s="699">
        <v>2021</v>
      </c>
    </row>
    <row r="21" spans="1:11" ht="21.9" customHeight="1" x14ac:dyDescent="0.3">
      <c r="A21" s="707" t="s">
        <v>1171</v>
      </c>
      <c r="B21" s="703">
        <v>0.55500000000000005</v>
      </c>
      <c r="C21" s="699">
        <v>2017</v>
      </c>
      <c r="D21" s="717">
        <v>2021</v>
      </c>
    </row>
    <row r="22" spans="1:11" ht="21" customHeight="1" x14ac:dyDescent="0.3">
      <c r="A22" s="707" t="s">
        <v>1172</v>
      </c>
      <c r="B22" s="703">
        <v>0.8679</v>
      </c>
      <c r="C22" s="699">
        <v>2017</v>
      </c>
      <c r="D22" s="717">
        <v>2021</v>
      </c>
    </row>
    <row r="23" spans="1:11" ht="15.75" customHeight="1" x14ac:dyDescent="0.3">
      <c r="A23" s="707" t="s">
        <v>1173</v>
      </c>
      <c r="B23" s="703">
        <v>0.72</v>
      </c>
      <c r="C23" s="699">
        <v>2013</v>
      </c>
      <c r="D23" s="717">
        <v>2021</v>
      </c>
    </row>
    <row r="24" spans="1:11" ht="15.75" customHeight="1" x14ac:dyDescent="0.3">
      <c r="A24" s="707" t="s">
        <v>1174</v>
      </c>
      <c r="B24" s="703">
        <v>0.5494</v>
      </c>
      <c r="C24" s="699">
        <v>2017</v>
      </c>
      <c r="D24" s="717">
        <v>2021</v>
      </c>
    </row>
    <row r="25" spans="1:11" ht="15.75" customHeight="1" x14ac:dyDescent="0.3">
      <c r="A25" s="707" t="s">
        <v>1175</v>
      </c>
      <c r="B25" s="703">
        <v>0.67</v>
      </c>
      <c r="C25" s="699">
        <v>2017</v>
      </c>
      <c r="D25" s="717">
        <v>2021</v>
      </c>
    </row>
    <row r="26" spans="1:11" ht="21.9" customHeight="1" x14ac:dyDescent="0.3">
      <c r="A26" s="707" t="s">
        <v>1176</v>
      </c>
      <c r="B26" s="703">
        <v>0.66</v>
      </c>
      <c r="C26" s="699">
        <v>2017</v>
      </c>
      <c r="D26" s="717">
        <v>2021</v>
      </c>
    </row>
    <row r="27" spans="1:11" ht="21.9" customHeight="1" x14ac:dyDescent="0.3">
      <c r="A27" s="707" t="s">
        <v>1177</v>
      </c>
      <c r="B27" s="703">
        <v>0.58199999999999996</v>
      </c>
      <c r="C27" s="699">
        <v>2016</v>
      </c>
      <c r="D27" s="717">
        <v>2021</v>
      </c>
    </row>
    <row r="28" spans="1:11" ht="15.75" customHeight="1" x14ac:dyDescent="0.3">
      <c r="A28" s="707" t="s">
        <v>1178</v>
      </c>
      <c r="B28" s="703">
        <v>0.36</v>
      </c>
      <c r="C28" s="699">
        <v>2013</v>
      </c>
      <c r="D28" s="717">
        <v>2021</v>
      </c>
    </row>
    <row r="29" spans="1:11" ht="15.75" customHeight="1" x14ac:dyDescent="0.3">
      <c r="A29" s="707" t="s">
        <v>1179</v>
      </c>
      <c r="B29" s="703">
        <v>0.63600000000000001</v>
      </c>
      <c r="C29" s="699">
        <v>2016</v>
      </c>
      <c r="D29" s="717">
        <v>2021</v>
      </c>
    </row>
    <row r="30" spans="1:11" ht="15.75" customHeight="1" x14ac:dyDescent="0.3">
      <c r="A30" s="707" t="s">
        <v>1180</v>
      </c>
      <c r="B30" s="703">
        <v>0.73089999999999999</v>
      </c>
      <c r="C30" s="699">
        <v>2015</v>
      </c>
      <c r="D30" s="717">
        <v>2021</v>
      </c>
    </row>
    <row r="31" spans="1:11" ht="21" customHeight="1" x14ac:dyDescent="0.3">
      <c r="A31" s="707" t="s">
        <v>1181</v>
      </c>
      <c r="B31" s="703">
        <v>0.85499999999999998</v>
      </c>
      <c r="C31" s="699">
        <v>2013</v>
      </c>
      <c r="D31" s="717">
        <v>2021</v>
      </c>
    </row>
    <row r="32" spans="1:11" ht="21.9" customHeight="1" x14ac:dyDescent="0.3">
      <c r="A32" s="720" t="s">
        <v>1182</v>
      </c>
      <c r="B32" s="697">
        <v>0.55000000000000004</v>
      </c>
      <c r="C32" s="716">
        <v>2018</v>
      </c>
      <c r="D32" s="716">
        <v>2022</v>
      </c>
    </row>
    <row r="33" spans="1:4" ht="15.75" customHeight="1" x14ac:dyDescent="0.3">
      <c r="A33" s="720" t="s">
        <v>1183</v>
      </c>
      <c r="B33" s="697">
        <v>0.82</v>
      </c>
      <c r="C33" s="716">
        <v>2015</v>
      </c>
      <c r="D33" s="716">
        <v>2022</v>
      </c>
    </row>
    <row r="34" spans="1:4" ht="15.75" customHeight="1" x14ac:dyDescent="0.3">
      <c r="A34" s="720" t="s">
        <v>1184</v>
      </c>
      <c r="B34" s="697">
        <v>0.755</v>
      </c>
      <c r="C34" s="716">
        <v>2014</v>
      </c>
      <c r="D34" s="716">
        <v>2022</v>
      </c>
    </row>
    <row r="35" spans="1:4" ht="15.75" customHeight="1" x14ac:dyDescent="0.3">
      <c r="A35" s="720" t="s">
        <v>1185</v>
      </c>
      <c r="B35" s="697">
        <v>0.5494</v>
      </c>
      <c r="C35" s="716">
        <v>2016</v>
      </c>
      <c r="D35" s="716">
        <v>2022</v>
      </c>
    </row>
    <row r="36" spans="1:4" ht="21.9" customHeight="1" x14ac:dyDescent="0.3">
      <c r="A36" s="720" t="s">
        <v>1186</v>
      </c>
      <c r="B36" s="697">
        <v>0.73499999999999999</v>
      </c>
      <c r="C36" s="716">
        <v>2017</v>
      </c>
      <c r="D36" s="716">
        <v>2022</v>
      </c>
    </row>
    <row r="37" spans="1:4" ht="21" customHeight="1" x14ac:dyDescent="0.3">
      <c r="A37" s="720" t="s">
        <v>1187</v>
      </c>
      <c r="B37" s="697">
        <v>0.73050000000000004</v>
      </c>
      <c r="C37" s="716">
        <v>2017</v>
      </c>
      <c r="D37" s="716">
        <v>2022</v>
      </c>
    </row>
    <row r="38" spans="1:4" ht="15.75" customHeight="1" x14ac:dyDescent="0.3">
      <c r="A38" s="720" t="s">
        <v>1188</v>
      </c>
      <c r="B38" s="697">
        <v>0.75</v>
      </c>
      <c r="C38" s="716">
        <v>2017</v>
      </c>
      <c r="D38" s="716">
        <v>2022</v>
      </c>
    </row>
    <row r="39" spans="1:4" ht="15.75" customHeight="1" x14ac:dyDescent="0.3">
      <c r="A39" s="720" t="s">
        <v>1189</v>
      </c>
      <c r="B39" s="697">
        <v>0.75</v>
      </c>
      <c r="C39" s="716">
        <v>2014</v>
      </c>
      <c r="D39" s="716">
        <v>2022</v>
      </c>
    </row>
    <row r="40" spans="1:4" ht="15.75" customHeight="1" x14ac:dyDescent="0.3">
      <c r="A40" s="721" t="s">
        <v>1190</v>
      </c>
      <c r="B40" s="697">
        <v>0.77</v>
      </c>
      <c r="C40" s="716">
        <v>2014</v>
      </c>
      <c r="D40" s="702">
        <v>2022</v>
      </c>
    </row>
    <row r="41" spans="1:4" ht="21" customHeight="1" x14ac:dyDescent="0.3">
      <c r="A41" s="721" t="s">
        <v>1191</v>
      </c>
      <c r="B41" s="697">
        <v>0.57999999999999996</v>
      </c>
      <c r="C41" s="716">
        <v>2018</v>
      </c>
      <c r="D41" s="702">
        <v>2022</v>
      </c>
    </row>
    <row r="42" spans="1:4" ht="21.9" customHeight="1" x14ac:dyDescent="0.3">
      <c r="A42" s="721" t="s">
        <v>1192</v>
      </c>
      <c r="B42" s="697">
        <v>0.70499999999999996</v>
      </c>
      <c r="C42" s="716">
        <v>2018</v>
      </c>
      <c r="D42" s="702">
        <v>2022</v>
      </c>
    </row>
    <row r="43" spans="1:4" ht="15.75" customHeight="1" x14ac:dyDescent="0.3">
      <c r="A43" s="721" t="s">
        <v>1193</v>
      </c>
      <c r="B43" s="697">
        <v>0.77</v>
      </c>
      <c r="C43" s="716">
        <v>2014</v>
      </c>
      <c r="D43" s="702">
        <v>2022</v>
      </c>
    </row>
    <row r="44" spans="1:4" ht="15.75" customHeight="1" x14ac:dyDescent="0.3">
      <c r="A44" s="721" t="s">
        <v>1194</v>
      </c>
      <c r="B44" s="697">
        <v>0.40300000000000002</v>
      </c>
      <c r="C44" s="716">
        <v>2014</v>
      </c>
      <c r="D44" s="702">
        <v>2022</v>
      </c>
    </row>
    <row r="45" spans="1:4" ht="15.75" customHeight="1" x14ac:dyDescent="0.3">
      <c r="A45" s="698" t="s">
        <v>1195</v>
      </c>
      <c r="B45" s="703">
        <v>0.79</v>
      </c>
      <c r="C45" s="699">
        <v>2015</v>
      </c>
      <c r="D45" s="699">
        <v>2023</v>
      </c>
    </row>
    <row r="46" spans="1:4" ht="21.9" customHeight="1" x14ac:dyDescent="0.3">
      <c r="A46" s="698" t="s">
        <v>1196</v>
      </c>
      <c r="B46" s="703">
        <v>0.443</v>
      </c>
      <c r="C46" s="699">
        <v>2019</v>
      </c>
      <c r="D46" s="699">
        <v>2023</v>
      </c>
    </row>
    <row r="47" spans="1:4" ht="21" customHeight="1" x14ac:dyDescent="0.3">
      <c r="A47" s="698" t="s">
        <v>1197</v>
      </c>
      <c r="B47" s="703">
        <v>0.48499999999999999</v>
      </c>
      <c r="C47" s="699">
        <v>2019</v>
      </c>
      <c r="D47" s="699">
        <v>2023</v>
      </c>
    </row>
    <row r="48" spans="1:4" ht="15.75" customHeight="1" x14ac:dyDescent="0.3">
      <c r="A48" s="698" t="s">
        <v>1198</v>
      </c>
      <c r="B48" s="703">
        <v>0.74</v>
      </c>
      <c r="C48" s="699">
        <v>2015</v>
      </c>
      <c r="D48" s="699">
        <v>2023</v>
      </c>
    </row>
    <row r="49" spans="1:4" ht="15.75" customHeight="1" x14ac:dyDescent="0.3">
      <c r="A49" s="698" t="s">
        <v>1199</v>
      </c>
      <c r="B49" s="703">
        <v>0.57499999999999996</v>
      </c>
      <c r="C49" s="699">
        <v>2019</v>
      </c>
      <c r="D49" s="699">
        <v>2023</v>
      </c>
    </row>
    <row r="50" spans="1:4" ht="15.75" customHeight="1" x14ac:dyDescent="0.3">
      <c r="A50" s="698" t="s">
        <v>1200</v>
      </c>
      <c r="B50" s="703">
        <v>0.71220000000000006</v>
      </c>
      <c r="C50" s="699">
        <v>2019</v>
      </c>
      <c r="D50" s="699">
        <v>2023</v>
      </c>
    </row>
    <row r="51" spans="1:4" ht="21.9" customHeight="1" x14ac:dyDescent="0.3">
      <c r="A51" s="698" t="s">
        <v>1201</v>
      </c>
      <c r="B51" s="703">
        <v>0.83</v>
      </c>
      <c r="C51" s="699">
        <v>2019</v>
      </c>
      <c r="D51" s="699">
        <v>2023</v>
      </c>
    </row>
    <row r="52" spans="1:4" ht="21.9" customHeight="1" x14ac:dyDescent="0.3">
      <c r="A52" s="698" t="s">
        <v>1202</v>
      </c>
      <c r="B52" s="703">
        <v>0.65</v>
      </c>
      <c r="C52" s="699">
        <v>2019</v>
      </c>
      <c r="D52" s="699">
        <v>2023</v>
      </c>
    </row>
    <row r="53" spans="1:4" ht="15.75" customHeight="1" x14ac:dyDescent="0.3">
      <c r="A53" s="698" t="s">
        <v>1203</v>
      </c>
      <c r="B53" s="703">
        <v>0.56100000000000005</v>
      </c>
      <c r="C53" s="699">
        <v>2019</v>
      </c>
      <c r="D53" s="699">
        <v>2023</v>
      </c>
    </row>
    <row r="54" spans="1:4" ht="15.75" customHeight="1" x14ac:dyDescent="0.3">
      <c r="A54" s="698" t="s">
        <v>1204</v>
      </c>
      <c r="B54" s="703">
        <v>0.77</v>
      </c>
      <c r="C54" s="699">
        <v>2017</v>
      </c>
      <c r="D54" s="699">
        <v>2023</v>
      </c>
    </row>
    <row r="55" spans="1:4" ht="15.75" customHeight="1" x14ac:dyDescent="0.3">
      <c r="A55" s="698" t="s">
        <v>1205</v>
      </c>
      <c r="B55" s="703">
        <v>0.53749999999999998</v>
      </c>
      <c r="C55" s="699">
        <v>2019</v>
      </c>
      <c r="D55" s="699">
        <v>2023</v>
      </c>
    </row>
    <row r="56" spans="1:4" ht="36" customHeight="1" x14ac:dyDescent="0.3">
      <c r="A56" s="707" t="s">
        <v>1206</v>
      </c>
      <c r="B56" s="703">
        <v>0.77500000000000002</v>
      </c>
      <c r="C56" s="699">
        <v>2019</v>
      </c>
      <c r="D56" s="717">
        <v>2023</v>
      </c>
    </row>
    <row r="57" spans="1:4" ht="36" customHeight="1" x14ac:dyDescent="0.3">
      <c r="A57" s="707" t="s">
        <v>1207</v>
      </c>
      <c r="B57" s="703">
        <v>0.59899999999999998</v>
      </c>
      <c r="C57" s="699">
        <v>2019</v>
      </c>
      <c r="D57" s="717">
        <v>2023</v>
      </c>
    </row>
    <row r="58" spans="1:4" ht="36" customHeight="1" x14ac:dyDescent="0.3">
      <c r="A58" s="707" t="s">
        <v>1208</v>
      </c>
      <c r="B58" s="703">
        <v>0.37469999999999998</v>
      </c>
      <c r="C58" s="699">
        <v>2019</v>
      </c>
      <c r="D58" s="717">
        <v>2023</v>
      </c>
    </row>
    <row r="59" spans="1:4" ht="36" customHeight="1" x14ac:dyDescent="0.3">
      <c r="A59" s="707" t="s">
        <v>1209</v>
      </c>
      <c r="B59" s="703">
        <v>0.58750000000000002</v>
      </c>
      <c r="C59" s="699">
        <v>2019</v>
      </c>
      <c r="D59" s="717">
        <v>2023</v>
      </c>
    </row>
    <row r="60" spans="1:4" ht="36" customHeight="1" x14ac:dyDescent="0.3">
      <c r="A60" s="707" t="s">
        <v>1210</v>
      </c>
      <c r="B60" s="703">
        <v>0.6169</v>
      </c>
      <c r="C60" s="699">
        <v>2019</v>
      </c>
      <c r="D60" s="717">
        <v>2023</v>
      </c>
    </row>
    <row r="61" spans="1:4" ht="36" customHeight="1" x14ac:dyDescent="0.3">
      <c r="A61" s="707" t="s">
        <v>1211</v>
      </c>
      <c r="B61" s="703">
        <v>0.51</v>
      </c>
      <c r="C61" s="699">
        <v>2019</v>
      </c>
      <c r="D61" s="717">
        <v>2023</v>
      </c>
    </row>
    <row r="62" spans="1:4" ht="36" customHeight="1" x14ac:dyDescent="0.3">
      <c r="A62" s="707" t="s">
        <v>1212</v>
      </c>
      <c r="B62" s="703">
        <v>0.91</v>
      </c>
      <c r="C62" s="699">
        <v>2015</v>
      </c>
      <c r="D62" s="717">
        <v>2023</v>
      </c>
    </row>
    <row r="63" spans="1:4" ht="36" customHeight="1" x14ac:dyDescent="0.3">
      <c r="A63" s="707" t="s">
        <v>1213</v>
      </c>
      <c r="B63" s="703">
        <v>0.65749999999999997</v>
      </c>
      <c r="C63" s="699">
        <v>2019</v>
      </c>
      <c r="D63" s="717">
        <v>2023</v>
      </c>
    </row>
    <row r="64" spans="1:4" ht="36" customHeight="1" x14ac:dyDescent="0.3">
      <c r="A64" s="707" t="s">
        <v>1214</v>
      </c>
      <c r="B64" s="703">
        <v>0.59699999999999998</v>
      </c>
      <c r="C64" s="699">
        <v>2019</v>
      </c>
      <c r="D64" s="717">
        <v>2023</v>
      </c>
    </row>
    <row r="65" spans="1:4" ht="36" customHeight="1" x14ac:dyDescent="0.3">
      <c r="A65" s="707" t="s">
        <v>1215</v>
      </c>
      <c r="B65" s="703">
        <v>0.66</v>
      </c>
      <c r="C65" s="699">
        <v>2019</v>
      </c>
      <c r="D65" s="717">
        <v>2023</v>
      </c>
    </row>
    <row r="66" spans="1:4" ht="36" customHeight="1" x14ac:dyDescent="0.3">
      <c r="A66" s="707" t="s">
        <v>1216</v>
      </c>
      <c r="B66" s="703">
        <v>0.66</v>
      </c>
      <c r="C66" s="699">
        <v>2017</v>
      </c>
      <c r="D66" s="717">
        <v>2023</v>
      </c>
    </row>
    <row r="67" spans="1:4" ht="36" customHeight="1" x14ac:dyDescent="0.3">
      <c r="A67" s="698" t="s">
        <v>1217</v>
      </c>
      <c r="B67" s="703">
        <v>0.74</v>
      </c>
      <c r="C67" s="699">
        <v>2020</v>
      </c>
      <c r="D67" s="699">
        <v>2024</v>
      </c>
    </row>
    <row r="68" spans="1:4" ht="36" customHeight="1" x14ac:dyDescent="0.3">
      <c r="A68" s="698" t="s">
        <v>1218</v>
      </c>
      <c r="B68" s="703">
        <v>0.33</v>
      </c>
      <c r="C68" s="699">
        <v>2020</v>
      </c>
      <c r="D68" s="699">
        <v>2024</v>
      </c>
    </row>
    <row r="69" spans="1:4" ht="36" customHeight="1" x14ac:dyDescent="0.3">
      <c r="A69" s="698" t="s">
        <v>1219</v>
      </c>
      <c r="B69" s="703">
        <v>0.80500000000000005</v>
      </c>
      <c r="C69" s="699">
        <v>2018</v>
      </c>
      <c r="D69" s="699">
        <v>2024</v>
      </c>
    </row>
    <row r="70" spans="1:4" ht="36" customHeight="1" x14ac:dyDescent="0.3">
      <c r="A70" s="698" t="s">
        <v>1220</v>
      </c>
      <c r="B70" s="703">
        <v>0.76</v>
      </c>
      <c r="C70" s="699">
        <v>2020</v>
      </c>
      <c r="D70" s="699">
        <v>2024</v>
      </c>
    </row>
    <row r="71" spans="1:4" ht="36" customHeight="1" x14ac:dyDescent="0.3">
      <c r="A71" s="707" t="s">
        <v>1221</v>
      </c>
      <c r="B71" s="703">
        <v>0.59</v>
      </c>
      <c r="C71" s="699">
        <v>2016</v>
      </c>
      <c r="D71" s="717">
        <v>2024</v>
      </c>
    </row>
    <row r="72" spans="1:4" ht="36" customHeight="1" x14ac:dyDescent="0.3">
      <c r="A72" s="707" t="s">
        <v>1222</v>
      </c>
      <c r="B72" s="703">
        <v>0.67969999999999997</v>
      </c>
      <c r="C72" s="699">
        <v>2020</v>
      </c>
      <c r="D72" s="717">
        <v>2024</v>
      </c>
    </row>
    <row r="73" spans="1:4" ht="36" customHeight="1" x14ac:dyDescent="0.3">
      <c r="A73" s="707" t="s">
        <v>1223</v>
      </c>
      <c r="B73" s="703">
        <v>0.83</v>
      </c>
      <c r="C73" s="699">
        <v>2016</v>
      </c>
      <c r="D73" s="717">
        <v>2024</v>
      </c>
    </row>
    <row r="74" spans="1:4" ht="36" customHeight="1" x14ac:dyDescent="0.3">
      <c r="A74" s="707" t="s">
        <v>1224</v>
      </c>
      <c r="B74" s="703">
        <v>0.77</v>
      </c>
      <c r="C74" s="699">
        <v>2018</v>
      </c>
      <c r="D74" s="717">
        <v>2024</v>
      </c>
    </row>
    <row r="75" spans="1:4" ht="36" customHeight="1" x14ac:dyDescent="0.3">
      <c r="A75" s="707" t="s">
        <v>1225</v>
      </c>
      <c r="B75" s="703">
        <v>0.89</v>
      </c>
      <c r="C75" s="699">
        <v>2016</v>
      </c>
      <c r="D75" s="717">
        <v>2024</v>
      </c>
    </row>
    <row r="76" spans="1:4" ht="36" customHeight="1" x14ac:dyDescent="0.3">
      <c r="A76" s="707" t="s">
        <v>1226</v>
      </c>
      <c r="B76" s="703">
        <v>0.6</v>
      </c>
      <c r="C76" s="699">
        <v>2020</v>
      </c>
      <c r="D76" s="717">
        <v>2024</v>
      </c>
    </row>
    <row r="77" spans="1:4" ht="36" customHeight="1" x14ac:dyDescent="0.3">
      <c r="A77" s="707" t="s">
        <v>1227</v>
      </c>
      <c r="B77" s="703">
        <v>0.73</v>
      </c>
      <c r="C77" s="699">
        <v>2016</v>
      </c>
      <c r="D77" s="717">
        <v>2024</v>
      </c>
    </row>
    <row r="78" spans="1:4" ht="36" customHeight="1" x14ac:dyDescent="0.3">
      <c r="A78" s="707" t="s">
        <v>1228</v>
      </c>
      <c r="B78" s="703">
        <v>0.6</v>
      </c>
      <c r="C78" s="699">
        <v>2016</v>
      </c>
      <c r="D78" s="717">
        <v>2024</v>
      </c>
    </row>
    <row r="79" spans="1:4" ht="36" customHeight="1" x14ac:dyDescent="0.3">
      <c r="A79" s="698" t="s">
        <v>1229</v>
      </c>
      <c r="B79" s="703">
        <v>0.67</v>
      </c>
      <c r="C79" s="699">
        <v>2017</v>
      </c>
      <c r="D79" s="699">
        <v>2025</v>
      </c>
    </row>
    <row r="80" spans="1:4" ht="36" customHeight="1" x14ac:dyDescent="0.3">
      <c r="A80" s="698" t="s">
        <v>1230</v>
      </c>
      <c r="B80" s="703">
        <v>0.69499999999999995</v>
      </c>
      <c r="C80" s="699">
        <v>2019</v>
      </c>
      <c r="D80" s="699">
        <v>2025</v>
      </c>
    </row>
    <row r="81" spans="1:4" ht="36" customHeight="1" x14ac:dyDescent="0.3">
      <c r="A81" s="698" t="s">
        <v>1231</v>
      </c>
      <c r="B81" s="703">
        <v>0.79900000000000004</v>
      </c>
      <c r="C81" s="699">
        <v>2017</v>
      </c>
      <c r="D81" s="699">
        <v>2025</v>
      </c>
    </row>
    <row r="82" spans="1:4" ht="36" customHeight="1" x14ac:dyDescent="0.3">
      <c r="A82" s="698" t="s">
        <v>1232</v>
      </c>
      <c r="B82" s="703">
        <v>0.40050000000000002</v>
      </c>
      <c r="C82" s="699">
        <v>2020</v>
      </c>
      <c r="D82" s="699">
        <v>2025</v>
      </c>
    </row>
    <row r="83" spans="1:4" ht="36" customHeight="1" x14ac:dyDescent="0.3">
      <c r="A83" s="698" t="s">
        <v>1233</v>
      </c>
      <c r="B83" s="703">
        <v>0.95</v>
      </c>
      <c r="C83" s="699">
        <v>2017</v>
      </c>
      <c r="D83" s="699">
        <v>2025</v>
      </c>
    </row>
    <row r="84" spans="1:4" ht="36" customHeight="1" x14ac:dyDescent="0.3">
      <c r="A84" s="698" t="s">
        <v>1234</v>
      </c>
      <c r="B84" s="703">
        <v>0.79</v>
      </c>
      <c r="C84" s="699">
        <v>2017</v>
      </c>
      <c r="D84" s="699">
        <v>2025</v>
      </c>
    </row>
    <row r="85" spans="1:4" ht="36" customHeight="1" x14ac:dyDescent="0.3">
      <c r="A85" s="707" t="s">
        <v>1235</v>
      </c>
      <c r="B85" s="703">
        <v>0.76</v>
      </c>
      <c r="C85" s="699">
        <v>2019</v>
      </c>
      <c r="D85" s="717">
        <v>2025</v>
      </c>
    </row>
    <row r="86" spans="1:4" ht="36" customHeight="1" x14ac:dyDescent="0.3">
      <c r="A86" s="707" t="s">
        <v>1236</v>
      </c>
      <c r="B86" s="703">
        <v>0.84499999999999997</v>
      </c>
      <c r="C86" s="699">
        <v>2017</v>
      </c>
      <c r="D86" s="717">
        <v>2025</v>
      </c>
    </row>
    <row r="87" spans="1:4" ht="36" customHeight="1" x14ac:dyDescent="0.3">
      <c r="A87" s="707" t="s">
        <v>1237</v>
      </c>
      <c r="B87" s="703">
        <v>0.81</v>
      </c>
      <c r="C87" s="699">
        <v>2017</v>
      </c>
      <c r="D87" s="717">
        <v>2025</v>
      </c>
    </row>
    <row r="88" spans="1:4" ht="36" customHeight="1" x14ac:dyDescent="0.3">
      <c r="A88" s="707" t="s">
        <v>1238</v>
      </c>
      <c r="B88" s="703">
        <v>0.67</v>
      </c>
      <c r="C88" s="699">
        <v>2017</v>
      </c>
      <c r="D88" s="717">
        <v>2025</v>
      </c>
    </row>
    <row r="89" spans="1:4" ht="36" customHeight="1" x14ac:dyDescent="0.3">
      <c r="A89" s="707" t="s">
        <v>1239</v>
      </c>
      <c r="B89" s="703">
        <v>0.63270000000000004</v>
      </c>
      <c r="C89" s="699">
        <v>2019</v>
      </c>
      <c r="D89" s="717">
        <v>2025</v>
      </c>
    </row>
    <row r="90" spans="1:4" ht="36" customHeight="1" x14ac:dyDescent="0.3">
      <c r="A90" s="707" t="s">
        <v>1240</v>
      </c>
      <c r="B90" s="703">
        <v>0.94</v>
      </c>
      <c r="C90" s="699">
        <v>2017</v>
      </c>
      <c r="D90" s="717">
        <v>2025</v>
      </c>
    </row>
    <row r="91" spans="1:4" ht="36" customHeight="1" x14ac:dyDescent="0.3">
      <c r="A91" s="707" t="s">
        <v>1241</v>
      </c>
      <c r="B91" s="703">
        <v>0.81</v>
      </c>
      <c r="C91" s="699">
        <v>2017</v>
      </c>
      <c r="D91" s="717">
        <v>2025</v>
      </c>
    </row>
    <row r="92" spans="1:4" ht="36" customHeight="1" x14ac:dyDescent="0.3">
      <c r="A92" s="698" t="s">
        <v>1242</v>
      </c>
      <c r="B92" s="703">
        <v>0.77700000000000002</v>
      </c>
      <c r="C92" s="699">
        <v>2018</v>
      </c>
      <c r="D92" s="699">
        <v>2026</v>
      </c>
    </row>
    <row r="93" spans="1:4" ht="36" customHeight="1" x14ac:dyDescent="0.3">
      <c r="A93" s="698" t="s">
        <v>1243</v>
      </c>
      <c r="B93" s="703">
        <v>0.63500000000000001</v>
      </c>
      <c r="C93" s="699">
        <v>2018</v>
      </c>
      <c r="D93" s="699">
        <v>2026</v>
      </c>
    </row>
    <row r="94" spans="1:4" ht="36" customHeight="1" x14ac:dyDescent="0.3">
      <c r="A94" s="698" t="s">
        <v>1244</v>
      </c>
      <c r="B94" s="703">
        <v>0.43</v>
      </c>
      <c r="C94" s="699">
        <v>2018</v>
      </c>
      <c r="D94" s="699">
        <v>2026</v>
      </c>
    </row>
    <row r="95" spans="1:4" ht="36" customHeight="1" x14ac:dyDescent="0.3">
      <c r="A95" s="698" t="s">
        <v>1245</v>
      </c>
      <c r="B95" s="703">
        <v>0.84</v>
      </c>
      <c r="C95" s="699">
        <v>2018</v>
      </c>
      <c r="D95" s="699">
        <v>2026</v>
      </c>
    </row>
    <row r="96" spans="1:4" ht="36" customHeight="1" x14ac:dyDescent="0.3">
      <c r="A96" s="698" t="s">
        <v>1246</v>
      </c>
      <c r="B96" s="703">
        <v>0.84</v>
      </c>
      <c r="C96" s="699">
        <v>2019</v>
      </c>
      <c r="D96" s="699">
        <v>2027</v>
      </c>
    </row>
    <row r="97" spans="1:4" ht="36" customHeight="1" x14ac:dyDescent="0.3">
      <c r="A97" s="707" t="s">
        <v>1247</v>
      </c>
      <c r="B97" s="703">
        <v>0.64500000000000002</v>
      </c>
      <c r="C97" s="699">
        <v>2019</v>
      </c>
      <c r="D97" s="717">
        <v>2027</v>
      </c>
    </row>
    <row r="98" spans="1:4" ht="36" customHeight="1" x14ac:dyDescent="0.3">
      <c r="A98" s="707" t="s">
        <v>1248</v>
      </c>
      <c r="B98" s="703">
        <v>0.69499999999999995</v>
      </c>
      <c r="C98" s="699">
        <v>2019</v>
      </c>
      <c r="D98" s="717">
        <v>2027</v>
      </c>
    </row>
    <row r="99" spans="1:4" ht="36" customHeight="1" x14ac:dyDescent="0.3">
      <c r="A99" s="707" t="s">
        <v>1249</v>
      </c>
      <c r="B99" s="703">
        <v>0.82499999999999996</v>
      </c>
      <c r="C99" s="699">
        <v>2019</v>
      </c>
      <c r="D99" s="717">
        <v>2027</v>
      </c>
    </row>
    <row r="100" spans="1:4" ht="36" customHeight="1" x14ac:dyDescent="0.3">
      <c r="A100" s="707" t="s">
        <v>1250</v>
      </c>
      <c r="B100" s="703">
        <v>1</v>
      </c>
      <c r="C100" s="699">
        <v>2019</v>
      </c>
      <c r="D100" s="717">
        <v>2027</v>
      </c>
    </row>
    <row r="101" spans="1:4" ht="36" customHeight="1" x14ac:dyDescent="0.3">
      <c r="A101" s="707" t="s">
        <v>1251</v>
      </c>
      <c r="B101" s="703">
        <v>0.66349999999999998</v>
      </c>
      <c r="C101" s="699">
        <v>2019</v>
      </c>
      <c r="D101" s="717">
        <v>2027</v>
      </c>
    </row>
    <row r="102" spans="1:4" ht="36" customHeight="1" x14ac:dyDescent="0.3">
      <c r="A102" s="698" t="s">
        <v>1252</v>
      </c>
      <c r="B102" s="703">
        <v>0.86499999999999999</v>
      </c>
      <c r="C102" s="699">
        <v>2020</v>
      </c>
      <c r="D102" s="699">
        <v>2028</v>
      </c>
    </row>
    <row r="103" spans="1:4" ht="36" customHeight="1" x14ac:dyDescent="0.3">
      <c r="A103" s="698" t="s">
        <v>1253</v>
      </c>
      <c r="B103" s="703">
        <v>0.46</v>
      </c>
      <c r="C103" s="699">
        <v>2020</v>
      </c>
      <c r="D103" s="699">
        <v>2028</v>
      </c>
    </row>
    <row r="104" spans="1:4" ht="36" customHeight="1" x14ac:dyDescent="0.3">
      <c r="A104" s="707" t="s">
        <v>1254</v>
      </c>
      <c r="B104" s="703">
        <v>0.5</v>
      </c>
      <c r="C104" s="699">
        <v>2020</v>
      </c>
      <c r="D104" s="717">
        <v>2028</v>
      </c>
    </row>
    <row r="105" spans="1:4" ht="36" customHeight="1" x14ac:dyDescent="0.3">
      <c r="A105" s="707" t="s">
        <v>1255</v>
      </c>
      <c r="B105" s="703">
        <v>0.62</v>
      </c>
      <c r="C105" s="699">
        <v>2020</v>
      </c>
      <c r="D105" s="717">
        <v>2028</v>
      </c>
    </row>
    <row r="106" spans="1:4" ht="36" customHeight="1" x14ac:dyDescent="0.3">
      <c r="A106" s="707" t="s">
        <v>1256</v>
      </c>
      <c r="B106" s="703">
        <v>0.625</v>
      </c>
      <c r="C106" s="699">
        <v>2020</v>
      </c>
      <c r="D106" s="717">
        <v>2028</v>
      </c>
    </row>
    <row r="107" spans="1:4" ht="36" customHeight="1" x14ac:dyDescent="0.3">
      <c r="A107" s="698"/>
      <c r="B107" s="703"/>
      <c r="C107" s="699"/>
      <c r="D107" s="699"/>
    </row>
    <row r="108" spans="1:4" ht="36" customHeight="1" x14ac:dyDescent="0.3">
      <c r="A108" s="698"/>
      <c r="B108" s="703"/>
      <c r="C108" s="699"/>
      <c r="D108" s="699"/>
    </row>
    <row r="109" spans="1:4" ht="36" customHeight="1" x14ac:dyDescent="0.3">
      <c r="A109" s="698"/>
      <c r="B109" s="703"/>
      <c r="C109" s="699"/>
      <c r="D109" s="699"/>
    </row>
    <row r="110" spans="1:4" ht="36" customHeight="1" x14ac:dyDescent="0.3">
      <c r="A110" s="698"/>
      <c r="B110" s="703"/>
      <c r="C110" s="699"/>
      <c r="D110" s="699"/>
    </row>
    <row r="111" spans="1:4" ht="36" customHeight="1" x14ac:dyDescent="0.3">
      <c r="A111" s="698"/>
      <c r="B111" s="703"/>
      <c r="C111" s="699"/>
      <c r="D111" s="699"/>
    </row>
    <row r="112" spans="1:4" ht="36" customHeight="1" x14ac:dyDescent="0.3">
      <c r="A112" s="1338" t="s">
        <v>1257</v>
      </c>
      <c r="B112" s="1338"/>
      <c r="C112" s="1338"/>
      <c r="D112" s="1338"/>
    </row>
    <row r="113" spans="1:4" ht="15.75" customHeight="1" x14ac:dyDescent="0.3">
      <c r="A113" s="1339" t="s">
        <v>1258</v>
      </c>
      <c r="B113" s="1339"/>
      <c r="C113" s="1339"/>
      <c r="D113" s="1339"/>
    </row>
    <row r="114" spans="1:4" ht="15.75" customHeight="1" x14ac:dyDescent="0.3">
      <c r="A114" s="1335" t="s">
        <v>1259</v>
      </c>
      <c r="B114" s="1335"/>
      <c r="C114" s="1335"/>
      <c r="D114" s="1335"/>
    </row>
    <row r="115" spans="1:4" ht="15.75" customHeight="1" x14ac:dyDescent="0.3">
      <c r="A115" s="1339" t="s">
        <v>1260</v>
      </c>
      <c r="B115" s="1339"/>
      <c r="C115" s="1339"/>
      <c r="D115" s="1339"/>
    </row>
    <row r="116" spans="1:4" ht="21.9" customHeight="1" x14ac:dyDescent="0.3">
      <c r="A116" s="1340" t="s">
        <v>1261</v>
      </c>
      <c r="B116" s="1340"/>
      <c r="C116" s="1340"/>
      <c r="D116" s="1340"/>
    </row>
    <row r="117" spans="1:4" ht="21" customHeight="1" x14ac:dyDescent="0.3">
      <c r="A117" s="1336" t="s">
        <v>1262</v>
      </c>
      <c r="B117" s="1336"/>
      <c r="C117" s="1336"/>
      <c r="D117" s="1336"/>
    </row>
    <row r="118" spans="1:4" ht="15.75" customHeight="1" x14ac:dyDescent="0.3">
      <c r="A118" s="1336" t="s">
        <v>1263</v>
      </c>
      <c r="B118" s="1336"/>
      <c r="C118" s="1336"/>
      <c r="D118" s="1336"/>
    </row>
    <row r="119" spans="1:4" ht="15.75" customHeight="1" x14ac:dyDescent="0.3">
      <c r="A119" s="1336" t="s">
        <v>1264</v>
      </c>
      <c r="B119" s="1336"/>
      <c r="C119" s="1336"/>
      <c r="D119" s="1336"/>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5:D115"/>
    <mergeCell ref="A116:D116"/>
    <mergeCell ref="A117:D117"/>
    <mergeCell ref="A118:D118"/>
    <mergeCell ref="A119:D119"/>
    <mergeCell ref="A114:D114"/>
    <mergeCell ref="A1:D1"/>
    <mergeCell ref="A2:D2"/>
    <mergeCell ref="A3:D3"/>
    <mergeCell ref="A112:D112"/>
    <mergeCell ref="A113:D11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68"/>
  <sheetViews>
    <sheetView workbookViewId="0">
      <selection activeCell="E1" sqref="E1"/>
    </sheetView>
  </sheetViews>
  <sheetFormatPr defaultColWidth="9.109375" defaultRowHeight="14.4" x14ac:dyDescent="0.3"/>
  <cols>
    <col min="1" max="1" width="28.5546875" style="725" customWidth="1"/>
    <col min="2" max="12" width="9.109375" style="725"/>
    <col min="13" max="13" width="21.6640625" style="725" customWidth="1"/>
    <col min="14" max="14" width="16.88671875" style="725" customWidth="1"/>
    <col min="15" max="16" width="9.109375" style="725"/>
    <col min="17" max="17" width="18.109375" style="725" customWidth="1"/>
    <col min="18" max="18" width="11" style="725" customWidth="1"/>
    <col min="19" max="16384" width="9.109375" style="725"/>
  </cols>
  <sheetData>
    <row r="1" spans="1:20" x14ac:dyDescent="0.3">
      <c r="A1" s="725" t="s">
        <v>1593</v>
      </c>
    </row>
    <row r="2" spans="1:20" ht="15" thickBot="1" x14ac:dyDescent="0.35">
      <c r="A2" s="715" t="s">
        <v>930</v>
      </c>
      <c r="B2" s="171">
        <v>50001</v>
      </c>
      <c r="C2" s="711"/>
      <c r="D2" s="56"/>
      <c r="E2" s="56"/>
      <c r="G2" s="725">
        <v>100</v>
      </c>
      <c r="I2" s="725" t="s">
        <v>614</v>
      </c>
      <c r="M2" s="725" t="s">
        <v>930</v>
      </c>
      <c r="N2" s="725">
        <v>50001</v>
      </c>
      <c r="O2" s="725" t="b">
        <f>EXACT(A2,M2)</f>
        <v>1</v>
      </c>
      <c r="P2" s="725" t="b">
        <f>EXACT(B2,N2)</f>
        <v>1</v>
      </c>
      <c r="Q2" s="725" t="s">
        <v>930</v>
      </c>
      <c r="R2" s="725">
        <v>50001</v>
      </c>
      <c r="S2" s="725" t="b">
        <f>EXACT(A2,Q2)</f>
        <v>1</v>
      </c>
      <c r="T2" s="725" t="b">
        <f>EXACT(B2,R2)</f>
        <v>1</v>
      </c>
    </row>
    <row r="3" spans="1:20" ht="15" customHeight="1" thickBot="1" x14ac:dyDescent="0.35">
      <c r="A3" s="724" t="s">
        <v>1699</v>
      </c>
      <c r="B3" s="171">
        <v>50002</v>
      </c>
      <c r="C3" s="711"/>
      <c r="D3" s="55"/>
      <c r="E3" s="56"/>
      <c r="G3" s="725">
        <v>200</v>
      </c>
      <c r="I3" s="725" t="s">
        <v>615</v>
      </c>
      <c r="M3" s="725" t="s">
        <v>1699</v>
      </c>
      <c r="N3" s="725">
        <v>50002</v>
      </c>
      <c r="O3" s="729" t="b">
        <f t="shared" ref="O3:O66" si="0">EXACT(A3,M3)</f>
        <v>1</v>
      </c>
      <c r="P3" s="729" t="b">
        <f t="shared" ref="P3:P66" si="1">EXACT(B3,N3)</f>
        <v>1</v>
      </c>
      <c r="Q3" s="725" t="s">
        <v>1699</v>
      </c>
      <c r="R3" s="725">
        <v>50002</v>
      </c>
      <c r="S3" s="729" t="b">
        <f t="shared" ref="S3:S66" si="2">EXACT(A3,Q3)</f>
        <v>1</v>
      </c>
      <c r="T3" s="729" t="b">
        <f t="shared" ref="T3:T66" si="3">EXACT(B3,R3)</f>
        <v>1</v>
      </c>
    </row>
    <row r="4" spans="1:20" ht="15" customHeight="1" thickBot="1" x14ac:dyDescent="0.35">
      <c r="A4" s="724" t="s">
        <v>1700</v>
      </c>
      <c r="B4" s="171">
        <v>50471</v>
      </c>
      <c r="C4" s="711"/>
      <c r="D4" s="55"/>
      <c r="E4" s="56"/>
      <c r="G4" s="725">
        <v>300</v>
      </c>
      <c r="I4" s="725" t="s">
        <v>616</v>
      </c>
      <c r="M4" s="725" t="s">
        <v>1700</v>
      </c>
      <c r="N4" s="725">
        <v>50471</v>
      </c>
      <c r="O4" s="729" t="b">
        <f t="shared" si="0"/>
        <v>1</v>
      </c>
      <c r="P4" s="729" t="b">
        <f t="shared" si="1"/>
        <v>1</v>
      </c>
      <c r="Q4" s="725" t="s">
        <v>1700</v>
      </c>
      <c r="R4" s="725">
        <v>50471</v>
      </c>
      <c r="S4" s="729" t="b">
        <f t="shared" si="2"/>
        <v>1</v>
      </c>
      <c r="T4" s="729" t="b">
        <f t="shared" si="3"/>
        <v>1</v>
      </c>
    </row>
    <row r="5" spans="1:20" ht="15" thickBot="1" x14ac:dyDescent="0.35">
      <c r="A5" s="724" t="s">
        <v>1701</v>
      </c>
      <c r="B5" s="171">
        <v>50003</v>
      </c>
      <c r="C5" s="711"/>
      <c r="D5" s="55"/>
      <c r="E5" s="56"/>
      <c r="G5" s="725">
        <v>400</v>
      </c>
      <c r="M5" s="725" t="s">
        <v>1701</v>
      </c>
      <c r="N5" s="725">
        <v>50003</v>
      </c>
      <c r="O5" s="729" t="b">
        <f t="shared" si="0"/>
        <v>1</v>
      </c>
      <c r="P5" s="729" t="b">
        <f t="shared" si="1"/>
        <v>1</v>
      </c>
      <c r="Q5" s="725" t="s">
        <v>1701</v>
      </c>
      <c r="R5" s="725">
        <v>50003</v>
      </c>
      <c r="S5" s="729" t="b">
        <f t="shared" si="2"/>
        <v>1</v>
      </c>
      <c r="T5" s="729" t="b">
        <f t="shared" si="3"/>
        <v>1</v>
      </c>
    </row>
    <row r="6" spans="1:20" ht="15" thickBot="1" x14ac:dyDescent="0.35">
      <c r="A6" s="724" t="s">
        <v>1702</v>
      </c>
      <c r="B6" s="171">
        <v>50005</v>
      </c>
      <c r="C6" s="711"/>
      <c r="D6" s="55"/>
      <c r="E6" s="56"/>
      <c r="G6" s="725">
        <v>500</v>
      </c>
      <c r="M6" s="725" t="s">
        <v>1702</v>
      </c>
      <c r="N6" s="725">
        <v>50005</v>
      </c>
      <c r="O6" s="729" t="b">
        <f t="shared" si="0"/>
        <v>1</v>
      </c>
      <c r="P6" s="729" t="b">
        <f t="shared" si="1"/>
        <v>1</v>
      </c>
      <c r="Q6" s="725" t="s">
        <v>1702</v>
      </c>
      <c r="R6" s="725">
        <v>50005</v>
      </c>
      <c r="S6" s="729" t="b">
        <f t="shared" si="2"/>
        <v>1</v>
      </c>
      <c r="T6" s="729" t="b">
        <f t="shared" si="3"/>
        <v>1</v>
      </c>
    </row>
    <row r="7" spans="1:20" ht="15" thickBot="1" x14ac:dyDescent="0.35">
      <c r="A7" s="724" t="s">
        <v>931</v>
      </c>
      <c r="B7" s="171">
        <v>50006</v>
      </c>
      <c r="C7" s="711"/>
      <c r="D7" s="55"/>
      <c r="E7" s="56"/>
      <c r="M7" s="725" t="s">
        <v>931</v>
      </c>
      <c r="N7" s="725">
        <v>50006</v>
      </c>
      <c r="O7" s="729" t="b">
        <f t="shared" si="0"/>
        <v>1</v>
      </c>
      <c r="P7" s="729" t="b">
        <f t="shared" si="1"/>
        <v>1</v>
      </c>
      <c r="Q7" s="725" t="s">
        <v>931</v>
      </c>
      <c r="R7" s="725">
        <v>50006</v>
      </c>
      <c r="S7" s="729" t="b">
        <f t="shared" si="2"/>
        <v>1</v>
      </c>
      <c r="T7" s="729" t="b">
        <f t="shared" si="3"/>
        <v>1</v>
      </c>
    </row>
    <row r="8" spans="1:20" ht="15" thickBot="1" x14ac:dyDescent="0.35">
      <c r="A8" s="724" t="s">
        <v>1703</v>
      </c>
      <c r="B8" s="171">
        <v>50007</v>
      </c>
      <c r="C8" s="711"/>
      <c r="D8" s="55"/>
      <c r="E8" s="56"/>
      <c r="M8" s="725" t="s">
        <v>1703</v>
      </c>
      <c r="N8" s="725">
        <v>50007</v>
      </c>
      <c r="O8" s="729" t="b">
        <f t="shared" si="0"/>
        <v>1</v>
      </c>
      <c r="P8" s="729" t="b">
        <f t="shared" si="1"/>
        <v>1</v>
      </c>
      <c r="Q8" s="725" t="s">
        <v>1703</v>
      </c>
      <c r="R8" s="725">
        <v>50007</v>
      </c>
      <c r="S8" s="729" t="b">
        <f t="shared" si="2"/>
        <v>1</v>
      </c>
      <c r="T8" s="729" t="b">
        <f t="shared" si="3"/>
        <v>1</v>
      </c>
    </row>
    <row r="9" spans="1:20" ht="15" thickBot="1" x14ac:dyDescent="0.35">
      <c r="A9" s="724" t="s">
        <v>1704</v>
      </c>
      <c r="B9" s="171">
        <v>50008</v>
      </c>
      <c r="C9" s="711"/>
      <c r="D9" s="55"/>
      <c r="E9" s="56"/>
      <c r="M9" s="725" t="s">
        <v>1704</v>
      </c>
      <c r="N9" s="725">
        <v>50008</v>
      </c>
      <c r="O9" s="729" t="b">
        <f t="shared" si="0"/>
        <v>1</v>
      </c>
      <c r="P9" s="729" t="b">
        <f t="shared" si="1"/>
        <v>1</v>
      </c>
      <c r="Q9" s="725" t="s">
        <v>1704</v>
      </c>
      <c r="R9" s="725">
        <v>50008</v>
      </c>
      <c r="S9" s="729" t="b">
        <f t="shared" si="2"/>
        <v>1</v>
      </c>
      <c r="T9" s="729" t="b">
        <f t="shared" si="3"/>
        <v>1</v>
      </c>
    </row>
    <row r="10" spans="1:20" ht="15" thickBot="1" x14ac:dyDescent="0.35">
      <c r="A10" s="724" t="s">
        <v>1705</v>
      </c>
      <c r="B10" s="171">
        <v>50009</v>
      </c>
      <c r="C10" s="711"/>
      <c r="D10" s="55"/>
      <c r="E10" s="56"/>
      <c r="M10" s="725" t="s">
        <v>1705</v>
      </c>
      <c r="N10" s="725">
        <v>50009</v>
      </c>
      <c r="O10" s="729" t="b">
        <f t="shared" si="0"/>
        <v>1</v>
      </c>
      <c r="P10" s="729" t="b">
        <f t="shared" si="1"/>
        <v>1</v>
      </c>
      <c r="Q10" s="725" t="s">
        <v>1705</v>
      </c>
      <c r="R10" s="725">
        <v>50009</v>
      </c>
      <c r="S10" s="729" t="b">
        <f t="shared" si="2"/>
        <v>1</v>
      </c>
      <c r="T10" s="729" t="b">
        <f t="shared" si="3"/>
        <v>1</v>
      </c>
    </row>
    <row r="11" spans="1:20" ht="15" thickBot="1" x14ac:dyDescent="0.35">
      <c r="A11" s="724" t="s">
        <v>1706</v>
      </c>
      <c r="B11" s="171">
        <v>50464</v>
      </c>
      <c r="C11" s="711"/>
      <c r="D11" s="55"/>
      <c r="E11" s="56"/>
      <c r="M11" s="725" t="s">
        <v>1706</v>
      </c>
      <c r="N11" s="725">
        <v>50464</v>
      </c>
      <c r="O11" s="729" t="b">
        <f t="shared" si="0"/>
        <v>1</v>
      </c>
      <c r="P11" s="729" t="b">
        <f t="shared" si="1"/>
        <v>1</v>
      </c>
      <c r="Q11" s="725" t="s">
        <v>1706</v>
      </c>
      <c r="R11" s="725">
        <v>50464</v>
      </c>
      <c r="S11" s="729" t="b">
        <f t="shared" si="2"/>
        <v>1</v>
      </c>
      <c r="T11" s="729" t="b">
        <f t="shared" si="3"/>
        <v>1</v>
      </c>
    </row>
    <row r="12" spans="1:20" ht="15" thickBot="1" x14ac:dyDescent="0.35">
      <c r="A12" s="724" t="s">
        <v>1707</v>
      </c>
      <c r="B12" s="171">
        <v>50442</v>
      </c>
      <c r="C12" s="711"/>
      <c r="D12" s="55"/>
      <c r="E12" s="56"/>
      <c r="M12" s="725" t="s">
        <v>1707</v>
      </c>
      <c r="N12" s="725">
        <v>50442</v>
      </c>
      <c r="O12" s="729" t="b">
        <f t="shared" si="0"/>
        <v>1</v>
      </c>
      <c r="P12" s="729" t="b">
        <f t="shared" si="1"/>
        <v>1</v>
      </c>
      <c r="Q12" s="725" t="s">
        <v>1707</v>
      </c>
      <c r="R12" s="725">
        <v>50442</v>
      </c>
      <c r="S12" s="729" t="b">
        <f t="shared" si="2"/>
        <v>1</v>
      </c>
      <c r="T12" s="729" t="b">
        <f t="shared" si="3"/>
        <v>1</v>
      </c>
    </row>
    <row r="13" spans="1:20" ht="15" thickBot="1" x14ac:dyDescent="0.35">
      <c r="A13" s="724" t="s">
        <v>1708</v>
      </c>
      <c r="B13" s="171">
        <v>50569</v>
      </c>
      <c r="C13" s="711"/>
      <c r="D13" s="55"/>
      <c r="E13" s="56"/>
      <c r="M13" s="725" t="s">
        <v>1708</v>
      </c>
      <c r="N13" s="725">
        <v>50569</v>
      </c>
      <c r="O13" s="729" t="b">
        <f t="shared" si="0"/>
        <v>1</v>
      </c>
      <c r="P13" s="729" t="b">
        <f t="shared" si="1"/>
        <v>1</v>
      </c>
      <c r="Q13" s="725" t="s">
        <v>1708</v>
      </c>
      <c r="R13" s="725">
        <v>50569</v>
      </c>
      <c r="S13" s="729" t="b">
        <f t="shared" si="2"/>
        <v>1</v>
      </c>
      <c r="T13" s="729" t="b">
        <f t="shared" si="3"/>
        <v>1</v>
      </c>
    </row>
    <row r="14" spans="1:20" ht="15" thickBot="1" x14ac:dyDescent="0.35">
      <c r="A14" s="724" t="s">
        <v>1709</v>
      </c>
      <c r="B14" s="171">
        <v>50011</v>
      </c>
      <c r="C14" s="711"/>
      <c r="D14" s="55"/>
      <c r="E14" s="56"/>
      <c r="M14" s="725" t="s">
        <v>1709</v>
      </c>
      <c r="N14" s="725">
        <v>50011</v>
      </c>
      <c r="O14" s="729" t="b">
        <f t="shared" si="0"/>
        <v>1</v>
      </c>
      <c r="P14" s="729" t="b">
        <f t="shared" si="1"/>
        <v>1</v>
      </c>
      <c r="Q14" s="725" t="s">
        <v>1709</v>
      </c>
      <c r="R14" s="725">
        <v>50011</v>
      </c>
      <c r="S14" s="729" t="b">
        <f t="shared" si="2"/>
        <v>1</v>
      </c>
      <c r="T14" s="729" t="b">
        <f t="shared" si="3"/>
        <v>1</v>
      </c>
    </row>
    <row r="15" spans="1:20" ht="15" thickBot="1" x14ac:dyDescent="0.35">
      <c r="A15" s="724" t="s">
        <v>1710</v>
      </c>
      <c r="B15" s="171">
        <v>50012</v>
      </c>
      <c r="C15" s="711"/>
      <c r="D15" s="55"/>
      <c r="E15" s="56"/>
      <c r="M15" s="725" t="s">
        <v>1710</v>
      </c>
      <c r="N15" s="725">
        <v>50012</v>
      </c>
      <c r="O15" s="729" t="b">
        <f t="shared" si="0"/>
        <v>1</v>
      </c>
      <c r="P15" s="729" t="b">
        <f t="shared" si="1"/>
        <v>1</v>
      </c>
      <c r="Q15" s="725" t="s">
        <v>1710</v>
      </c>
      <c r="R15" s="725">
        <v>50012</v>
      </c>
      <c r="S15" s="729" t="b">
        <f t="shared" si="2"/>
        <v>1</v>
      </c>
      <c r="T15" s="729" t="b">
        <f t="shared" si="3"/>
        <v>1</v>
      </c>
    </row>
    <row r="16" spans="1:20" ht="15" thickBot="1" x14ac:dyDescent="0.35">
      <c r="A16" s="724" t="s">
        <v>933</v>
      </c>
      <c r="B16" s="171">
        <v>50013</v>
      </c>
      <c r="C16" s="711"/>
      <c r="D16" s="55"/>
      <c r="E16" s="56"/>
      <c r="M16" s="725" t="s">
        <v>933</v>
      </c>
      <c r="N16" s="725">
        <v>50013</v>
      </c>
      <c r="O16" s="729" t="b">
        <f t="shared" si="0"/>
        <v>1</v>
      </c>
      <c r="P16" s="729" t="b">
        <f t="shared" si="1"/>
        <v>1</v>
      </c>
      <c r="Q16" s="725" t="s">
        <v>933</v>
      </c>
      <c r="R16" s="725">
        <v>50013</v>
      </c>
      <c r="S16" s="729" t="b">
        <f t="shared" si="2"/>
        <v>1</v>
      </c>
      <c r="T16" s="729" t="b">
        <f t="shared" si="3"/>
        <v>1</v>
      </c>
    </row>
    <row r="17" spans="1:20" ht="15" thickBot="1" x14ac:dyDescent="0.35">
      <c r="A17" s="724" t="s">
        <v>1711</v>
      </c>
      <c r="B17" s="171">
        <v>50014</v>
      </c>
      <c r="C17" s="711"/>
      <c r="D17" s="55"/>
      <c r="E17" s="56"/>
      <c r="M17" s="725" t="s">
        <v>1711</v>
      </c>
      <c r="N17" s="725">
        <v>50014</v>
      </c>
      <c r="O17" s="729" t="b">
        <f t="shared" si="0"/>
        <v>1</v>
      </c>
      <c r="P17" s="729" t="b">
        <f t="shared" si="1"/>
        <v>1</v>
      </c>
      <c r="Q17" s="725" t="s">
        <v>1711</v>
      </c>
      <c r="R17" s="725">
        <v>50014</v>
      </c>
      <c r="S17" s="729" t="b">
        <f t="shared" si="2"/>
        <v>1</v>
      </c>
      <c r="T17" s="729" t="b">
        <f t="shared" si="3"/>
        <v>1</v>
      </c>
    </row>
    <row r="18" spans="1:20" ht="15" thickBot="1" x14ac:dyDescent="0.35">
      <c r="A18" s="724" t="s">
        <v>1712</v>
      </c>
      <c r="B18" s="171">
        <v>50015</v>
      </c>
      <c r="C18" s="711"/>
      <c r="D18" s="55"/>
      <c r="E18" s="56"/>
      <c r="M18" s="725" t="s">
        <v>1712</v>
      </c>
      <c r="N18" s="725">
        <v>50015</v>
      </c>
      <c r="O18" s="729" t="b">
        <f t="shared" si="0"/>
        <v>1</v>
      </c>
      <c r="P18" s="729" t="b">
        <f t="shared" si="1"/>
        <v>1</v>
      </c>
      <c r="Q18" s="725" t="s">
        <v>1712</v>
      </c>
      <c r="R18" s="725">
        <v>50015</v>
      </c>
      <c r="S18" s="729" t="b">
        <f t="shared" si="2"/>
        <v>1</v>
      </c>
      <c r="T18" s="729" t="b">
        <f t="shared" si="3"/>
        <v>1</v>
      </c>
    </row>
    <row r="19" spans="1:20" ht="15" thickBot="1" x14ac:dyDescent="0.35">
      <c r="A19" s="724" t="s">
        <v>1598</v>
      </c>
      <c r="B19" s="171">
        <v>50016</v>
      </c>
      <c r="C19" s="711"/>
      <c r="D19" s="55"/>
      <c r="E19" s="56"/>
      <c r="M19" s="725" t="s">
        <v>1598</v>
      </c>
      <c r="N19" s="725">
        <v>50016</v>
      </c>
      <c r="O19" s="729" t="b">
        <f t="shared" si="0"/>
        <v>1</v>
      </c>
      <c r="P19" s="729" t="b">
        <f t="shared" si="1"/>
        <v>1</v>
      </c>
      <c r="Q19" s="725" t="s">
        <v>1598</v>
      </c>
      <c r="R19" s="725">
        <v>50016</v>
      </c>
      <c r="S19" s="729" t="b">
        <f t="shared" si="2"/>
        <v>1</v>
      </c>
      <c r="T19" s="729" t="b">
        <f t="shared" si="3"/>
        <v>1</v>
      </c>
    </row>
    <row r="20" spans="1:20" ht="15" thickBot="1" x14ac:dyDescent="0.35">
      <c r="A20" s="724" t="s">
        <v>1713</v>
      </c>
      <c r="B20" s="171">
        <v>50017</v>
      </c>
      <c r="C20" s="711"/>
      <c r="D20" s="55"/>
      <c r="E20" s="56"/>
      <c r="M20" s="725" t="s">
        <v>1713</v>
      </c>
      <c r="N20" s="725">
        <v>50017</v>
      </c>
      <c r="O20" s="729" t="b">
        <f t="shared" si="0"/>
        <v>1</v>
      </c>
      <c r="P20" s="729" t="b">
        <f t="shared" si="1"/>
        <v>1</v>
      </c>
      <c r="Q20" s="725" t="s">
        <v>1713</v>
      </c>
      <c r="R20" s="725">
        <v>50017</v>
      </c>
      <c r="S20" s="729" t="b">
        <f t="shared" si="2"/>
        <v>1</v>
      </c>
      <c r="T20" s="729" t="b">
        <f t="shared" si="3"/>
        <v>1</v>
      </c>
    </row>
    <row r="21" spans="1:20" ht="15" thickBot="1" x14ac:dyDescent="0.35">
      <c r="A21" s="724" t="s">
        <v>1714</v>
      </c>
      <c r="B21" s="171">
        <v>50018</v>
      </c>
      <c r="C21" s="711"/>
      <c r="D21" s="55"/>
      <c r="E21" s="56"/>
      <c r="M21" s="725" t="s">
        <v>1714</v>
      </c>
      <c r="N21" s="725">
        <v>50018</v>
      </c>
      <c r="O21" s="729" t="b">
        <f t="shared" si="0"/>
        <v>1</v>
      </c>
      <c r="P21" s="729" t="b">
        <f t="shared" si="1"/>
        <v>1</v>
      </c>
      <c r="Q21" s="725" t="s">
        <v>1714</v>
      </c>
      <c r="R21" s="725">
        <v>50018</v>
      </c>
      <c r="S21" s="729" t="b">
        <f t="shared" si="2"/>
        <v>1</v>
      </c>
      <c r="T21" s="729" t="b">
        <f t="shared" si="3"/>
        <v>1</v>
      </c>
    </row>
    <row r="22" spans="1:20" ht="15" thickBot="1" x14ac:dyDescent="0.35">
      <c r="A22" s="724" t="s">
        <v>1599</v>
      </c>
      <c r="B22" s="171">
        <v>50019</v>
      </c>
      <c r="C22" s="711"/>
      <c r="D22" s="55"/>
      <c r="E22" s="56"/>
      <c r="M22" s="725" t="s">
        <v>1599</v>
      </c>
      <c r="N22" s="725">
        <v>50019</v>
      </c>
      <c r="O22" s="729" t="b">
        <f t="shared" si="0"/>
        <v>1</v>
      </c>
      <c r="P22" s="729" t="b">
        <f t="shared" si="1"/>
        <v>1</v>
      </c>
      <c r="Q22" s="725" t="s">
        <v>1599</v>
      </c>
      <c r="R22" s="725">
        <v>50019</v>
      </c>
      <c r="S22" s="729" t="b">
        <f t="shared" si="2"/>
        <v>1</v>
      </c>
      <c r="T22" s="729" t="b">
        <f t="shared" si="3"/>
        <v>1</v>
      </c>
    </row>
    <row r="23" spans="1:20" ht="15" thickBot="1" x14ac:dyDescent="0.35">
      <c r="A23" s="724" t="s">
        <v>934</v>
      </c>
      <c r="B23" s="171">
        <v>50504</v>
      </c>
      <c r="C23" s="711"/>
      <c r="D23" s="55"/>
      <c r="E23" s="56"/>
      <c r="M23" s="725" t="s">
        <v>934</v>
      </c>
      <c r="N23" s="725">
        <v>50504</v>
      </c>
      <c r="O23" s="729" t="b">
        <f t="shared" si="0"/>
        <v>1</v>
      </c>
      <c r="P23" s="729" t="b">
        <f t="shared" si="1"/>
        <v>1</v>
      </c>
      <c r="Q23" s="725" t="s">
        <v>934</v>
      </c>
      <c r="R23" s="725">
        <v>50504</v>
      </c>
      <c r="S23" s="729" t="b">
        <f t="shared" si="2"/>
        <v>1</v>
      </c>
      <c r="T23" s="729" t="b">
        <f t="shared" si="3"/>
        <v>1</v>
      </c>
    </row>
    <row r="24" spans="1:20" ht="15" thickBot="1" x14ac:dyDescent="0.35">
      <c r="A24" s="724" t="s">
        <v>1600</v>
      </c>
      <c r="B24" s="171">
        <v>50021</v>
      </c>
      <c r="C24" s="711"/>
      <c r="D24" s="55"/>
      <c r="E24" s="56"/>
      <c r="M24" s="725" t="s">
        <v>1600</v>
      </c>
      <c r="N24" s="725">
        <v>50021</v>
      </c>
      <c r="O24" s="729" t="b">
        <f t="shared" si="0"/>
        <v>1</v>
      </c>
      <c r="P24" s="729" t="b">
        <f t="shared" si="1"/>
        <v>1</v>
      </c>
      <c r="Q24" s="725" t="s">
        <v>1600</v>
      </c>
      <c r="R24" s="725">
        <v>50021</v>
      </c>
      <c r="S24" s="729" t="b">
        <f t="shared" si="2"/>
        <v>1</v>
      </c>
      <c r="T24" s="729" t="b">
        <f t="shared" si="3"/>
        <v>1</v>
      </c>
    </row>
    <row r="25" spans="1:20" ht="15" thickBot="1" x14ac:dyDescent="0.35">
      <c r="A25" s="724" t="s">
        <v>1715</v>
      </c>
      <c r="B25" s="171">
        <v>50022</v>
      </c>
      <c r="C25" s="711"/>
      <c r="D25" s="55"/>
      <c r="E25" s="56"/>
      <c r="M25" s="725" t="s">
        <v>1715</v>
      </c>
      <c r="N25" s="725">
        <v>50022</v>
      </c>
      <c r="O25" s="729" t="b">
        <f t="shared" si="0"/>
        <v>1</v>
      </c>
      <c r="P25" s="729" t="b">
        <f t="shared" si="1"/>
        <v>1</v>
      </c>
      <c r="Q25" s="725" t="s">
        <v>1715</v>
      </c>
      <c r="R25" s="725">
        <v>50022</v>
      </c>
      <c r="S25" s="729" t="b">
        <f t="shared" si="2"/>
        <v>1</v>
      </c>
      <c r="T25" s="729" t="b">
        <f t="shared" si="3"/>
        <v>1</v>
      </c>
    </row>
    <row r="26" spans="1:20" ht="15" thickBot="1" x14ac:dyDescent="0.35">
      <c r="A26" s="724" t="s">
        <v>1716</v>
      </c>
      <c r="B26" s="171">
        <v>50505</v>
      </c>
      <c r="C26" s="711"/>
      <c r="D26" s="55"/>
      <c r="E26" s="56"/>
      <c r="M26" s="725" t="s">
        <v>1716</v>
      </c>
      <c r="N26" s="725">
        <v>50505</v>
      </c>
      <c r="O26" s="729" t="b">
        <f t="shared" si="0"/>
        <v>1</v>
      </c>
      <c r="P26" s="729" t="b">
        <f t="shared" si="1"/>
        <v>1</v>
      </c>
      <c r="Q26" s="725" t="s">
        <v>1716</v>
      </c>
      <c r="R26" s="725">
        <v>50505</v>
      </c>
      <c r="S26" s="729" t="b">
        <f t="shared" si="2"/>
        <v>1</v>
      </c>
      <c r="T26" s="729" t="b">
        <f t="shared" si="3"/>
        <v>1</v>
      </c>
    </row>
    <row r="27" spans="1:20" ht="15" thickBot="1" x14ac:dyDescent="0.35">
      <c r="A27" s="724" t="s">
        <v>1717</v>
      </c>
      <c r="B27" s="171">
        <v>50023</v>
      </c>
      <c r="C27" s="711"/>
      <c r="D27" s="55"/>
      <c r="E27" s="56"/>
      <c r="M27" s="725" t="s">
        <v>1717</v>
      </c>
      <c r="N27" s="725">
        <v>50023</v>
      </c>
      <c r="O27" s="729" t="b">
        <f t="shared" si="0"/>
        <v>1</v>
      </c>
      <c r="P27" s="729" t="b">
        <f t="shared" si="1"/>
        <v>1</v>
      </c>
      <c r="Q27" s="725" t="s">
        <v>1717</v>
      </c>
      <c r="R27" s="725">
        <v>50023</v>
      </c>
      <c r="S27" s="729" t="b">
        <f t="shared" si="2"/>
        <v>1</v>
      </c>
      <c r="T27" s="729" t="b">
        <f t="shared" si="3"/>
        <v>1</v>
      </c>
    </row>
    <row r="28" spans="1:20" ht="15" thickBot="1" x14ac:dyDescent="0.35">
      <c r="A28" s="724" t="s">
        <v>935</v>
      </c>
      <c r="B28" s="171">
        <v>50024</v>
      </c>
      <c r="C28" s="711"/>
      <c r="D28" s="55"/>
      <c r="E28" s="56"/>
      <c r="M28" s="725" t="s">
        <v>935</v>
      </c>
      <c r="N28" s="725">
        <v>50024</v>
      </c>
      <c r="O28" s="729" t="b">
        <f t="shared" si="0"/>
        <v>1</v>
      </c>
      <c r="P28" s="729" t="b">
        <f t="shared" si="1"/>
        <v>1</v>
      </c>
      <c r="Q28" s="725" t="s">
        <v>935</v>
      </c>
      <c r="R28" s="725">
        <v>50024</v>
      </c>
      <c r="S28" s="729" t="b">
        <f t="shared" si="2"/>
        <v>1</v>
      </c>
      <c r="T28" s="729" t="b">
        <f t="shared" si="3"/>
        <v>1</v>
      </c>
    </row>
    <row r="29" spans="1:20" ht="15" thickBot="1" x14ac:dyDescent="0.35">
      <c r="A29" s="724" t="s">
        <v>1718</v>
      </c>
      <c r="B29" s="171">
        <v>50026</v>
      </c>
      <c r="C29" s="711"/>
      <c r="D29" s="55"/>
      <c r="E29" s="56"/>
      <c r="M29" s="725" t="s">
        <v>1718</v>
      </c>
      <c r="N29" s="725">
        <v>50026</v>
      </c>
      <c r="O29" s="729" t="b">
        <f t="shared" si="0"/>
        <v>1</v>
      </c>
      <c r="P29" s="729" t="b">
        <f t="shared" si="1"/>
        <v>1</v>
      </c>
      <c r="Q29" s="725" t="s">
        <v>1718</v>
      </c>
      <c r="R29" s="725">
        <v>50026</v>
      </c>
      <c r="S29" s="729" t="b">
        <f t="shared" si="2"/>
        <v>1</v>
      </c>
      <c r="T29" s="729" t="b">
        <f t="shared" si="3"/>
        <v>1</v>
      </c>
    </row>
    <row r="30" spans="1:20" ht="15" thickBot="1" x14ac:dyDescent="0.35">
      <c r="A30" s="724" t="s">
        <v>1719</v>
      </c>
      <c r="B30" s="171">
        <v>50027</v>
      </c>
      <c r="C30" s="711"/>
      <c r="D30" s="55"/>
      <c r="E30" s="56"/>
      <c r="M30" s="725" t="s">
        <v>1719</v>
      </c>
      <c r="N30" s="725">
        <v>50027</v>
      </c>
      <c r="O30" s="729" t="b">
        <f t="shared" si="0"/>
        <v>1</v>
      </c>
      <c r="P30" s="729" t="b">
        <f t="shared" si="1"/>
        <v>1</v>
      </c>
      <c r="Q30" s="725" t="s">
        <v>1719</v>
      </c>
      <c r="R30" s="725">
        <v>50027</v>
      </c>
      <c r="S30" s="729" t="b">
        <f t="shared" si="2"/>
        <v>1</v>
      </c>
      <c r="T30" s="729" t="b">
        <f t="shared" si="3"/>
        <v>1</v>
      </c>
    </row>
    <row r="31" spans="1:20" ht="15" thickBot="1" x14ac:dyDescent="0.35">
      <c r="A31" s="724" t="s">
        <v>1720</v>
      </c>
      <c r="B31" s="171">
        <v>50028</v>
      </c>
      <c r="C31" s="711"/>
      <c r="D31" s="55"/>
      <c r="E31" s="56"/>
      <c r="M31" s="725" t="s">
        <v>1720</v>
      </c>
      <c r="N31" s="725">
        <v>50028</v>
      </c>
      <c r="O31" s="729" t="b">
        <f t="shared" si="0"/>
        <v>1</v>
      </c>
      <c r="P31" s="729" t="b">
        <f t="shared" si="1"/>
        <v>1</v>
      </c>
      <c r="Q31" s="725" t="s">
        <v>1720</v>
      </c>
      <c r="R31" s="725">
        <v>50028</v>
      </c>
      <c r="S31" s="729" t="b">
        <f t="shared" si="2"/>
        <v>1</v>
      </c>
      <c r="T31" s="729" t="b">
        <f t="shared" si="3"/>
        <v>1</v>
      </c>
    </row>
    <row r="32" spans="1:20" ht="15" thickBot="1" x14ac:dyDescent="0.35">
      <c r="A32" s="724" t="s">
        <v>1721</v>
      </c>
      <c r="B32" s="171">
        <v>50491</v>
      </c>
      <c r="C32" s="711"/>
      <c r="D32" s="55"/>
      <c r="E32" s="56"/>
      <c r="M32" s="725" t="s">
        <v>1721</v>
      </c>
      <c r="N32" s="725">
        <v>50491</v>
      </c>
      <c r="O32" s="729" t="b">
        <f t="shared" si="0"/>
        <v>1</v>
      </c>
      <c r="P32" s="729" t="b">
        <f t="shared" si="1"/>
        <v>1</v>
      </c>
      <c r="Q32" s="725" t="s">
        <v>1721</v>
      </c>
      <c r="R32" s="725">
        <v>50491</v>
      </c>
      <c r="S32" s="729" t="b">
        <f t="shared" si="2"/>
        <v>1</v>
      </c>
      <c r="T32" s="729" t="b">
        <f t="shared" si="3"/>
        <v>1</v>
      </c>
    </row>
    <row r="33" spans="1:20" ht="15" thickBot="1" x14ac:dyDescent="0.35">
      <c r="A33" s="724" t="s">
        <v>936</v>
      </c>
      <c r="B33" s="171">
        <v>50029</v>
      </c>
      <c r="C33" s="711"/>
      <c r="D33" s="55"/>
      <c r="E33" s="56"/>
      <c r="M33" s="725" t="s">
        <v>936</v>
      </c>
      <c r="N33" s="725">
        <v>50029</v>
      </c>
      <c r="O33" s="729" t="b">
        <f t="shared" si="0"/>
        <v>1</v>
      </c>
      <c r="P33" s="729" t="b">
        <f t="shared" si="1"/>
        <v>1</v>
      </c>
      <c r="Q33" s="725" t="s">
        <v>936</v>
      </c>
      <c r="R33" s="725">
        <v>50029</v>
      </c>
      <c r="S33" s="729" t="b">
        <f t="shared" si="2"/>
        <v>1</v>
      </c>
      <c r="T33" s="729" t="b">
        <f t="shared" si="3"/>
        <v>1</v>
      </c>
    </row>
    <row r="34" spans="1:20" ht="15" thickBot="1" x14ac:dyDescent="0.35">
      <c r="A34" s="724" t="s">
        <v>1601</v>
      </c>
      <c r="B34" s="171">
        <v>50031</v>
      </c>
      <c r="C34" s="711"/>
      <c r="D34" s="55"/>
      <c r="E34" s="56"/>
      <c r="M34" s="725" t="s">
        <v>1601</v>
      </c>
      <c r="N34" s="725">
        <v>50031</v>
      </c>
      <c r="O34" s="729" t="b">
        <f t="shared" si="0"/>
        <v>1</v>
      </c>
      <c r="P34" s="729" t="b">
        <f t="shared" si="1"/>
        <v>1</v>
      </c>
      <c r="Q34" s="725" t="s">
        <v>1601</v>
      </c>
      <c r="R34" s="725">
        <v>50031</v>
      </c>
      <c r="S34" s="729" t="b">
        <f t="shared" si="2"/>
        <v>1</v>
      </c>
      <c r="T34" s="729" t="b">
        <f t="shared" si="3"/>
        <v>1</v>
      </c>
    </row>
    <row r="35" spans="1:20" ht="15" thickBot="1" x14ac:dyDescent="0.35">
      <c r="A35" s="724" t="s">
        <v>937</v>
      </c>
      <c r="B35" s="171">
        <v>50469</v>
      </c>
      <c r="C35" s="711"/>
      <c r="D35" s="55"/>
      <c r="E35" s="56"/>
      <c r="M35" s="725" t="e">
        <v>#N/A</v>
      </c>
      <c r="N35" s="725">
        <v>0</v>
      </c>
      <c r="O35" s="729" t="e">
        <f t="shared" si="0"/>
        <v>#N/A</v>
      </c>
      <c r="P35" s="729" t="b">
        <f t="shared" si="1"/>
        <v>0</v>
      </c>
      <c r="Q35" s="725" t="s">
        <v>937</v>
      </c>
      <c r="R35" s="725">
        <v>50469</v>
      </c>
      <c r="S35" s="729" t="b">
        <f t="shared" si="2"/>
        <v>1</v>
      </c>
      <c r="T35" s="729" t="b">
        <f t="shared" si="3"/>
        <v>1</v>
      </c>
    </row>
    <row r="36" spans="1:20" ht="15" thickBot="1" x14ac:dyDescent="0.35">
      <c r="A36" s="724" t="s">
        <v>1722</v>
      </c>
      <c r="B36" s="171">
        <v>50459</v>
      </c>
      <c r="C36" s="711"/>
      <c r="D36" s="55"/>
      <c r="E36" s="56"/>
      <c r="M36" s="725" t="s">
        <v>1722</v>
      </c>
      <c r="N36" s="725">
        <v>50459</v>
      </c>
      <c r="O36" s="729" t="b">
        <f t="shared" si="0"/>
        <v>1</v>
      </c>
      <c r="P36" s="729" t="b">
        <f t="shared" si="1"/>
        <v>1</v>
      </c>
      <c r="Q36" s="725" t="s">
        <v>1722</v>
      </c>
      <c r="R36" s="725">
        <v>50459</v>
      </c>
      <c r="S36" s="729" t="b">
        <f t="shared" si="2"/>
        <v>1</v>
      </c>
      <c r="T36" s="729" t="b">
        <f t="shared" si="3"/>
        <v>1</v>
      </c>
    </row>
    <row r="37" spans="1:20" ht="15" thickBot="1" x14ac:dyDescent="0.35">
      <c r="A37" s="724" t="s">
        <v>1723</v>
      </c>
      <c r="B37" s="171">
        <v>50032</v>
      </c>
      <c r="C37" s="711"/>
      <c r="D37" s="55"/>
      <c r="E37" s="56"/>
      <c r="M37" s="725" t="s">
        <v>1723</v>
      </c>
      <c r="N37" s="725">
        <v>50032</v>
      </c>
      <c r="O37" s="729" t="b">
        <f t="shared" si="0"/>
        <v>1</v>
      </c>
      <c r="P37" s="729" t="b">
        <f t="shared" si="1"/>
        <v>1</v>
      </c>
      <c r="Q37" s="725" t="s">
        <v>1723</v>
      </c>
      <c r="R37" s="725">
        <v>50032</v>
      </c>
      <c r="S37" s="729" t="b">
        <f t="shared" si="2"/>
        <v>1</v>
      </c>
      <c r="T37" s="729" t="b">
        <f t="shared" si="3"/>
        <v>1</v>
      </c>
    </row>
    <row r="38" spans="1:20" ht="15" thickBot="1" x14ac:dyDescent="0.35">
      <c r="A38" s="724" t="s">
        <v>1724</v>
      </c>
      <c r="B38" s="171">
        <v>50556</v>
      </c>
      <c r="C38" s="711"/>
      <c r="D38" s="55"/>
      <c r="E38" s="56"/>
      <c r="M38" s="725" t="s">
        <v>1724</v>
      </c>
      <c r="N38" s="725">
        <v>50556</v>
      </c>
      <c r="O38" s="729" t="b">
        <f t="shared" si="0"/>
        <v>1</v>
      </c>
      <c r="P38" s="729" t="b">
        <f t="shared" si="1"/>
        <v>1</v>
      </c>
      <c r="Q38" s="725" t="s">
        <v>1724</v>
      </c>
      <c r="R38" s="725">
        <v>50556</v>
      </c>
      <c r="S38" s="729" t="b">
        <f t="shared" si="2"/>
        <v>1</v>
      </c>
      <c r="T38" s="729" t="b">
        <f t="shared" si="3"/>
        <v>1</v>
      </c>
    </row>
    <row r="39" spans="1:20" ht="15" thickBot="1" x14ac:dyDescent="0.35">
      <c r="A39" s="724" t="s">
        <v>1725</v>
      </c>
      <c r="B39" s="171">
        <v>50033</v>
      </c>
      <c r="C39" s="711"/>
      <c r="D39" s="55"/>
      <c r="E39" s="56"/>
      <c r="M39" s="725" t="s">
        <v>1725</v>
      </c>
      <c r="N39" s="725">
        <v>50033</v>
      </c>
      <c r="O39" s="729" t="b">
        <f t="shared" si="0"/>
        <v>1</v>
      </c>
      <c r="P39" s="729" t="b">
        <f t="shared" si="1"/>
        <v>1</v>
      </c>
      <c r="Q39" s="725" t="s">
        <v>1725</v>
      </c>
      <c r="R39" s="725">
        <v>50033</v>
      </c>
      <c r="S39" s="729" t="b">
        <f t="shared" si="2"/>
        <v>1</v>
      </c>
      <c r="T39" s="729" t="b">
        <f t="shared" si="3"/>
        <v>1</v>
      </c>
    </row>
    <row r="40" spans="1:20" ht="15" thickBot="1" x14ac:dyDescent="0.35">
      <c r="A40" s="724" t="s">
        <v>1726</v>
      </c>
      <c r="B40" s="171">
        <v>50030</v>
      </c>
      <c r="C40" s="711"/>
      <c r="D40" s="55"/>
      <c r="E40" s="56"/>
      <c r="M40" s="725" t="s">
        <v>1726</v>
      </c>
      <c r="N40" s="725">
        <v>50030</v>
      </c>
      <c r="O40" s="729" t="b">
        <f t="shared" si="0"/>
        <v>1</v>
      </c>
      <c r="P40" s="729" t="b">
        <f t="shared" si="1"/>
        <v>1</v>
      </c>
      <c r="Q40" s="725" t="s">
        <v>1726</v>
      </c>
      <c r="R40" s="725">
        <v>50030</v>
      </c>
      <c r="S40" s="729" t="b">
        <f t="shared" si="2"/>
        <v>1</v>
      </c>
      <c r="T40" s="729" t="b">
        <f t="shared" si="3"/>
        <v>1</v>
      </c>
    </row>
    <row r="41" spans="1:20" ht="15" thickBot="1" x14ac:dyDescent="0.35">
      <c r="A41" s="724" t="s">
        <v>939</v>
      </c>
      <c r="B41" s="171">
        <v>50034</v>
      </c>
      <c r="C41" s="711"/>
      <c r="D41" s="55"/>
      <c r="E41" s="56"/>
      <c r="M41" s="725" t="s">
        <v>939</v>
      </c>
      <c r="N41" s="725">
        <v>50034</v>
      </c>
      <c r="O41" s="729" t="b">
        <f t="shared" si="0"/>
        <v>1</v>
      </c>
      <c r="P41" s="729" t="b">
        <f t="shared" si="1"/>
        <v>1</v>
      </c>
      <c r="Q41" s="725" t="s">
        <v>939</v>
      </c>
      <c r="R41" s="725">
        <v>50034</v>
      </c>
      <c r="S41" s="729" t="b">
        <f t="shared" si="2"/>
        <v>1</v>
      </c>
      <c r="T41" s="729" t="b">
        <f t="shared" si="3"/>
        <v>1</v>
      </c>
    </row>
    <row r="42" spans="1:20" ht="15" thickBot="1" x14ac:dyDescent="0.35">
      <c r="A42" s="724" t="s">
        <v>1727</v>
      </c>
      <c r="B42" s="171">
        <v>50035</v>
      </c>
      <c r="C42" s="711"/>
      <c r="D42" s="55"/>
      <c r="E42" s="56"/>
      <c r="M42" s="725" t="s">
        <v>1727</v>
      </c>
      <c r="N42" s="725">
        <v>50035</v>
      </c>
      <c r="O42" s="729" t="b">
        <f t="shared" si="0"/>
        <v>1</v>
      </c>
      <c r="P42" s="729" t="b">
        <f t="shared" si="1"/>
        <v>1</v>
      </c>
      <c r="Q42" s="725" t="s">
        <v>1727</v>
      </c>
      <c r="R42" s="725">
        <v>50035</v>
      </c>
      <c r="S42" s="729" t="b">
        <f t="shared" si="2"/>
        <v>1</v>
      </c>
      <c r="T42" s="729" t="b">
        <f t="shared" si="3"/>
        <v>1</v>
      </c>
    </row>
    <row r="43" spans="1:20" ht="15" thickBot="1" x14ac:dyDescent="0.35">
      <c r="A43" s="724" t="s">
        <v>1728</v>
      </c>
      <c r="B43" s="171">
        <v>50036</v>
      </c>
      <c r="C43" s="711"/>
      <c r="D43" s="55"/>
      <c r="E43" s="56"/>
      <c r="M43" s="725" t="s">
        <v>1728</v>
      </c>
      <c r="N43" s="725">
        <v>50036</v>
      </c>
      <c r="O43" s="729" t="b">
        <f t="shared" si="0"/>
        <v>1</v>
      </c>
      <c r="P43" s="729" t="b">
        <f t="shared" si="1"/>
        <v>1</v>
      </c>
      <c r="Q43" s="725" t="s">
        <v>1728</v>
      </c>
      <c r="R43" s="725">
        <v>50036</v>
      </c>
      <c r="S43" s="729" t="b">
        <f t="shared" si="2"/>
        <v>1</v>
      </c>
      <c r="T43" s="729" t="b">
        <f t="shared" si="3"/>
        <v>1</v>
      </c>
    </row>
    <row r="44" spans="1:20" ht="15" thickBot="1" x14ac:dyDescent="0.35">
      <c r="A44" s="724" t="s">
        <v>1729</v>
      </c>
      <c r="B44" s="171">
        <v>50037</v>
      </c>
      <c r="C44" s="711"/>
      <c r="D44" s="55"/>
      <c r="E44" s="56"/>
      <c r="M44" s="725" t="s">
        <v>1729</v>
      </c>
      <c r="N44" s="725">
        <v>50037</v>
      </c>
      <c r="O44" s="729" t="b">
        <f t="shared" si="0"/>
        <v>1</v>
      </c>
      <c r="P44" s="729" t="b">
        <f t="shared" si="1"/>
        <v>1</v>
      </c>
      <c r="Q44" s="725" t="s">
        <v>1729</v>
      </c>
      <c r="R44" s="725">
        <v>50037</v>
      </c>
      <c r="S44" s="729" t="b">
        <f t="shared" si="2"/>
        <v>1</v>
      </c>
      <c r="T44" s="729" t="b">
        <f t="shared" si="3"/>
        <v>1</v>
      </c>
    </row>
    <row r="45" spans="1:20" ht="15" thickBot="1" x14ac:dyDescent="0.35">
      <c r="A45" s="724" t="s">
        <v>940</v>
      </c>
      <c r="B45" s="171">
        <v>50038</v>
      </c>
      <c r="C45" s="711"/>
      <c r="D45" s="55"/>
      <c r="E45" s="56"/>
      <c r="M45" s="725" t="e">
        <v>#N/A</v>
      </c>
      <c r="N45" s="725">
        <v>0</v>
      </c>
      <c r="O45" s="729" t="e">
        <f t="shared" si="0"/>
        <v>#N/A</v>
      </c>
      <c r="P45" s="729" t="b">
        <f t="shared" si="1"/>
        <v>0</v>
      </c>
      <c r="Q45" s="725" t="s">
        <v>940</v>
      </c>
      <c r="R45" s="725">
        <v>50038</v>
      </c>
      <c r="S45" s="729" t="b">
        <f t="shared" si="2"/>
        <v>1</v>
      </c>
      <c r="T45" s="729" t="b">
        <f t="shared" si="3"/>
        <v>1</v>
      </c>
    </row>
    <row r="46" spans="1:20" ht="15" thickBot="1" x14ac:dyDescent="0.35">
      <c r="A46" s="724" t="s">
        <v>1730</v>
      </c>
      <c r="B46" s="171">
        <v>50039</v>
      </c>
      <c r="C46" s="711"/>
      <c r="D46" s="55"/>
      <c r="E46" s="56"/>
      <c r="M46" s="725" t="s">
        <v>1730</v>
      </c>
      <c r="N46" s="725">
        <v>50039</v>
      </c>
      <c r="O46" s="729" t="b">
        <f t="shared" si="0"/>
        <v>1</v>
      </c>
      <c r="P46" s="729" t="b">
        <f t="shared" si="1"/>
        <v>1</v>
      </c>
      <c r="Q46" s="725" t="s">
        <v>1730</v>
      </c>
      <c r="R46" s="725">
        <v>50039</v>
      </c>
      <c r="S46" s="729" t="b">
        <f t="shared" si="2"/>
        <v>1</v>
      </c>
      <c r="T46" s="729" t="b">
        <f t="shared" si="3"/>
        <v>1</v>
      </c>
    </row>
    <row r="47" spans="1:20" ht="15" thickBot="1" x14ac:dyDescent="0.35">
      <c r="A47" s="724" t="s">
        <v>1731</v>
      </c>
      <c r="B47" s="171">
        <v>50040</v>
      </c>
      <c r="C47" s="711"/>
      <c r="D47" s="55"/>
      <c r="E47" s="56"/>
      <c r="M47" s="725" t="s">
        <v>1731</v>
      </c>
      <c r="N47" s="725">
        <v>50040</v>
      </c>
      <c r="O47" s="729" t="b">
        <f t="shared" si="0"/>
        <v>1</v>
      </c>
      <c r="P47" s="729" t="b">
        <f t="shared" si="1"/>
        <v>1</v>
      </c>
      <c r="Q47" s="725" t="s">
        <v>1731</v>
      </c>
      <c r="R47" s="725">
        <v>50040</v>
      </c>
      <c r="S47" s="729" t="b">
        <f t="shared" si="2"/>
        <v>1</v>
      </c>
      <c r="T47" s="729" t="b">
        <f t="shared" si="3"/>
        <v>1</v>
      </c>
    </row>
    <row r="48" spans="1:20" ht="15" thickBot="1" x14ac:dyDescent="0.35">
      <c r="A48" s="724" t="s">
        <v>1732</v>
      </c>
      <c r="B48" s="171">
        <v>50041</v>
      </c>
      <c r="C48" s="711"/>
      <c r="D48" s="55"/>
      <c r="E48" s="56"/>
      <c r="M48" s="725" t="s">
        <v>1732</v>
      </c>
      <c r="N48" s="725">
        <v>50041</v>
      </c>
      <c r="O48" s="729" t="b">
        <f t="shared" si="0"/>
        <v>1</v>
      </c>
      <c r="P48" s="729" t="b">
        <f t="shared" si="1"/>
        <v>1</v>
      </c>
      <c r="Q48" s="725" t="s">
        <v>1732</v>
      </c>
      <c r="R48" s="725">
        <v>50041</v>
      </c>
      <c r="S48" s="729" t="b">
        <f t="shared" si="2"/>
        <v>1</v>
      </c>
      <c r="T48" s="729" t="b">
        <f t="shared" si="3"/>
        <v>1</v>
      </c>
    </row>
    <row r="49" spans="1:20" ht="15" thickBot="1" x14ac:dyDescent="0.35">
      <c r="A49" s="724" t="s">
        <v>941</v>
      </c>
      <c r="B49" s="171">
        <v>50506</v>
      </c>
      <c r="C49" s="711"/>
      <c r="D49" s="55"/>
      <c r="E49" s="56"/>
      <c r="M49" s="725" t="s">
        <v>941</v>
      </c>
      <c r="N49" s="725">
        <v>50506</v>
      </c>
      <c r="O49" s="729" t="b">
        <f t="shared" si="0"/>
        <v>1</v>
      </c>
      <c r="P49" s="729" t="b">
        <f t="shared" si="1"/>
        <v>1</v>
      </c>
      <c r="Q49" s="725" t="s">
        <v>941</v>
      </c>
      <c r="R49" s="725">
        <v>50506</v>
      </c>
      <c r="S49" s="729" t="b">
        <f t="shared" si="2"/>
        <v>1</v>
      </c>
      <c r="T49" s="729" t="b">
        <f t="shared" si="3"/>
        <v>1</v>
      </c>
    </row>
    <row r="50" spans="1:20" ht="15" thickBot="1" x14ac:dyDescent="0.35">
      <c r="A50" s="724" t="s">
        <v>1733</v>
      </c>
      <c r="B50" s="171">
        <v>50507</v>
      </c>
      <c r="C50" s="711"/>
      <c r="D50" s="55"/>
      <c r="E50" s="56"/>
      <c r="M50" s="725" t="s">
        <v>1733</v>
      </c>
      <c r="N50" s="725">
        <v>50507</v>
      </c>
      <c r="O50" s="729" t="b">
        <f t="shared" si="0"/>
        <v>1</v>
      </c>
      <c r="P50" s="729" t="b">
        <f t="shared" si="1"/>
        <v>1</v>
      </c>
      <c r="Q50" s="725" t="s">
        <v>1733</v>
      </c>
      <c r="R50" s="725">
        <v>50507</v>
      </c>
      <c r="S50" s="729" t="b">
        <f t="shared" si="2"/>
        <v>1</v>
      </c>
      <c r="T50" s="729" t="b">
        <f t="shared" si="3"/>
        <v>1</v>
      </c>
    </row>
    <row r="51" spans="1:20" ht="15" thickBot="1" x14ac:dyDescent="0.35">
      <c r="A51" s="724" t="s">
        <v>1734</v>
      </c>
      <c r="B51" s="171">
        <v>50043</v>
      </c>
      <c r="C51" s="711"/>
      <c r="D51" s="55"/>
      <c r="E51" s="56"/>
      <c r="M51" s="725" t="s">
        <v>1734</v>
      </c>
      <c r="N51" s="725">
        <v>50043</v>
      </c>
      <c r="O51" s="729" t="b">
        <f t="shared" si="0"/>
        <v>1</v>
      </c>
      <c r="P51" s="729" t="b">
        <f t="shared" si="1"/>
        <v>1</v>
      </c>
      <c r="Q51" s="725" t="s">
        <v>1734</v>
      </c>
      <c r="R51" s="725">
        <v>50043</v>
      </c>
      <c r="S51" s="729" t="b">
        <f t="shared" si="2"/>
        <v>1</v>
      </c>
      <c r="T51" s="729" t="b">
        <f t="shared" si="3"/>
        <v>1</v>
      </c>
    </row>
    <row r="52" spans="1:20" ht="15" thickBot="1" x14ac:dyDescent="0.35">
      <c r="A52" s="724" t="s">
        <v>1735</v>
      </c>
      <c r="B52" s="171">
        <v>50042</v>
      </c>
      <c r="C52" s="711"/>
      <c r="D52" s="55"/>
      <c r="E52" s="56"/>
      <c r="M52" s="725" t="s">
        <v>1735</v>
      </c>
      <c r="N52" s="725">
        <v>50042</v>
      </c>
      <c r="O52" s="729" t="b">
        <f t="shared" si="0"/>
        <v>1</v>
      </c>
      <c r="P52" s="729" t="b">
        <f t="shared" si="1"/>
        <v>1</v>
      </c>
      <c r="Q52" s="725" t="s">
        <v>1735</v>
      </c>
      <c r="R52" s="725">
        <v>50042</v>
      </c>
      <c r="S52" s="729" t="b">
        <f t="shared" si="2"/>
        <v>1</v>
      </c>
      <c r="T52" s="729" t="b">
        <f t="shared" si="3"/>
        <v>1</v>
      </c>
    </row>
    <row r="53" spans="1:20" ht="15" thickBot="1" x14ac:dyDescent="0.35">
      <c r="A53" s="724" t="s">
        <v>1736</v>
      </c>
      <c r="B53" s="171">
        <v>50044</v>
      </c>
      <c r="C53" s="711"/>
      <c r="D53" s="55"/>
      <c r="E53" s="56"/>
      <c r="M53" s="725" t="s">
        <v>1736</v>
      </c>
      <c r="N53" s="725">
        <v>50044</v>
      </c>
      <c r="O53" s="729" t="b">
        <f t="shared" si="0"/>
        <v>1</v>
      </c>
      <c r="P53" s="729" t="b">
        <f t="shared" si="1"/>
        <v>1</v>
      </c>
      <c r="Q53" s="725" t="s">
        <v>1736</v>
      </c>
      <c r="R53" s="725">
        <v>50044</v>
      </c>
      <c r="S53" s="729" t="b">
        <f t="shared" si="2"/>
        <v>1</v>
      </c>
      <c r="T53" s="729" t="b">
        <f t="shared" si="3"/>
        <v>1</v>
      </c>
    </row>
    <row r="54" spans="1:20" ht="15" thickBot="1" x14ac:dyDescent="0.35">
      <c r="A54" s="724" t="s">
        <v>942</v>
      </c>
      <c r="B54" s="171">
        <v>50045</v>
      </c>
      <c r="C54" s="711"/>
      <c r="D54" s="55"/>
      <c r="E54" s="56"/>
      <c r="M54" s="725" t="s">
        <v>942</v>
      </c>
      <c r="N54" s="725">
        <v>50045</v>
      </c>
      <c r="O54" s="729" t="b">
        <f t="shared" si="0"/>
        <v>1</v>
      </c>
      <c r="P54" s="729" t="b">
        <f t="shared" si="1"/>
        <v>1</v>
      </c>
      <c r="Q54" s="725" t="s">
        <v>942</v>
      </c>
      <c r="R54" s="725">
        <v>50045</v>
      </c>
      <c r="S54" s="729" t="b">
        <f t="shared" si="2"/>
        <v>1</v>
      </c>
      <c r="T54" s="729" t="b">
        <f t="shared" si="3"/>
        <v>1</v>
      </c>
    </row>
    <row r="55" spans="1:20" ht="15" thickBot="1" x14ac:dyDescent="0.35">
      <c r="A55" s="724" t="s">
        <v>1737</v>
      </c>
      <c r="B55" s="171">
        <v>50046</v>
      </c>
      <c r="C55" s="711"/>
      <c r="D55" s="55"/>
      <c r="E55" s="56"/>
      <c r="M55" s="725" t="s">
        <v>1737</v>
      </c>
      <c r="N55" s="725">
        <v>50046</v>
      </c>
      <c r="O55" s="729" t="b">
        <f t="shared" si="0"/>
        <v>1</v>
      </c>
      <c r="P55" s="729" t="b">
        <f t="shared" si="1"/>
        <v>1</v>
      </c>
      <c r="Q55" s="725" t="s">
        <v>1737</v>
      </c>
      <c r="R55" s="725">
        <v>50046</v>
      </c>
      <c r="S55" s="729" t="b">
        <f t="shared" si="2"/>
        <v>1</v>
      </c>
      <c r="T55" s="729" t="b">
        <f t="shared" si="3"/>
        <v>1</v>
      </c>
    </row>
    <row r="56" spans="1:20" ht="15" thickBot="1" x14ac:dyDescent="0.35">
      <c r="A56" s="724" t="s">
        <v>1738</v>
      </c>
      <c r="B56" s="171">
        <v>50047</v>
      </c>
      <c r="C56" s="711"/>
      <c r="D56" s="55"/>
      <c r="E56" s="56"/>
      <c r="M56" s="725" t="s">
        <v>1738</v>
      </c>
      <c r="N56" s="725">
        <v>50047</v>
      </c>
      <c r="O56" s="729" t="b">
        <f t="shared" si="0"/>
        <v>1</v>
      </c>
      <c r="P56" s="729" t="b">
        <f t="shared" si="1"/>
        <v>1</v>
      </c>
      <c r="Q56" s="725" t="s">
        <v>1738</v>
      </c>
      <c r="R56" s="725">
        <v>50047</v>
      </c>
      <c r="S56" s="729" t="b">
        <f t="shared" si="2"/>
        <v>1</v>
      </c>
      <c r="T56" s="729" t="b">
        <f t="shared" si="3"/>
        <v>1</v>
      </c>
    </row>
    <row r="57" spans="1:20" ht="15" thickBot="1" x14ac:dyDescent="0.35">
      <c r="A57" s="724" t="s">
        <v>1739</v>
      </c>
      <c r="B57" s="171">
        <v>50048</v>
      </c>
      <c r="C57" s="711"/>
      <c r="D57" s="55"/>
      <c r="E57" s="56"/>
      <c r="M57" s="725" t="s">
        <v>1739</v>
      </c>
      <c r="N57" s="725">
        <v>50048</v>
      </c>
      <c r="O57" s="729" t="b">
        <f t="shared" si="0"/>
        <v>1</v>
      </c>
      <c r="P57" s="729" t="b">
        <f t="shared" si="1"/>
        <v>1</v>
      </c>
      <c r="Q57" s="725" t="s">
        <v>1739</v>
      </c>
      <c r="R57" s="725">
        <v>50048</v>
      </c>
      <c r="S57" s="729" t="b">
        <f t="shared" si="2"/>
        <v>1</v>
      </c>
      <c r="T57" s="729" t="b">
        <f t="shared" si="3"/>
        <v>1</v>
      </c>
    </row>
    <row r="58" spans="1:20" ht="15" thickBot="1" x14ac:dyDescent="0.35">
      <c r="A58" s="724" t="s">
        <v>943</v>
      </c>
      <c r="B58" s="171">
        <v>50049</v>
      </c>
      <c r="C58" s="711"/>
      <c r="D58" s="55"/>
      <c r="E58" s="56"/>
      <c r="M58" s="725" t="s">
        <v>943</v>
      </c>
      <c r="N58" s="725">
        <v>50049</v>
      </c>
      <c r="O58" s="729" t="b">
        <f t="shared" si="0"/>
        <v>1</v>
      </c>
      <c r="P58" s="729" t="b">
        <f t="shared" si="1"/>
        <v>1</v>
      </c>
      <c r="Q58" s="725" t="s">
        <v>943</v>
      </c>
      <c r="R58" s="725">
        <v>50049</v>
      </c>
      <c r="S58" s="729" t="b">
        <f t="shared" si="2"/>
        <v>1</v>
      </c>
      <c r="T58" s="729" t="b">
        <f t="shared" si="3"/>
        <v>1</v>
      </c>
    </row>
    <row r="59" spans="1:20" ht="15" thickBot="1" x14ac:dyDescent="0.35">
      <c r="A59" s="724" t="s">
        <v>1740</v>
      </c>
      <c r="B59" s="171">
        <v>50050</v>
      </c>
      <c r="C59" s="711"/>
      <c r="D59" s="55"/>
      <c r="E59" s="56"/>
      <c r="M59" s="725" t="s">
        <v>1740</v>
      </c>
      <c r="N59" s="725">
        <v>50050</v>
      </c>
      <c r="O59" s="729" t="b">
        <f t="shared" si="0"/>
        <v>1</v>
      </c>
      <c r="P59" s="729" t="b">
        <f t="shared" si="1"/>
        <v>1</v>
      </c>
      <c r="Q59" s="725" t="s">
        <v>1740</v>
      </c>
      <c r="R59" s="725">
        <v>50050</v>
      </c>
      <c r="S59" s="729" t="b">
        <f t="shared" si="2"/>
        <v>1</v>
      </c>
      <c r="T59" s="729" t="b">
        <f t="shared" si="3"/>
        <v>1</v>
      </c>
    </row>
    <row r="60" spans="1:20" ht="15" thickBot="1" x14ac:dyDescent="0.35">
      <c r="A60" s="724" t="s">
        <v>1741</v>
      </c>
      <c r="B60" s="171">
        <v>50051</v>
      </c>
      <c r="C60" s="711"/>
      <c r="D60" s="55"/>
      <c r="E60" s="56"/>
      <c r="M60" s="725" t="s">
        <v>1741</v>
      </c>
      <c r="N60" s="725">
        <v>50051</v>
      </c>
      <c r="O60" s="729" t="b">
        <f t="shared" si="0"/>
        <v>1</v>
      </c>
      <c r="P60" s="729" t="b">
        <f t="shared" si="1"/>
        <v>1</v>
      </c>
      <c r="Q60" s="725" t="s">
        <v>1741</v>
      </c>
      <c r="R60" s="725">
        <v>50051</v>
      </c>
      <c r="S60" s="729" t="b">
        <f t="shared" si="2"/>
        <v>1</v>
      </c>
      <c r="T60" s="729" t="b">
        <f t="shared" si="3"/>
        <v>1</v>
      </c>
    </row>
    <row r="61" spans="1:20" ht="15" thickBot="1" x14ac:dyDescent="0.35">
      <c r="A61" s="724" t="s">
        <v>1742</v>
      </c>
      <c r="B61" s="171">
        <v>50052</v>
      </c>
      <c r="C61" s="711"/>
      <c r="D61" s="55"/>
      <c r="E61" s="56"/>
      <c r="M61" s="725" t="s">
        <v>1742</v>
      </c>
      <c r="N61" s="725">
        <v>50052</v>
      </c>
      <c r="O61" s="729" t="b">
        <f t="shared" si="0"/>
        <v>1</v>
      </c>
      <c r="P61" s="729" t="b">
        <f t="shared" si="1"/>
        <v>1</v>
      </c>
      <c r="Q61" s="725" t="s">
        <v>1742</v>
      </c>
      <c r="R61" s="725">
        <v>50052</v>
      </c>
      <c r="S61" s="729" t="b">
        <f t="shared" si="2"/>
        <v>1</v>
      </c>
      <c r="T61" s="729" t="b">
        <f t="shared" si="3"/>
        <v>1</v>
      </c>
    </row>
    <row r="62" spans="1:20" ht="15" thickBot="1" x14ac:dyDescent="0.35">
      <c r="A62" s="724" t="s">
        <v>1743</v>
      </c>
      <c r="B62" s="171">
        <v>50053</v>
      </c>
      <c r="C62" s="711"/>
      <c r="D62" s="55"/>
      <c r="E62" s="56"/>
      <c r="M62" s="725" t="s">
        <v>1743</v>
      </c>
      <c r="N62" s="725">
        <v>50053</v>
      </c>
      <c r="O62" s="729" t="b">
        <f t="shared" si="0"/>
        <v>1</v>
      </c>
      <c r="P62" s="729" t="b">
        <f t="shared" si="1"/>
        <v>1</v>
      </c>
      <c r="Q62" s="725" t="s">
        <v>1743</v>
      </c>
      <c r="R62" s="725">
        <v>50053</v>
      </c>
      <c r="S62" s="729" t="b">
        <f t="shared" si="2"/>
        <v>1</v>
      </c>
      <c r="T62" s="729" t="b">
        <f t="shared" si="3"/>
        <v>1</v>
      </c>
    </row>
    <row r="63" spans="1:20" ht="15" thickBot="1" x14ac:dyDescent="0.35">
      <c r="A63" s="724" t="s">
        <v>1744</v>
      </c>
      <c r="B63" s="171">
        <v>50054</v>
      </c>
      <c r="C63" s="711"/>
      <c r="D63" s="55"/>
      <c r="E63" s="56"/>
      <c r="M63" s="725" t="s">
        <v>1744</v>
      </c>
      <c r="N63" s="725">
        <v>50054</v>
      </c>
      <c r="O63" s="729" t="b">
        <f t="shared" si="0"/>
        <v>1</v>
      </c>
      <c r="P63" s="729" t="b">
        <f t="shared" si="1"/>
        <v>1</v>
      </c>
      <c r="Q63" s="725" t="s">
        <v>1744</v>
      </c>
      <c r="R63" s="725">
        <v>50054</v>
      </c>
      <c r="S63" s="729" t="b">
        <f t="shared" si="2"/>
        <v>1</v>
      </c>
      <c r="T63" s="729" t="b">
        <f t="shared" si="3"/>
        <v>1</v>
      </c>
    </row>
    <row r="64" spans="1:20" ht="15" thickBot="1" x14ac:dyDescent="0.35">
      <c r="A64" s="724" t="s">
        <v>1602</v>
      </c>
      <c r="B64" s="171">
        <v>50055</v>
      </c>
      <c r="C64" s="711"/>
      <c r="D64" s="55"/>
      <c r="E64" s="56"/>
      <c r="M64" s="725" t="s">
        <v>1602</v>
      </c>
      <c r="N64" s="725">
        <v>50055</v>
      </c>
      <c r="O64" s="729" t="b">
        <f t="shared" si="0"/>
        <v>1</v>
      </c>
      <c r="P64" s="729" t="b">
        <f t="shared" si="1"/>
        <v>1</v>
      </c>
      <c r="Q64" s="725" t="s">
        <v>1602</v>
      </c>
      <c r="R64" s="725">
        <v>50055</v>
      </c>
      <c r="S64" s="729" t="b">
        <f t="shared" si="2"/>
        <v>1</v>
      </c>
      <c r="T64" s="729" t="b">
        <f t="shared" si="3"/>
        <v>1</v>
      </c>
    </row>
    <row r="65" spans="1:20" ht="15" thickBot="1" x14ac:dyDescent="0.35">
      <c r="A65" s="724" t="s">
        <v>1745</v>
      </c>
      <c r="B65" s="171">
        <v>50057</v>
      </c>
      <c r="C65" s="711"/>
      <c r="D65" s="55"/>
      <c r="E65" s="56"/>
      <c r="M65" s="725" t="s">
        <v>1745</v>
      </c>
      <c r="N65" s="725">
        <v>50057</v>
      </c>
      <c r="O65" s="729" t="b">
        <f t="shared" si="0"/>
        <v>1</v>
      </c>
      <c r="P65" s="729" t="b">
        <f t="shared" si="1"/>
        <v>1</v>
      </c>
      <c r="Q65" s="725" t="s">
        <v>1745</v>
      </c>
      <c r="R65" s="725">
        <v>50057</v>
      </c>
      <c r="S65" s="729" t="b">
        <f t="shared" si="2"/>
        <v>1</v>
      </c>
      <c r="T65" s="729" t="b">
        <f t="shared" si="3"/>
        <v>1</v>
      </c>
    </row>
    <row r="66" spans="1:20" ht="15" thickBot="1" x14ac:dyDescent="0.35">
      <c r="A66" s="724" t="s">
        <v>1746</v>
      </c>
      <c r="B66" s="171">
        <v>50058</v>
      </c>
      <c r="C66" s="711"/>
      <c r="D66" s="55"/>
      <c r="E66" s="56"/>
      <c r="M66" s="725" t="s">
        <v>1746</v>
      </c>
      <c r="N66" s="725">
        <v>50058</v>
      </c>
      <c r="O66" s="729" t="b">
        <f t="shared" si="0"/>
        <v>1</v>
      </c>
      <c r="P66" s="729" t="b">
        <f t="shared" si="1"/>
        <v>1</v>
      </c>
      <c r="Q66" s="725" t="s">
        <v>1746</v>
      </c>
      <c r="R66" s="725">
        <v>50058</v>
      </c>
      <c r="S66" s="729" t="b">
        <f t="shared" si="2"/>
        <v>1</v>
      </c>
      <c r="T66" s="729" t="b">
        <f t="shared" si="3"/>
        <v>1</v>
      </c>
    </row>
    <row r="67" spans="1:20" ht="15" thickBot="1" x14ac:dyDescent="0.35">
      <c r="A67" s="724" t="s">
        <v>1747</v>
      </c>
      <c r="B67" s="171">
        <v>50059</v>
      </c>
      <c r="C67" s="711"/>
      <c r="D67" s="55"/>
      <c r="E67" s="56"/>
      <c r="M67" s="725" t="s">
        <v>1747</v>
      </c>
      <c r="N67" s="725">
        <v>50059</v>
      </c>
      <c r="O67" s="729" t="b">
        <f t="shared" ref="O67:O68" si="4">EXACT(A67,M67)</f>
        <v>1</v>
      </c>
      <c r="P67" s="729" t="b">
        <f t="shared" ref="P67:P68" si="5">EXACT(B67,N67)</f>
        <v>1</v>
      </c>
      <c r="Q67" s="725" t="s">
        <v>1747</v>
      </c>
      <c r="R67" s="725">
        <v>50059</v>
      </c>
      <c r="S67" s="729" t="b">
        <f t="shared" ref="S67:S68" si="6">EXACT(A67,Q67)</f>
        <v>1</v>
      </c>
      <c r="T67" s="729" t="b">
        <f t="shared" ref="T67:T68" si="7">EXACT(B67,R67)</f>
        <v>1</v>
      </c>
    </row>
    <row r="68" spans="1:20" ht="15" thickBot="1" x14ac:dyDescent="0.35">
      <c r="A68" s="724" t="s">
        <v>1748</v>
      </c>
      <c r="B68" s="171">
        <v>50567</v>
      </c>
      <c r="C68" s="711"/>
      <c r="D68" s="55"/>
      <c r="E68" s="56"/>
      <c r="M68" s="725" t="s">
        <v>1748</v>
      </c>
      <c r="N68" s="725">
        <v>50567</v>
      </c>
      <c r="O68" s="729" t="b">
        <f t="shared" si="4"/>
        <v>1</v>
      </c>
      <c r="P68" s="729" t="b">
        <f t="shared" si="5"/>
        <v>1</v>
      </c>
      <c r="Q68" s="725" t="s">
        <v>1748</v>
      </c>
      <c r="R68" s="725">
        <v>50567</v>
      </c>
      <c r="S68" s="729" t="b">
        <f t="shared" si="6"/>
        <v>1</v>
      </c>
      <c r="T68" s="729" t="b">
        <f t="shared" si="7"/>
        <v>1</v>
      </c>
    </row>
  </sheetData>
  <sheetProtection algorithmName="SHA-512" hashValue="/wUqhS+o1uvC6flJiIW4V7nV/ySVCsw8SGYvgqNxlIxrWn+iXav3BDosE0oMJYkJqrfhIWRHSYcj0oDt2sLnqA==" saltValue="TiQb/4Um95EkYMSIGEoaTw=="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D6BC-D915-4DB1-A21C-7A0CCB10E5C2}">
  <sheetPr codeName="Sheet16">
    <tabColor theme="3" tint="0.79998168889431442"/>
  </sheetPr>
  <dimension ref="A1:H56"/>
  <sheetViews>
    <sheetView workbookViewId="0">
      <selection activeCell="E19" sqref="E19"/>
    </sheetView>
  </sheetViews>
  <sheetFormatPr defaultColWidth="9.109375" defaultRowHeight="14.4" x14ac:dyDescent="0.3"/>
  <cols>
    <col min="1" max="1" width="45.109375" style="427" customWidth="1"/>
    <col min="2" max="2" width="36.44140625" style="427" customWidth="1"/>
    <col min="3" max="3" width="9.109375" style="427"/>
    <col min="4" max="4" width="1.33203125" style="427" customWidth="1"/>
    <col min="5" max="5" width="37.5546875" style="427" customWidth="1"/>
    <col min="6" max="6" width="18.109375" style="427" customWidth="1"/>
    <col min="7" max="7" width="16.109375" style="427" customWidth="1"/>
    <col min="8" max="8" width="3.109375" style="427" customWidth="1"/>
    <col min="9" max="16384" width="9.109375" style="427"/>
  </cols>
  <sheetData>
    <row r="1" spans="1:8" x14ac:dyDescent="0.3">
      <c r="A1" s="428"/>
      <c r="B1" s="429"/>
      <c r="C1" s="430"/>
      <c r="D1" s="430"/>
      <c r="E1" s="431"/>
      <c r="F1" s="430"/>
      <c r="G1" s="430"/>
      <c r="H1" s="430"/>
    </row>
    <row r="2" spans="1:8" x14ac:dyDescent="0.3">
      <c r="A2" s="432" t="s">
        <v>1025</v>
      </c>
      <c r="B2" s="433" t="str">
        <f>+'Unit Data from Audit Worksheet'!D2</f>
        <v>Select Unit Name from Drop Down List</v>
      </c>
      <c r="C2" s="430"/>
      <c r="D2" s="430"/>
      <c r="E2" s="431"/>
      <c r="F2" s="430"/>
      <c r="G2" s="430"/>
      <c r="H2" s="430"/>
    </row>
    <row r="3" spans="1:8" x14ac:dyDescent="0.3">
      <c r="A3" s="432" t="s">
        <v>1128</v>
      </c>
      <c r="B3" s="430" t="e">
        <f>+'Unit Data from Audit Worksheet'!D3</f>
        <v>#N/A</v>
      </c>
      <c r="C3" s="430"/>
      <c r="D3" s="430"/>
      <c r="E3" s="431"/>
      <c r="F3" s="430"/>
      <c r="G3" s="430"/>
      <c r="H3" s="430"/>
    </row>
    <row r="4" spans="1:8" x14ac:dyDescent="0.3">
      <c r="A4" s="430"/>
      <c r="B4" s="430"/>
      <c r="C4" s="430"/>
      <c r="D4" s="430"/>
      <c r="E4" s="431"/>
      <c r="F4" s="430"/>
      <c r="G4" s="430"/>
      <c r="H4" s="430"/>
    </row>
    <row r="5" spans="1:8" x14ac:dyDescent="0.3">
      <c r="A5" s="1350" t="s">
        <v>1026</v>
      </c>
      <c r="B5" s="1350"/>
      <c r="C5" s="1350"/>
      <c r="D5" s="430"/>
      <c r="E5" s="1351" t="s">
        <v>1027</v>
      </c>
      <c r="F5" s="1351"/>
      <c r="G5" s="430"/>
      <c r="H5" s="430"/>
    </row>
    <row r="6" spans="1:8" ht="15" thickBot="1" x14ac:dyDescent="0.35">
      <c r="A6" s="434"/>
      <c r="B6" s="435"/>
      <c r="C6" s="434"/>
      <c r="D6" s="428"/>
      <c r="E6" s="434"/>
      <c r="F6" s="435"/>
      <c r="G6" s="435"/>
      <c r="H6" s="430"/>
    </row>
    <row r="7" spans="1:8" ht="15" thickBot="1" x14ac:dyDescent="0.35">
      <c r="A7" s="436" t="s">
        <v>1028</v>
      </c>
      <c r="B7" s="437">
        <v>0.03</v>
      </c>
      <c r="C7" s="437"/>
      <c r="D7" s="437"/>
      <c r="E7" s="437"/>
      <c r="F7" s="437"/>
      <c r="G7" s="437"/>
      <c r="H7" s="437"/>
    </row>
    <row r="8" spans="1:8" ht="15" thickBot="1" x14ac:dyDescent="0.35">
      <c r="A8" s="430" t="s">
        <v>1381</v>
      </c>
      <c r="B8" s="438" t="e">
        <f>HLOOKUP(B2,'2020 Data(H)'!F1:BU362,353,FALSE)</f>
        <v>#N/A</v>
      </c>
      <c r="C8" s="439"/>
      <c r="D8" s="439"/>
      <c r="E8" s="439"/>
      <c r="F8" s="430"/>
      <c r="G8" s="430"/>
      <c r="H8" s="430"/>
    </row>
    <row r="9" spans="1:8" ht="15" thickBot="1" x14ac:dyDescent="0.35">
      <c r="A9" s="430" t="s">
        <v>1030</v>
      </c>
      <c r="B9" s="440" t="e">
        <f>B8*B7</f>
        <v>#N/A</v>
      </c>
      <c r="C9" s="441"/>
      <c r="D9" s="441"/>
      <c r="E9" s="441"/>
      <c r="F9" s="430"/>
      <c r="G9" s="430"/>
      <c r="H9" s="430"/>
    </row>
    <row r="10" spans="1:8" ht="15" thickBot="1" x14ac:dyDescent="0.35">
      <c r="A10" s="430"/>
      <c r="B10" s="430"/>
      <c r="C10" s="430"/>
      <c r="D10" s="430"/>
      <c r="E10" s="430"/>
      <c r="F10" s="430"/>
      <c r="G10" s="430"/>
      <c r="H10" s="430"/>
    </row>
    <row r="11" spans="1:8" ht="15" thickBot="1" x14ac:dyDescent="0.35">
      <c r="A11" s="436" t="s">
        <v>1031</v>
      </c>
      <c r="B11" s="437">
        <v>0.05</v>
      </c>
      <c r="C11" s="437"/>
      <c r="D11" s="437"/>
      <c r="E11" s="437"/>
      <c r="F11" s="437"/>
      <c r="G11" s="437"/>
      <c r="H11" s="437"/>
    </row>
    <row r="12" spans="1:8" ht="15" thickBot="1" x14ac:dyDescent="0.35">
      <c r="A12" s="430" t="s">
        <v>1382</v>
      </c>
      <c r="B12" s="442" t="e">
        <f>HLOOKUP(B2,'2020 Data(H)'!F1:BU362,55,FALSE)</f>
        <v>#N/A</v>
      </c>
      <c r="C12" s="443"/>
      <c r="D12" s="443"/>
      <c r="E12" s="443"/>
      <c r="F12" s="430"/>
      <c r="G12" s="430"/>
      <c r="H12" s="430"/>
    </row>
    <row r="13" spans="1:8" ht="15" thickBot="1" x14ac:dyDescent="0.35">
      <c r="A13" s="430" t="s">
        <v>1030</v>
      </c>
      <c r="B13" s="440" t="e">
        <f>B12*B11</f>
        <v>#N/A</v>
      </c>
      <c r="C13" s="441"/>
      <c r="D13" s="441"/>
      <c r="E13" s="441"/>
      <c r="F13" s="430"/>
      <c r="G13" s="430"/>
      <c r="H13" s="430"/>
    </row>
    <row r="14" spans="1:8" ht="15" thickBot="1" x14ac:dyDescent="0.35">
      <c r="A14" s="430"/>
      <c r="B14" s="430"/>
      <c r="C14" s="430"/>
      <c r="D14" s="430"/>
      <c r="E14" s="444" t="s">
        <v>1032</v>
      </c>
      <c r="F14" s="445">
        <f>+Import!L177</f>
        <v>0</v>
      </c>
      <c r="G14" s="446"/>
      <c r="H14" s="430"/>
    </row>
    <row r="15" spans="1:8" x14ac:dyDescent="0.3">
      <c r="A15" s="430"/>
      <c r="B15" s="430"/>
      <c r="C15" s="430"/>
      <c r="D15" s="430"/>
      <c r="E15" s="430"/>
      <c r="F15" s="430"/>
      <c r="G15" s="430"/>
      <c r="H15" s="447"/>
    </row>
    <row r="16" spans="1:8" x14ac:dyDescent="0.3">
      <c r="A16" s="430"/>
      <c r="B16" s="444"/>
      <c r="C16" s="430"/>
      <c r="D16" s="430"/>
      <c r="E16" s="430"/>
      <c r="F16" s="430"/>
      <c r="G16" s="430"/>
      <c r="H16" s="430"/>
    </row>
    <row r="17" spans="1:8" x14ac:dyDescent="0.3">
      <c r="A17" s="434"/>
      <c r="B17" s="435"/>
      <c r="C17" s="434"/>
      <c r="D17" s="428"/>
      <c r="E17" s="434"/>
      <c r="F17" s="435"/>
      <c r="G17" s="435"/>
      <c r="H17" s="430"/>
    </row>
    <row r="18" spans="1:8" ht="15" thickBot="1" x14ac:dyDescent="0.35">
      <c r="A18" s="448" t="s">
        <v>1033</v>
      </c>
      <c r="B18" s="430"/>
      <c r="C18" s="430"/>
      <c r="D18" s="430"/>
      <c r="E18" s="448" t="s">
        <v>1033</v>
      </c>
      <c r="F18" s="432" t="s">
        <v>1034</v>
      </c>
      <c r="G18" s="432" t="s">
        <v>1035</v>
      </c>
      <c r="H18" s="430"/>
    </row>
    <row r="19" spans="1:8" ht="15" thickBot="1" x14ac:dyDescent="0.35">
      <c r="A19" s="430" t="s">
        <v>1029</v>
      </c>
      <c r="B19" s="438" t="e">
        <f>+B8</f>
        <v>#N/A</v>
      </c>
      <c r="C19" s="439"/>
      <c r="D19" s="439"/>
      <c r="E19" s="430" t="s">
        <v>1036</v>
      </c>
      <c r="F19" s="449">
        <f>+Import!L229</f>
        <v>0</v>
      </c>
      <c r="G19" s="450" t="e">
        <f>+B21</f>
        <v>#N/A</v>
      </c>
      <c r="H19" s="430"/>
    </row>
    <row r="20" spans="1:8" ht="15" thickBot="1" x14ac:dyDescent="0.35">
      <c r="A20" s="430" t="s">
        <v>1037</v>
      </c>
      <c r="B20" s="451">
        <f>+Import!L243</f>
        <v>0</v>
      </c>
      <c r="C20" s="430"/>
      <c r="D20" s="430"/>
      <c r="E20" s="430"/>
      <c r="F20" s="452"/>
      <c r="G20" s="430"/>
      <c r="H20" s="430"/>
    </row>
    <row r="21" spans="1:8" ht="15" thickBot="1" x14ac:dyDescent="0.35">
      <c r="A21" s="430" t="s">
        <v>1030</v>
      </c>
      <c r="B21" s="440" t="e">
        <f>ROUND((B19/100)*B20,0)</f>
        <v>#N/A</v>
      </c>
      <c r="C21" s="453"/>
      <c r="D21" s="441"/>
      <c r="E21" s="430"/>
      <c r="F21" s="430"/>
      <c r="G21" s="430"/>
      <c r="H21" s="430"/>
    </row>
    <row r="22" spans="1:8" ht="15" thickBot="1" x14ac:dyDescent="0.35">
      <c r="A22" s="430"/>
      <c r="B22" s="430"/>
      <c r="C22" s="454"/>
      <c r="D22" s="454"/>
      <c r="E22" s="430"/>
      <c r="F22" s="430"/>
      <c r="G22" s="430"/>
      <c r="H22" s="430"/>
    </row>
    <row r="23" spans="1:8" ht="15" thickBot="1" x14ac:dyDescent="0.35">
      <c r="A23" s="444"/>
      <c r="B23" s="455"/>
      <c r="C23" s="430"/>
      <c r="D23" s="430"/>
      <c r="E23" s="456" t="s">
        <v>1038</v>
      </c>
      <c r="F23" s="440">
        <f>IF(F19=0,F14-F19,F14-MAX(F19,G19))</f>
        <v>0</v>
      </c>
      <c r="G23" s="457"/>
      <c r="H23" s="441"/>
    </row>
    <row r="24" spans="1:8" x14ac:dyDescent="0.3">
      <c r="A24" s="430"/>
      <c r="B24" s="430"/>
      <c r="C24" s="430"/>
      <c r="D24" s="430"/>
      <c r="E24" s="430"/>
      <c r="F24" s="453"/>
      <c r="G24" s="453"/>
      <c r="H24" s="441"/>
    </row>
    <row r="25" spans="1:8" x14ac:dyDescent="0.3">
      <c r="A25" s="434"/>
      <c r="B25" s="435"/>
      <c r="C25" s="434"/>
      <c r="D25" s="428"/>
      <c r="E25" s="434"/>
      <c r="F25" s="435"/>
      <c r="G25" s="435"/>
      <c r="H25" s="430"/>
    </row>
    <row r="26" spans="1:8" ht="15" thickBot="1" x14ac:dyDescent="0.35">
      <c r="A26" s="430"/>
      <c r="B26" s="430"/>
      <c r="C26" s="430"/>
      <c r="D26" s="448"/>
      <c r="E26" s="448" t="s">
        <v>1039</v>
      </c>
      <c r="F26" s="448"/>
      <c r="G26" s="448"/>
      <c r="H26" s="448"/>
    </row>
    <row r="27" spans="1:8" ht="15" thickBot="1" x14ac:dyDescent="0.35">
      <c r="A27" s="430"/>
      <c r="B27" s="430"/>
      <c r="C27" s="430"/>
      <c r="D27" s="454"/>
      <c r="E27" s="430" t="s">
        <v>1040</v>
      </c>
      <c r="F27" s="458" t="e">
        <f>MAX(B9,B13)</f>
        <v>#N/A</v>
      </c>
      <c r="G27" s="454"/>
      <c r="H27" s="430"/>
    </row>
    <row r="28" spans="1:8" ht="15" thickBot="1" x14ac:dyDescent="0.35">
      <c r="A28" s="430"/>
      <c r="B28" s="430"/>
      <c r="C28" s="430"/>
      <c r="D28" s="454"/>
      <c r="E28" s="430"/>
      <c r="F28" s="454"/>
      <c r="G28" s="454"/>
      <c r="H28" s="430"/>
    </row>
    <row r="29" spans="1:8" ht="33.75" customHeight="1" x14ac:dyDescent="0.3">
      <c r="A29" s="430"/>
      <c r="B29" s="430"/>
      <c r="C29" s="430"/>
      <c r="D29" s="459"/>
      <c r="E29" s="430" t="s">
        <v>1041</v>
      </c>
      <c r="F29" s="460" t="e">
        <f>IF(F23&lt;=F27,"Yes", "No, unit exceeds limit by:")</f>
        <v>#N/A</v>
      </c>
      <c r="G29" s="430"/>
      <c r="H29" s="430"/>
    </row>
    <row r="30" spans="1:8" ht="15" thickBot="1" x14ac:dyDescent="0.35">
      <c r="A30" s="430"/>
      <c r="B30" s="430"/>
      <c r="C30" s="430"/>
      <c r="D30" s="459"/>
      <c r="E30" s="430"/>
      <c r="F30" s="461" t="e">
        <f>IF(F23-F27&lt;=0,0,F23-F27)</f>
        <v>#N/A</v>
      </c>
      <c r="G30" s="462"/>
      <c r="H30" s="430"/>
    </row>
    <row r="31" spans="1:8" ht="15" thickBot="1" x14ac:dyDescent="0.35">
      <c r="A31" s="430"/>
      <c r="B31" s="430"/>
      <c r="C31" s="430"/>
      <c r="D31" s="430"/>
      <c r="E31" s="430"/>
      <c r="F31" s="430"/>
      <c r="G31" s="430"/>
      <c r="H31" s="430"/>
    </row>
    <row r="32" spans="1:8" x14ac:dyDescent="0.3">
      <c r="A32" s="430"/>
      <c r="B32" s="430"/>
      <c r="C32" s="430"/>
      <c r="D32" s="430"/>
      <c r="E32" s="456" t="s">
        <v>1042</v>
      </c>
      <c r="F32" s="463">
        <f>IF(F19=0,0,F19-G19)</f>
        <v>0</v>
      </c>
      <c r="G32" s="430"/>
      <c r="H32" s="430"/>
    </row>
    <row r="33" spans="1:7" ht="15" thickBot="1" x14ac:dyDescent="0.35">
      <c r="A33" s="430"/>
      <c r="B33" s="430"/>
      <c r="C33" s="430"/>
      <c r="D33" s="430"/>
      <c r="E33" s="430"/>
      <c r="F33" s="464" t="s">
        <v>705</v>
      </c>
      <c r="G33" s="430"/>
    </row>
    <row r="34" spans="1:7" x14ac:dyDescent="0.3">
      <c r="A34" s="428"/>
      <c r="B34" s="430"/>
      <c r="C34" s="430"/>
      <c r="D34" s="430"/>
      <c r="E34" s="428" t="s">
        <v>1043</v>
      </c>
      <c r="F34" s="430"/>
      <c r="G34" s="430"/>
    </row>
    <row r="35" spans="1:7" x14ac:dyDescent="0.3">
      <c r="A35" s="465"/>
      <c r="B35" s="465"/>
      <c r="C35" s="465"/>
      <c r="D35" s="430"/>
      <c r="E35" s="1352" t="s">
        <v>1383</v>
      </c>
      <c r="F35" s="1353"/>
      <c r="G35" s="1354"/>
    </row>
    <row r="36" spans="1:7" x14ac:dyDescent="0.3">
      <c r="A36" s="465"/>
      <c r="B36" s="465"/>
      <c r="C36" s="465"/>
      <c r="D36" s="430"/>
      <c r="E36" s="1355"/>
      <c r="F36" s="1356"/>
      <c r="G36" s="1357"/>
    </row>
    <row r="37" spans="1:7" x14ac:dyDescent="0.3">
      <c r="A37" s="465"/>
      <c r="B37" s="465"/>
      <c r="C37" s="465"/>
      <c r="D37" s="430"/>
      <c r="E37" s="1355"/>
      <c r="F37" s="1356"/>
      <c r="G37" s="1357"/>
    </row>
    <row r="38" spans="1:7" x14ac:dyDescent="0.3">
      <c r="A38" s="465"/>
      <c r="B38" s="465"/>
      <c r="C38" s="465"/>
      <c r="D38" s="430"/>
      <c r="E38" s="1358"/>
      <c r="F38" s="1359"/>
      <c r="G38" s="1360"/>
    </row>
    <row r="39" spans="1:7" x14ac:dyDescent="0.3">
      <c r="A39" s="465"/>
      <c r="B39" s="465"/>
      <c r="C39" s="465"/>
      <c r="D39" s="430"/>
      <c r="E39" s="466"/>
      <c r="F39" s="466"/>
      <c r="G39" s="466"/>
    </row>
    <row r="40" spans="1:7" x14ac:dyDescent="0.3">
      <c r="A40" s="465"/>
      <c r="B40" s="465"/>
      <c r="C40" s="465"/>
      <c r="D40" s="430"/>
      <c r="E40" s="1352" t="s">
        <v>1384</v>
      </c>
      <c r="F40" s="1353"/>
      <c r="G40" s="1354"/>
    </row>
    <row r="41" spans="1:7" x14ac:dyDescent="0.3">
      <c r="A41" s="430"/>
      <c r="B41" s="430"/>
      <c r="C41" s="430"/>
      <c r="D41" s="430"/>
      <c r="E41" s="1355"/>
      <c r="F41" s="1356"/>
      <c r="G41" s="1357"/>
    </row>
    <row r="42" spans="1:7" x14ac:dyDescent="0.3">
      <c r="A42" s="430"/>
      <c r="B42" s="430"/>
      <c r="C42" s="430"/>
      <c r="D42" s="430"/>
      <c r="E42" s="1358"/>
      <c r="F42" s="1359"/>
      <c r="G42" s="1360"/>
    </row>
    <row r="43" spans="1:7" x14ac:dyDescent="0.3">
      <c r="A43" s="430"/>
      <c r="B43" s="430"/>
      <c r="C43" s="430"/>
      <c r="D43" s="430"/>
      <c r="E43" s="430"/>
      <c r="F43" s="430"/>
      <c r="G43" s="430"/>
    </row>
    <row r="44" spans="1:7" ht="15" thickBot="1" x14ac:dyDescent="0.35">
      <c r="A44" s="430"/>
      <c r="B44" s="430"/>
      <c r="C44" s="430"/>
      <c r="D44" s="430"/>
      <c r="E44" s="1361" t="s">
        <v>1044</v>
      </c>
      <c r="F44" s="1361"/>
      <c r="G44" s="1361"/>
    </row>
    <row r="45" spans="1:7" x14ac:dyDescent="0.3">
      <c r="A45" s="430"/>
      <c r="B45" s="430"/>
      <c r="C45" s="430"/>
      <c r="D45" s="430"/>
      <c r="E45" s="1341"/>
      <c r="F45" s="1342"/>
      <c r="G45" s="1343"/>
    </row>
    <row r="46" spans="1:7" x14ac:dyDescent="0.3">
      <c r="A46" s="430"/>
      <c r="B46" s="430"/>
      <c r="C46" s="430"/>
      <c r="D46" s="430"/>
      <c r="E46" s="1344"/>
      <c r="F46" s="1345"/>
      <c r="G46" s="1346"/>
    </row>
    <row r="47" spans="1:7" x14ac:dyDescent="0.3">
      <c r="A47" s="430"/>
      <c r="B47" s="430"/>
      <c r="C47" s="430"/>
      <c r="D47" s="430"/>
      <c r="E47" s="1344"/>
      <c r="F47" s="1345"/>
      <c r="G47" s="1346"/>
    </row>
    <row r="48" spans="1:7" x14ac:dyDescent="0.3">
      <c r="A48" s="430"/>
      <c r="B48" s="430"/>
      <c r="C48" s="430"/>
      <c r="D48" s="430"/>
      <c r="E48" s="1344"/>
      <c r="F48" s="1345"/>
      <c r="G48" s="1346"/>
    </row>
    <row r="49" spans="5:7" x14ac:dyDescent="0.3">
      <c r="E49" s="1344"/>
      <c r="F49" s="1345"/>
      <c r="G49" s="1346"/>
    </row>
    <row r="50" spans="5:7" x14ac:dyDescent="0.3">
      <c r="E50" s="1344"/>
      <c r="F50" s="1345"/>
      <c r="G50" s="1346"/>
    </row>
    <row r="51" spans="5:7" x14ac:dyDescent="0.3">
      <c r="E51" s="1344"/>
      <c r="F51" s="1345"/>
      <c r="G51" s="1346"/>
    </row>
    <row r="52" spans="5:7" x14ac:dyDescent="0.3">
      <c r="E52" s="1344"/>
      <c r="F52" s="1345"/>
      <c r="G52" s="1346"/>
    </row>
    <row r="53" spans="5:7" x14ac:dyDescent="0.3">
      <c r="E53" s="1344"/>
      <c r="F53" s="1345"/>
      <c r="G53" s="1346"/>
    </row>
    <row r="54" spans="5:7" x14ac:dyDescent="0.3">
      <c r="E54" s="1344"/>
      <c r="F54" s="1345"/>
      <c r="G54" s="1346"/>
    </row>
    <row r="55" spans="5:7" x14ac:dyDescent="0.3">
      <c r="E55" s="1344"/>
      <c r="F55" s="1345"/>
      <c r="G55" s="1346"/>
    </row>
    <row r="56" spans="5:7" ht="15" thickBot="1" x14ac:dyDescent="0.35">
      <c r="E56" s="1347"/>
      <c r="F56" s="1348"/>
      <c r="G56" s="1349"/>
    </row>
  </sheetData>
  <sheetProtection algorithmName="SHA-512" hashValue="3vfzdkMQ/j/5Ez1LPUfJs7Oq97mMPspNSPxPIv58T3XG7teIfYieY+coQOc8SI3yaPWTzhmaFurjDohcB/jDmQ==" saltValue="mi9yBVloMQdHuHImasvn7A==" spinCount="100000" sheet="1" objects="1" scenarios="1"/>
  <mergeCells count="6">
    <mergeCell ref="E45:G56"/>
    <mergeCell ref="A5:C5"/>
    <mergeCell ref="E5:F5"/>
    <mergeCell ref="E35:G38"/>
    <mergeCell ref="E40:G42"/>
    <mergeCell ref="E44:G4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pageSetUpPr fitToPage="1"/>
  </sheetPr>
  <dimension ref="A1:BTI443"/>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18" customWidth="1"/>
    <col min="2" max="2" width="16.33203125" style="5" customWidth="1"/>
    <col min="3" max="3" width="17.44140625" style="5" customWidth="1"/>
    <col min="4" max="4" width="46.33203125" style="729" customWidth="1"/>
    <col min="5" max="5" width="17.109375" style="18" customWidth="1"/>
    <col min="6" max="6" width="21.5546875" style="729" customWidth="1"/>
    <col min="7" max="7" width="26.6640625" style="822" customWidth="1"/>
    <col min="8" max="8" width="25.109375" style="613" customWidth="1"/>
    <col min="9" max="9" width="24" style="729" customWidth="1"/>
    <col min="10" max="10" width="13.5546875" style="18" hidden="1" customWidth="1"/>
    <col min="11" max="11" width="11.6640625" style="18" hidden="1" customWidth="1"/>
    <col min="12" max="12" width="15.6640625" style="18" hidden="1" customWidth="1"/>
    <col min="13" max="13" width="11" style="18" hidden="1" customWidth="1"/>
    <col min="14" max="14" width="3.33203125" style="301" hidden="1" customWidth="1"/>
    <col min="15" max="15" width="2.109375" style="18" hidden="1" customWidth="1"/>
    <col min="16" max="16" width="0" style="18" hidden="1" customWidth="1"/>
    <col min="17" max="17" width="15.109375" style="18" hidden="1" customWidth="1"/>
    <col min="18" max="25" width="9.109375" style="18"/>
    <col min="26" max="26" width="30.6640625" style="655" customWidth="1"/>
    <col min="27" max="1881" width="9.109375" style="18"/>
    <col min="1882" max="16384" width="9.109375" style="729"/>
  </cols>
  <sheetData>
    <row r="1" spans="1:44" ht="15" thickBot="1" x14ac:dyDescent="0.35">
      <c r="B1" s="824" t="s">
        <v>758</v>
      </c>
      <c r="C1" s="824"/>
      <c r="E1" s="732" t="s">
        <v>36</v>
      </c>
      <c r="F1" s="733">
        <v>2021</v>
      </c>
      <c r="G1" s="123" t="s">
        <v>126</v>
      </c>
      <c r="H1" s="734"/>
      <c r="I1" s="735"/>
      <c r="J1" s="736" t="s">
        <v>1312</v>
      </c>
      <c r="M1" s="18" t="s">
        <v>51</v>
      </c>
      <c r="O1" s="18">
        <v>1</v>
      </c>
    </row>
    <row r="2" spans="1:44" ht="44.25" customHeight="1" thickBot="1" x14ac:dyDescent="0.35">
      <c r="B2" s="1212" t="s">
        <v>525</v>
      </c>
      <c r="C2" s="1213"/>
      <c r="D2" s="737" t="s">
        <v>1593</v>
      </c>
      <c r="E2" s="1210" t="s">
        <v>539</v>
      </c>
      <c r="F2" s="1210"/>
      <c r="G2" s="1211"/>
      <c r="H2" s="1173" t="s">
        <v>1806</v>
      </c>
      <c r="M2" s="18" t="s">
        <v>52</v>
      </c>
      <c r="N2" s="301">
        <v>50</v>
      </c>
      <c r="O2" s="18">
        <v>2</v>
      </c>
    </row>
    <row r="3" spans="1:44" ht="15" thickBot="1" x14ac:dyDescent="0.35">
      <c r="B3" s="825" t="s">
        <v>0</v>
      </c>
      <c r="C3" s="826"/>
      <c r="D3" s="739" t="e">
        <f>VLOOKUP(D2,'Unit Names(H)'!A2:B142,2,FALSE)</f>
        <v>#N/A</v>
      </c>
      <c r="E3" s="934"/>
      <c r="F3" s="740"/>
      <c r="G3" s="741"/>
      <c r="H3" s="738"/>
      <c r="N3" s="301">
        <v>51</v>
      </c>
      <c r="O3" s="18">
        <v>3</v>
      </c>
    </row>
    <row r="4" spans="1:44" ht="15" thickBot="1" x14ac:dyDescent="0.35">
      <c r="B4" s="827" t="s">
        <v>1430</v>
      </c>
      <c r="C4" s="828"/>
      <c r="D4" s="742"/>
      <c r="E4" s="742"/>
      <c r="F4" s="743"/>
      <c r="G4" s="744"/>
      <c r="H4" s="738"/>
      <c r="I4" s="2"/>
      <c r="M4" s="18" t="s">
        <v>605</v>
      </c>
      <c r="N4" s="301">
        <v>52</v>
      </c>
      <c r="O4" s="18">
        <v>4</v>
      </c>
    </row>
    <row r="5" spans="1:44" ht="37.5" customHeight="1" x14ac:dyDescent="0.3">
      <c r="A5" s="691" t="s">
        <v>755</v>
      </c>
      <c r="B5" s="580" t="s">
        <v>111</v>
      </c>
      <c r="C5" s="580" t="s">
        <v>128</v>
      </c>
      <c r="D5" s="745" t="s">
        <v>1</v>
      </c>
      <c r="E5" s="745">
        <v>2020</v>
      </c>
      <c r="F5" s="746">
        <v>2021</v>
      </c>
      <c r="G5" s="747" t="s">
        <v>1552</v>
      </c>
      <c r="H5" s="748" t="s">
        <v>545</v>
      </c>
      <c r="I5" s="733" t="s">
        <v>13</v>
      </c>
      <c r="M5" s="18" t="s">
        <v>832</v>
      </c>
    </row>
    <row r="6" spans="1:44" ht="22.5" customHeight="1" x14ac:dyDescent="0.3">
      <c r="A6" s="579"/>
      <c r="B6" s="873" t="s">
        <v>127</v>
      </c>
      <c r="C6" s="874"/>
      <c r="D6" s="875"/>
      <c r="E6" s="876"/>
      <c r="F6" s="877"/>
      <c r="G6" s="869"/>
      <c r="H6" s="17"/>
      <c r="M6" s="18" t="s">
        <v>811</v>
      </c>
    </row>
    <row r="7" spans="1:44" s="18" customFormat="1" ht="63.75" customHeight="1" thickBot="1" x14ac:dyDescent="0.35">
      <c r="A7" s="108">
        <v>333</v>
      </c>
      <c r="B7" s="655" t="s">
        <v>67</v>
      </c>
      <c r="C7" s="655" t="s">
        <v>129</v>
      </c>
      <c r="D7" s="728" t="s">
        <v>1431</v>
      </c>
      <c r="E7" s="689" t="e">
        <f>HLOOKUP($D$2,'2020 Data(H)'!$C$1:$CR$397,99,FALSE)</f>
        <v>#N/A</v>
      </c>
      <c r="F7" s="300">
        <v>0</v>
      </c>
      <c r="G7" s="750">
        <f>IF(F7&lt;0,"Note: Number is normally positive.",)</f>
        <v>0</v>
      </c>
      <c r="H7" s="751"/>
      <c r="I7" s="752"/>
      <c r="J7" s="595" t="s">
        <v>1291</v>
      </c>
      <c r="L7" s="715"/>
      <c r="M7" s="18" t="s">
        <v>833</v>
      </c>
      <c r="N7" s="301"/>
      <c r="Q7" s="300">
        <v>475882</v>
      </c>
      <c r="Z7" s="108"/>
      <c r="AA7" s="108"/>
      <c r="AB7" s="108"/>
      <c r="AC7" s="108"/>
      <c r="AD7" s="108"/>
      <c r="AE7" s="108"/>
      <c r="AF7" s="108"/>
      <c r="AG7" s="108"/>
      <c r="AH7" s="108"/>
      <c r="AI7" s="108"/>
      <c r="AJ7" s="108"/>
      <c r="AK7" s="108"/>
      <c r="AL7" s="108"/>
      <c r="AM7" s="108"/>
      <c r="AN7" s="108"/>
      <c r="AO7" s="108"/>
      <c r="AP7" s="108"/>
      <c r="AQ7" s="108"/>
      <c r="AR7" s="108"/>
    </row>
    <row r="8" spans="1:44" s="18" customFormat="1" ht="51" customHeight="1" thickBot="1" x14ac:dyDescent="0.35">
      <c r="A8" s="108">
        <v>500</v>
      </c>
      <c r="B8" s="655" t="s">
        <v>55</v>
      </c>
      <c r="C8" s="655" t="s">
        <v>129</v>
      </c>
      <c r="D8" s="728" t="s">
        <v>1432</v>
      </c>
      <c r="E8" s="689" t="e">
        <f>HLOOKUP($D$2,'2020 Data(H)'!$C$1:$CR$397,150,FALSE)</f>
        <v>#N/A</v>
      </c>
      <c r="F8" s="300">
        <v>0</v>
      </c>
      <c r="G8" s="750">
        <f>IF(F8&lt;0,"Note: Number is normally positive.",)</f>
        <v>0</v>
      </c>
      <c r="H8" s="751"/>
      <c r="I8" s="751"/>
      <c r="J8" s="595"/>
      <c r="L8" s="724"/>
      <c r="M8" s="18" t="s">
        <v>834</v>
      </c>
      <c r="N8" s="301"/>
      <c r="Q8" s="300">
        <v>1528687</v>
      </c>
      <c r="Z8" s="108"/>
      <c r="AA8" s="108"/>
      <c r="AB8" s="108"/>
      <c r="AC8" s="108"/>
      <c r="AD8" s="108"/>
      <c r="AE8" s="108"/>
      <c r="AF8" s="108"/>
      <c r="AG8" s="108"/>
      <c r="AH8" s="108"/>
      <c r="AI8" s="108"/>
      <c r="AJ8" s="108"/>
      <c r="AK8" s="108"/>
      <c r="AL8" s="108"/>
      <c r="AM8" s="108"/>
      <c r="AN8" s="108"/>
      <c r="AO8" s="108"/>
      <c r="AP8" s="108"/>
      <c r="AQ8" s="108"/>
      <c r="AR8" s="108"/>
    </row>
    <row r="9" spans="1:44" ht="51" customHeight="1" thickBot="1" x14ac:dyDescent="0.35">
      <c r="A9" s="108">
        <v>385</v>
      </c>
      <c r="B9" s="613" t="s">
        <v>60</v>
      </c>
      <c r="C9" s="655" t="s">
        <v>129</v>
      </c>
      <c r="D9" s="107" t="s">
        <v>130</v>
      </c>
      <c r="E9" s="689" t="e">
        <f>HLOOKUP($D$2,'2020 Data(H)'!$C$1:$CR$397,144,FALSE)-E11</f>
        <v>#N/A</v>
      </c>
      <c r="F9" s="300">
        <v>0</v>
      </c>
      <c r="G9" s="750">
        <f>IF((F7+F8)&gt;F9,"Error: Please review Account numbers (333+500)&gt;385",)</f>
        <v>0</v>
      </c>
      <c r="H9" s="17"/>
      <c r="I9" s="751"/>
      <c r="J9" s="595"/>
      <c r="L9" s="724"/>
      <c r="Q9" s="300">
        <v>4566372</v>
      </c>
      <c r="Z9" s="108"/>
      <c r="AA9" s="108"/>
      <c r="AB9" s="108"/>
      <c r="AC9" s="108"/>
      <c r="AD9" s="108"/>
      <c r="AE9" s="108"/>
      <c r="AF9" s="108"/>
      <c r="AG9" s="108"/>
      <c r="AH9" s="108"/>
      <c r="AI9" s="108"/>
      <c r="AJ9" s="108"/>
      <c r="AK9" s="108"/>
      <c r="AL9" s="108"/>
      <c r="AM9" s="108"/>
      <c r="AN9" s="108"/>
      <c r="AO9" s="108"/>
      <c r="AP9" s="108"/>
      <c r="AQ9" s="108"/>
      <c r="AR9" s="108"/>
    </row>
    <row r="10" spans="1:44" s="18" customFormat="1" ht="90" customHeight="1" thickBot="1" x14ac:dyDescent="0.35">
      <c r="A10" s="108">
        <v>575</v>
      </c>
      <c r="B10" s="655" t="s">
        <v>70</v>
      </c>
      <c r="C10" s="655" t="s">
        <v>129</v>
      </c>
      <c r="D10" s="829" t="s">
        <v>1433</v>
      </c>
      <c r="E10" s="689" t="e">
        <f>HLOOKUP($D$2,'2020 Data(H)'!$C$1:$CR$397,225,FALSE)</f>
        <v>#N/A</v>
      </c>
      <c r="F10" s="300">
        <v>0</v>
      </c>
      <c r="G10" s="750">
        <f>IF(F10&lt;0,"Note: Number is normally positive.",)</f>
        <v>0</v>
      </c>
      <c r="H10" s="753"/>
      <c r="I10" s="754"/>
      <c r="L10" s="724"/>
      <c r="N10" s="301"/>
      <c r="Q10" s="300">
        <v>0</v>
      </c>
      <c r="Z10" s="108"/>
      <c r="AA10" s="108"/>
      <c r="AB10" s="108"/>
      <c r="AC10" s="108"/>
      <c r="AD10" s="108"/>
      <c r="AE10" s="108"/>
      <c r="AF10" s="108"/>
      <c r="AG10" s="108"/>
      <c r="AH10" s="108"/>
      <c r="AI10" s="108"/>
      <c r="AJ10" s="108"/>
      <c r="AK10" s="108"/>
      <c r="AL10" s="108"/>
      <c r="AM10" s="108"/>
      <c r="AN10" s="108"/>
      <c r="AO10" s="108"/>
      <c r="AP10" s="108"/>
      <c r="AQ10" s="108"/>
      <c r="AR10" s="108"/>
    </row>
    <row r="11" spans="1:44" s="18" customFormat="1" ht="93.75" customHeight="1" thickBot="1" x14ac:dyDescent="0.35">
      <c r="A11" s="108">
        <v>576</v>
      </c>
      <c r="B11" s="655" t="s">
        <v>70</v>
      </c>
      <c r="C11" s="655" t="s">
        <v>129</v>
      </c>
      <c r="D11" s="829" t="s">
        <v>1434</v>
      </c>
      <c r="E11" s="689" t="e">
        <f>HLOOKUP($D$2,'2020 Data(H)'!$C$1:$CR$397,226,FALSE)</f>
        <v>#N/A</v>
      </c>
      <c r="F11" s="300">
        <v>0</v>
      </c>
      <c r="G11" s="750">
        <f>IF(F11&lt;0,"Error: Enter as positive.",)</f>
        <v>0</v>
      </c>
      <c r="H11" s="753"/>
      <c r="I11" s="754"/>
      <c r="J11" s="595"/>
      <c r="L11" s="724"/>
      <c r="N11" s="301"/>
      <c r="Q11" s="300">
        <v>0</v>
      </c>
      <c r="Z11" s="108"/>
      <c r="AA11" s="108"/>
      <c r="AB11" s="108"/>
      <c r="AC11" s="108"/>
      <c r="AD11" s="108"/>
      <c r="AE11" s="108"/>
      <c r="AF11" s="108"/>
      <c r="AG11" s="108"/>
      <c r="AH11" s="108"/>
      <c r="AI11" s="108"/>
      <c r="AJ11" s="108"/>
      <c r="AK11" s="108"/>
      <c r="AL11" s="108"/>
      <c r="AM11" s="108"/>
      <c r="AN11" s="108"/>
      <c r="AO11" s="108"/>
      <c r="AP11" s="108"/>
      <c r="AQ11" s="108"/>
      <c r="AR11" s="108"/>
    </row>
    <row r="12" spans="1:44" ht="85.5" customHeight="1" thickBot="1" x14ac:dyDescent="0.35">
      <c r="A12" s="314">
        <v>626</v>
      </c>
      <c r="B12" s="830" t="s">
        <v>852</v>
      </c>
      <c r="C12" s="830" t="s">
        <v>129</v>
      </c>
      <c r="D12" s="345" t="s">
        <v>1435</v>
      </c>
      <c r="E12" s="689" t="e">
        <f>HLOOKUP($D$2,'2020 Data(H)'!$C$1:$CR$397,285,FALSE)-E11</f>
        <v>#N/A</v>
      </c>
      <c r="F12" s="300">
        <v>0</v>
      </c>
      <c r="G12" s="750">
        <f>IF(F12&lt;0,"Error: Enter as positive.",)</f>
        <v>0</v>
      </c>
      <c r="H12" s="755"/>
      <c r="I12" s="755"/>
      <c r="J12" s="595"/>
      <c r="L12" s="724"/>
      <c r="Q12" s="300">
        <v>136667</v>
      </c>
      <c r="Z12" s="314"/>
      <c r="AA12" s="314"/>
      <c r="AB12" s="314"/>
      <c r="AC12" s="314"/>
      <c r="AD12" s="314"/>
      <c r="AE12" s="314"/>
      <c r="AF12" s="314"/>
      <c r="AG12" s="314"/>
      <c r="AH12" s="314"/>
      <c r="AI12" s="314"/>
      <c r="AJ12" s="314"/>
      <c r="AK12" s="314"/>
      <c r="AL12" s="314"/>
      <c r="AM12" s="314"/>
      <c r="AN12" s="314"/>
      <c r="AO12" s="314"/>
      <c r="AP12" s="314"/>
      <c r="AQ12" s="314"/>
      <c r="AR12" s="314"/>
    </row>
    <row r="13" spans="1:44" ht="89.25" customHeight="1" thickBot="1" x14ac:dyDescent="0.35">
      <c r="A13" s="313">
        <v>627</v>
      </c>
      <c r="B13" s="831" t="s">
        <v>723</v>
      </c>
      <c r="C13" s="830" t="s">
        <v>129</v>
      </c>
      <c r="D13" s="345" t="s">
        <v>1436</v>
      </c>
      <c r="E13" s="689" t="e">
        <f>HLOOKUP($D$2,'2020 Data(H)'!$C$1:$CR$397,286,FALSE)</f>
        <v>#N/A</v>
      </c>
      <c r="F13" s="300">
        <v>0</v>
      </c>
      <c r="G13" s="750">
        <f>IF(F13&gt;F12,"Please review account numbers 627 &gt;626",)</f>
        <v>0</v>
      </c>
      <c r="H13" s="755"/>
      <c r="I13" s="755"/>
      <c r="J13" s="595"/>
      <c r="L13" s="724"/>
      <c r="Q13" s="300">
        <v>0</v>
      </c>
      <c r="Z13" s="313"/>
      <c r="AA13" s="313"/>
      <c r="AB13" s="313"/>
      <c r="AC13" s="313"/>
      <c r="AD13" s="313"/>
      <c r="AE13" s="313"/>
      <c r="AF13" s="313"/>
      <c r="AG13" s="313"/>
      <c r="AH13" s="313"/>
      <c r="AI13" s="313"/>
      <c r="AJ13" s="313"/>
      <c r="AK13" s="313"/>
      <c r="AL13" s="313"/>
      <c r="AM13" s="313"/>
      <c r="AN13" s="313"/>
      <c r="AO13" s="313"/>
      <c r="AP13" s="313"/>
      <c r="AQ13" s="313"/>
      <c r="AR13" s="313"/>
    </row>
    <row r="14" spans="1:44" ht="105" customHeight="1" thickBot="1" x14ac:dyDescent="0.35">
      <c r="A14" s="313">
        <v>628</v>
      </c>
      <c r="B14" s="831" t="s">
        <v>723</v>
      </c>
      <c r="C14" s="830" t="s">
        <v>129</v>
      </c>
      <c r="D14" s="345" t="s">
        <v>1437</v>
      </c>
      <c r="E14" s="689" t="e">
        <f>HLOOKUP($D$2,'2020 Data(H)'!$C$1:$CR$397,287,FALSE)</f>
        <v>#N/A</v>
      </c>
      <c r="F14" s="300">
        <v>0</v>
      </c>
      <c r="G14" s="750">
        <f>IF(F14&gt;F12,"Please review account numbers 628 &gt; 626",)</f>
        <v>0</v>
      </c>
      <c r="H14" s="755"/>
      <c r="I14" s="755"/>
      <c r="J14" s="595"/>
      <c r="L14" s="724"/>
      <c r="Q14" s="300">
        <v>56141</v>
      </c>
      <c r="Z14" s="313"/>
      <c r="AA14" s="313"/>
      <c r="AB14" s="313"/>
      <c r="AC14" s="313"/>
      <c r="AD14" s="313"/>
      <c r="AE14" s="313"/>
      <c r="AF14" s="313"/>
      <c r="AG14" s="313"/>
      <c r="AH14" s="313"/>
      <c r="AI14" s="313"/>
      <c r="AJ14" s="313"/>
      <c r="AK14" s="313"/>
      <c r="AL14" s="313"/>
      <c r="AM14" s="313"/>
      <c r="AN14" s="313"/>
      <c r="AO14" s="313"/>
      <c r="AP14" s="313"/>
      <c r="AQ14" s="313"/>
      <c r="AR14" s="313"/>
    </row>
    <row r="15" spans="1:44" ht="95.25" customHeight="1" thickBot="1" x14ac:dyDescent="0.35">
      <c r="A15" s="313">
        <v>629</v>
      </c>
      <c r="B15" s="831" t="s">
        <v>723</v>
      </c>
      <c r="C15" s="830" t="s">
        <v>129</v>
      </c>
      <c r="D15" s="345" t="s">
        <v>1438</v>
      </c>
      <c r="E15" s="689" t="e">
        <f>HLOOKUP($D$2,'2020 Data(H)'!$C$1:$CR$397,288,FALSE)</f>
        <v>#N/A</v>
      </c>
      <c r="F15" s="300">
        <v>0</v>
      </c>
      <c r="G15" s="750">
        <f>IF(F15&gt;F12,"Please review account numbers 629 &gt; 626",)</f>
        <v>0</v>
      </c>
      <c r="H15" s="755"/>
      <c r="I15" s="755"/>
      <c r="J15" s="595"/>
      <c r="L15" s="724"/>
      <c r="Q15" s="300">
        <v>0</v>
      </c>
      <c r="Z15" s="313"/>
      <c r="AA15" s="313"/>
      <c r="AB15" s="313"/>
      <c r="AC15" s="313"/>
      <c r="AD15" s="313"/>
      <c r="AE15" s="313"/>
      <c r="AF15" s="313"/>
      <c r="AG15" s="313"/>
      <c r="AH15" s="313"/>
      <c r="AI15" s="313"/>
      <c r="AJ15" s="313"/>
      <c r="AK15" s="313"/>
      <c r="AL15" s="313"/>
      <c r="AM15" s="313"/>
      <c r="AN15" s="313"/>
      <c r="AO15" s="313"/>
      <c r="AP15" s="313"/>
      <c r="AQ15" s="313"/>
      <c r="AR15" s="313"/>
    </row>
    <row r="16" spans="1:44" ht="69" customHeight="1" thickBot="1" x14ac:dyDescent="0.35">
      <c r="A16" s="313">
        <v>630</v>
      </c>
      <c r="B16" s="831" t="s">
        <v>723</v>
      </c>
      <c r="C16" s="830" t="s">
        <v>129</v>
      </c>
      <c r="D16" s="345" t="s">
        <v>827</v>
      </c>
      <c r="E16" s="689" t="e">
        <f>HLOOKUP($D$2,'2020 Data(H)'!$C$1:$CR$397,289,FALSE)</f>
        <v>#N/A</v>
      </c>
      <c r="F16" s="300">
        <v>0</v>
      </c>
      <c r="G16" s="750">
        <f>IF(F16&gt;F12,"Please review account numbers 630 &gt; 626",)</f>
        <v>0</v>
      </c>
      <c r="H16" s="755"/>
      <c r="I16" s="755"/>
      <c r="J16" s="595"/>
      <c r="L16" s="724"/>
      <c r="Q16" s="300">
        <v>0</v>
      </c>
      <c r="Z16" s="313"/>
      <c r="AA16" s="313"/>
      <c r="AB16" s="313"/>
      <c r="AC16" s="313"/>
      <c r="AD16" s="313"/>
      <c r="AE16" s="313"/>
      <c r="AF16" s="313"/>
      <c r="AG16" s="313"/>
      <c r="AH16" s="313"/>
      <c r="AI16" s="313"/>
      <c r="AJ16" s="313"/>
      <c r="AK16" s="313"/>
      <c r="AL16" s="313"/>
      <c r="AM16" s="313"/>
      <c r="AN16" s="313"/>
      <c r="AO16" s="313"/>
      <c r="AP16" s="313"/>
      <c r="AQ16" s="313"/>
      <c r="AR16" s="313"/>
    </row>
    <row r="17" spans="1:44" ht="95.25" customHeight="1" thickBot="1" x14ac:dyDescent="0.35">
      <c r="A17" s="313">
        <v>631</v>
      </c>
      <c r="B17" s="831" t="s">
        <v>723</v>
      </c>
      <c r="C17" s="830" t="s">
        <v>129</v>
      </c>
      <c r="D17" s="345" t="s">
        <v>1439</v>
      </c>
      <c r="E17" s="689" t="e">
        <f>HLOOKUP($D$2,'2020 Data(H)'!$C$1:$CR$397,290,FALSE)</f>
        <v>#N/A</v>
      </c>
      <c r="F17" s="300">
        <v>0</v>
      </c>
      <c r="G17" s="750">
        <f>IF(F17&gt;F12,"Please review account numbers 631 &gt; 626",)</f>
        <v>0</v>
      </c>
      <c r="H17" s="755"/>
      <c r="I17" s="755"/>
      <c r="J17" s="595"/>
      <c r="L17" s="724"/>
      <c r="Q17" s="300">
        <v>0</v>
      </c>
      <c r="Z17" s="313"/>
      <c r="AA17" s="313"/>
      <c r="AB17" s="313"/>
      <c r="AC17" s="313"/>
      <c r="AD17" s="313"/>
      <c r="AE17" s="313"/>
      <c r="AF17" s="313"/>
      <c r="AG17" s="313"/>
      <c r="AH17" s="313"/>
      <c r="AI17" s="313"/>
      <c r="AJ17" s="313"/>
      <c r="AK17" s="313"/>
      <c r="AL17" s="313"/>
      <c r="AM17" s="313"/>
      <c r="AN17" s="313"/>
      <c r="AO17" s="313"/>
      <c r="AP17" s="313"/>
      <c r="AQ17" s="313"/>
      <c r="AR17" s="313"/>
    </row>
    <row r="18" spans="1:44" ht="111.75" customHeight="1" thickBot="1" x14ac:dyDescent="0.35">
      <c r="A18" s="313">
        <v>632</v>
      </c>
      <c r="B18" s="831" t="s">
        <v>723</v>
      </c>
      <c r="C18" s="830" t="s">
        <v>129</v>
      </c>
      <c r="D18" s="345" t="s">
        <v>1440</v>
      </c>
      <c r="E18" s="689" t="e">
        <f>HLOOKUP($D$2,'2020 Data(H)'!$C$1:$CR$397,291,FALSE)</f>
        <v>#N/A</v>
      </c>
      <c r="F18" s="300">
        <v>0</v>
      </c>
      <c r="G18" s="750">
        <f>IF(F18&gt;F12,"Please review account numbers 632 &gt; 626",)</f>
        <v>0</v>
      </c>
      <c r="H18" s="755"/>
      <c r="I18" s="755"/>
      <c r="J18" s="595"/>
      <c r="L18" s="724"/>
      <c r="Q18" s="300">
        <v>0</v>
      </c>
      <c r="Z18" s="313"/>
      <c r="AA18" s="313"/>
      <c r="AB18" s="313"/>
      <c r="AC18" s="313"/>
      <c r="AD18" s="313"/>
      <c r="AE18" s="313"/>
      <c r="AF18" s="313"/>
      <c r="AG18" s="313"/>
      <c r="AH18" s="313"/>
      <c r="AI18" s="313"/>
      <c r="AJ18" s="313"/>
      <c r="AK18" s="313"/>
      <c r="AL18" s="313"/>
      <c r="AM18" s="313"/>
      <c r="AN18" s="313"/>
      <c r="AO18" s="313"/>
      <c r="AP18" s="313"/>
      <c r="AQ18" s="313"/>
      <c r="AR18" s="313"/>
    </row>
    <row r="19" spans="1:44" ht="55.5" customHeight="1" thickBot="1" x14ac:dyDescent="0.35">
      <c r="A19" s="108">
        <v>338</v>
      </c>
      <c r="B19" s="613" t="s">
        <v>56</v>
      </c>
      <c r="C19" s="655" t="s">
        <v>129</v>
      </c>
      <c r="D19" s="107" t="s">
        <v>131</v>
      </c>
      <c r="E19" s="689" t="e">
        <f>HLOOKUP($D$2,'2020 Data(H)'!$C$1:$CR$397,104,FALSE)</f>
        <v>#N/A</v>
      </c>
      <c r="F19" s="300">
        <v>0</v>
      </c>
      <c r="G19" s="750" t="str">
        <f>IF(F12&gt;F19,"Error: Please review accts 626 &gt; 338","")</f>
        <v/>
      </c>
      <c r="H19" s="17"/>
      <c r="I19" s="751"/>
      <c r="J19" s="595"/>
      <c r="L19" s="724"/>
      <c r="Q19" s="300">
        <v>1131889</v>
      </c>
      <c r="Z19" s="108"/>
      <c r="AA19" s="108"/>
      <c r="AB19" s="108"/>
      <c r="AC19" s="108"/>
      <c r="AD19" s="108"/>
      <c r="AE19" s="108"/>
      <c r="AF19" s="108"/>
      <c r="AG19" s="108"/>
      <c r="AH19" s="108"/>
      <c r="AI19" s="108"/>
      <c r="AJ19" s="108"/>
      <c r="AK19" s="108"/>
      <c r="AL19" s="108"/>
      <c r="AM19" s="108"/>
      <c r="AN19" s="108"/>
      <c r="AO19" s="108"/>
      <c r="AP19" s="108"/>
      <c r="AQ19" s="108"/>
      <c r="AR19" s="108"/>
    </row>
    <row r="20" spans="1:44" ht="89.25" customHeight="1" thickBot="1" x14ac:dyDescent="0.35">
      <c r="A20" s="108">
        <v>335</v>
      </c>
      <c r="B20" s="613" t="s">
        <v>56</v>
      </c>
      <c r="C20" s="655" t="s">
        <v>129</v>
      </c>
      <c r="D20" s="728" t="s">
        <v>1441</v>
      </c>
      <c r="E20" s="689" t="e">
        <f>HLOOKUP($D$2,'2020 Data(H)'!$C$1:$CR$397,101,FALSE)</f>
        <v>#N/A</v>
      </c>
      <c r="F20" s="300">
        <v>0</v>
      </c>
      <c r="G20" s="750">
        <f>IF(F20&lt;0,"Error: Enter as positive.",)</f>
        <v>0</v>
      </c>
      <c r="H20" s="17"/>
      <c r="I20" s="380"/>
      <c r="J20" s="595"/>
      <c r="L20" s="724"/>
      <c r="Q20" s="300">
        <v>0</v>
      </c>
      <c r="Z20" s="108"/>
      <c r="AA20" s="108"/>
      <c r="AB20" s="108"/>
      <c r="AC20" s="108"/>
      <c r="AD20" s="108"/>
      <c r="AE20" s="108"/>
      <c r="AF20" s="108"/>
      <c r="AG20" s="108"/>
      <c r="AH20" s="108"/>
      <c r="AI20" s="108"/>
      <c r="AJ20" s="108"/>
      <c r="AK20" s="108"/>
      <c r="AL20" s="108"/>
      <c r="AM20" s="108"/>
      <c r="AN20" s="108"/>
      <c r="AO20" s="108"/>
      <c r="AP20" s="108"/>
      <c r="AQ20" s="108"/>
      <c r="AR20" s="108"/>
    </row>
    <row r="21" spans="1:44" ht="48.75" customHeight="1" thickBot="1" x14ac:dyDescent="0.35">
      <c r="A21" s="108">
        <v>252</v>
      </c>
      <c r="B21" s="613" t="s">
        <v>56</v>
      </c>
      <c r="C21" s="655" t="s">
        <v>129</v>
      </c>
      <c r="D21" s="107" t="s">
        <v>132</v>
      </c>
      <c r="E21" s="689" t="e">
        <f>HLOOKUP($D$2,'2020 Data(H)'!$C$1:$CR$397,78,FALSE)</f>
        <v>#N/A</v>
      </c>
      <c r="F21" s="300">
        <v>0</v>
      </c>
      <c r="G21" s="756"/>
      <c r="H21" s="17"/>
      <c r="I21" s="79"/>
      <c r="J21" s="595"/>
      <c r="L21" s="724"/>
      <c r="Q21" s="300">
        <v>1656465</v>
      </c>
      <c r="Z21" s="108"/>
      <c r="AA21" s="108"/>
      <c r="AB21" s="108"/>
      <c r="AC21" s="108"/>
      <c r="AD21" s="108"/>
      <c r="AE21" s="108"/>
      <c r="AF21" s="108"/>
      <c r="AG21" s="108"/>
      <c r="AH21" s="108"/>
      <c r="AI21" s="108"/>
      <c r="AJ21" s="108"/>
      <c r="AK21" s="108"/>
      <c r="AL21" s="108"/>
      <c r="AM21" s="108"/>
      <c r="AN21" s="108"/>
      <c r="AO21" s="108"/>
      <c r="AP21" s="108"/>
      <c r="AQ21" s="108"/>
      <c r="AR21" s="108"/>
    </row>
    <row r="22" spans="1:44" ht="43.8" thickBot="1" x14ac:dyDescent="0.35">
      <c r="A22" s="108">
        <v>253</v>
      </c>
      <c r="B22" s="613" t="s">
        <v>56</v>
      </c>
      <c r="C22" s="655" t="s">
        <v>129</v>
      </c>
      <c r="D22" s="107" t="s">
        <v>133</v>
      </c>
      <c r="E22" s="689" t="e">
        <f>HLOOKUP($D$2,'2020 Data(H)'!$C$1:$CR$397,79,FALSE)</f>
        <v>#N/A</v>
      </c>
      <c r="F22" s="300">
        <v>0</v>
      </c>
      <c r="G22" s="750"/>
      <c r="H22" s="17"/>
      <c r="I22" s="79"/>
      <c r="J22" s="595"/>
      <c r="L22" s="724"/>
      <c r="Q22" s="300">
        <v>172269</v>
      </c>
      <c r="Z22" s="108"/>
      <c r="AA22" s="108"/>
      <c r="AB22" s="108"/>
      <c r="AC22" s="108"/>
      <c r="AD22" s="108"/>
      <c r="AE22" s="108"/>
      <c r="AF22" s="108"/>
      <c r="AG22" s="108"/>
      <c r="AH22" s="108"/>
      <c r="AI22" s="108"/>
      <c r="AJ22" s="108"/>
      <c r="AK22" s="108"/>
      <c r="AL22" s="108"/>
      <c r="AM22" s="108"/>
      <c r="AN22" s="108"/>
      <c r="AO22" s="108"/>
      <c r="AP22" s="108"/>
      <c r="AQ22" s="108"/>
      <c r="AR22" s="108"/>
    </row>
    <row r="23" spans="1:44" ht="73.5" customHeight="1" thickBot="1" x14ac:dyDescent="0.35">
      <c r="A23" s="108">
        <v>254</v>
      </c>
      <c r="B23" s="613" t="s">
        <v>56</v>
      </c>
      <c r="C23" s="655" t="s">
        <v>129</v>
      </c>
      <c r="D23" s="107" t="s">
        <v>1442</v>
      </c>
      <c r="E23" s="689" t="e">
        <f>HLOOKUP($D$2,'2020 Data(H)'!$C$1:$CR$397,80,FALSE)</f>
        <v>#N/A</v>
      </c>
      <c r="F23" s="300">
        <v>0</v>
      </c>
      <c r="G23" s="750">
        <f>IF(H23=0,,"Error: Total assets and deferred outflows less total liabilities and deferred inflows do not equal total net position. Account numbers  385-338-252-253-254 = 0.  The amount the formula is off is located in the cell to the right")</f>
        <v>0</v>
      </c>
      <c r="H23" s="753">
        <f>F9-F19-F21-F22-F23</f>
        <v>0</v>
      </c>
      <c r="I23" s="79"/>
      <c r="J23" s="595"/>
      <c r="L23" s="724"/>
      <c r="Q23" s="300">
        <v>1605749</v>
      </c>
      <c r="Z23" s="108"/>
      <c r="AA23" s="108"/>
      <c r="AB23" s="108"/>
      <c r="AC23" s="108"/>
      <c r="AD23" s="108"/>
      <c r="AE23" s="108"/>
      <c r="AF23" s="108"/>
      <c r="AG23" s="108"/>
      <c r="AH23" s="108"/>
      <c r="AI23" s="108"/>
      <c r="AJ23" s="108"/>
      <c r="AK23" s="108"/>
      <c r="AL23" s="108"/>
      <c r="AM23" s="108"/>
      <c r="AN23" s="108"/>
      <c r="AO23" s="108"/>
      <c r="AP23" s="108"/>
      <c r="AQ23" s="108"/>
      <c r="AR23" s="108"/>
    </row>
    <row r="24" spans="1:44" ht="21.75" customHeight="1" thickBot="1" x14ac:dyDescent="0.35">
      <c r="A24" s="108"/>
      <c r="B24" s="861" t="s">
        <v>134</v>
      </c>
      <c r="C24" s="862"/>
      <c r="D24" s="866"/>
      <c r="E24" s="867"/>
      <c r="F24" s="878"/>
      <c r="G24" s="879"/>
      <c r="H24" s="17"/>
      <c r="I24" s="79"/>
      <c r="L24" s="724"/>
      <c r="Z24" s="108"/>
      <c r="AA24" s="108"/>
      <c r="AB24" s="108"/>
      <c r="AC24" s="108"/>
      <c r="AD24" s="108"/>
      <c r="AE24" s="108"/>
      <c r="AF24" s="108"/>
      <c r="AG24" s="108"/>
      <c r="AH24" s="108"/>
      <c r="AI24" s="108"/>
      <c r="AJ24" s="108"/>
      <c r="AK24" s="108"/>
      <c r="AL24" s="108"/>
      <c r="AM24" s="108"/>
      <c r="AN24" s="108"/>
      <c r="AO24" s="108"/>
      <c r="AP24" s="108"/>
      <c r="AQ24" s="108"/>
      <c r="AR24" s="108"/>
    </row>
    <row r="25" spans="1:44" ht="59.25" customHeight="1" thickBot="1" x14ac:dyDescent="0.35">
      <c r="A25" s="108">
        <v>502</v>
      </c>
      <c r="B25" s="613" t="s">
        <v>55</v>
      </c>
      <c r="C25" s="655" t="s">
        <v>136</v>
      </c>
      <c r="D25" s="728" t="s">
        <v>1443</v>
      </c>
      <c r="E25" s="689" t="e">
        <f>HLOOKUP($D$2,'2020 Data(H)'!$C$1:$CR$397,152,FALSE)</f>
        <v>#N/A</v>
      </c>
      <c r="F25" s="300">
        <v>0</v>
      </c>
      <c r="G25" s="750">
        <f>IF(F25&lt;0,"Note: Number is normally positive.",)</f>
        <v>0</v>
      </c>
      <c r="H25" s="17"/>
      <c r="I25" s="79"/>
      <c r="L25" s="724"/>
      <c r="Z25" s="108"/>
      <c r="AA25" s="108"/>
      <c r="AB25" s="108"/>
      <c r="AC25" s="108"/>
      <c r="AD25" s="108"/>
      <c r="AE25" s="108"/>
      <c r="AF25" s="108"/>
      <c r="AG25" s="108"/>
      <c r="AH25" s="108"/>
      <c r="AI25" s="108"/>
      <c r="AJ25" s="108"/>
      <c r="AK25" s="108"/>
      <c r="AL25" s="108"/>
      <c r="AM25" s="108"/>
      <c r="AN25" s="108"/>
      <c r="AO25" s="108"/>
      <c r="AP25" s="108"/>
      <c r="AQ25" s="108"/>
      <c r="AR25" s="108"/>
    </row>
    <row r="26" spans="1:44" ht="59.25" customHeight="1" thickBot="1" x14ac:dyDescent="0.35">
      <c r="A26" s="108">
        <v>503</v>
      </c>
      <c r="B26" s="613" t="s">
        <v>55</v>
      </c>
      <c r="C26" s="655" t="s">
        <v>136</v>
      </c>
      <c r="D26" s="107" t="s">
        <v>135</v>
      </c>
      <c r="E26" s="689" t="e">
        <f>HLOOKUP($D$2,'2020 Data(H)'!$C$1:$CR$397,153,FALSE)</f>
        <v>#N/A</v>
      </c>
      <c r="F26" s="279">
        <v>0</v>
      </c>
      <c r="G26" s="750">
        <f>IF(F26&lt;0,"Note: Number is normally positive.",)</f>
        <v>0</v>
      </c>
      <c r="H26" s="17"/>
      <c r="I26" s="79"/>
      <c r="L26" s="724"/>
      <c r="Z26" s="108"/>
      <c r="AA26" s="108"/>
      <c r="AB26" s="108"/>
      <c r="AC26" s="108"/>
      <c r="AD26" s="108"/>
      <c r="AE26" s="108"/>
      <c r="AF26" s="108"/>
      <c r="AG26" s="108"/>
      <c r="AH26" s="108"/>
      <c r="AI26" s="108"/>
      <c r="AJ26" s="108"/>
      <c r="AK26" s="108"/>
      <c r="AL26" s="108"/>
      <c r="AM26" s="108"/>
      <c r="AN26" s="108"/>
      <c r="AO26" s="108"/>
      <c r="AP26" s="108"/>
      <c r="AQ26" s="108"/>
      <c r="AR26" s="108"/>
    </row>
    <row r="27" spans="1:44" ht="27" customHeight="1" thickBot="1" x14ac:dyDescent="0.35">
      <c r="A27" s="108"/>
      <c r="B27" s="861" t="s">
        <v>137</v>
      </c>
      <c r="C27" s="862"/>
      <c r="D27" s="866"/>
      <c r="E27" s="867"/>
      <c r="F27" s="868"/>
      <c r="G27" s="869"/>
      <c r="H27" s="17"/>
      <c r="I27" s="79"/>
      <c r="L27" s="724"/>
      <c r="Z27" s="108"/>
      <c r="AA27" s="108"/>
      <c r="AB27" s="108"/>
      <c r="AC27" s="108"/>
      <c r="AD27" s="108"/>
      <c r="AE27" s="108"/>
      <c r="AF27" s="108"/>
      <c r="AG27" s="108"/>
      <c r="AH27" s="108"/>
      <c r="AI27" s="108"/>
      <c r="AJ27" s="108"/>
      <c r="AK27" s="108"/>
      <c r="AL27" s="108"/>
      <c r="AM27" s="108"/>
      <c r="AN27" s="108"/>
      <c r="AO27" s="108"/>
      <c r="AP27" s="108"/>
      <c r="AQ27" s="108"/>
      <c r="AR27" s="108"/>
    </row>
    <row r="28" spans="1:44" ht="49.5" customHeight="1" thickBot="1" x14ac:dyDescent="0.35">
      <c r="A28" s="108">
        <v>344</v>
      </c>
      <c r="B28" s="613" t="s">
        <v>56</v>
      </c>
      <c r="C28" s="613" t="s">
        <v>144</v>
      </c>
      <c r="D28" s="107" t="s">
        <v>138</v>
      </c>
      <c r="E28" s="689" t="e">
        <f>HLOOKUP($D$2,'2020 Data(H)'!$C$1:$CR$397,110,FALSE)</f>
        <v>#N/A</v>
      </c>
      <c r="F28" s="300">
        <v>0</v>
      </c>
      <c r="G28" s="750">
        <f t="shared" ref="G28:G35" si="0">IF(F28&lt;0,"Error: Enter as positive.",)</f>
        <v>0</v>
      </c>
      <c r="H28" s="17"/>
      <c r="I28" s="79"/>
      <c r="L28" s="724"/>
      <c r="Z28" s="108"/>
      <c r="AA28" s="108"/>
      <c r="AB28" s="108"/>
      <c r="AC28" s="108"/>
      <c r="AD28" s="108"/>
      <c r="AE28" s="108"/>
      <c r="AF28" s="108"/>
      <c r="AG28" s="108"/>
      <c r="AH28" s="108"/>
      <c r="AI28" s="108"/>
      <c r="AJ28" s="108"/>
      <c r="AK28" s="108"/>
      <c r="AL28" s="108"/>
      <c r="AM28" s="108"/>
      <c r="AN28" s="108"/>
      <c r="AO28" s="108"/>
      <c r="AP28" s="108"/>
      <c r="AQ28" s="108"/>
      <c r="AR28" s="108"/>
    </row>
    <row r="29" spans="1:44" ht="49.5" customHeight="1" thickBot="1" x14ac:dyDescent="0.35">
      <c r="A29" s="108">
        <v>388</v>
      </c>
      <c r="B29" s="613" t="s">
        <v>60</v>
      </c>
      <c r="C29" s="613" t="s">
        <v>144</v>
      </c>
      <c r="D29" s="107" t="s">
        <v>139</v>
      </c>
      <c r="E29" s="689" t="e">
        <f>HLOOKUP($D$2,'2020 Data(H)'!$C$1:$CR$397,147,FALSE)</f>
        <v>#N/A</v>
      </c>
      <c r="F29" s="300">
        <v>0</v>
      </c>
      <c r="G29" s="750">
        <f t="shared" si="0"/>
        <v>0</v>
      </c>
      <c r="H29" s="17"/>
      <c r="I29" s="79"/>
      <c r="J29" s="595"/>
      <c r="L29" s="724"/>
      <c r="Z29" s="108"/>
      <c r="AA29" s="108"/>
      <c r="AB29" s="108"/>
      <c r="AC29" s="108"/>
      <c r="AD29" s="108"/>
      <c r="AE29" s="108"/>
      <c r="AF29" s="108"/>
      <c r="AG29" s="108"/>
      <c r="AH29" s="108"/>
      <c r="AI29" s="108"/>
      <c r="AJ29" s="108"/>
      <c r="AK29" s="108"/>
      <c r="AL29" s="108"/>
      <c r="AM29" s="108"/>
      <c r="AN29" s="108"/>
      <c r="AO29" s="108"/>
      <c r="AP29" s="108"/>
      <c r="AQ29" s="108"/>
      <c r="AR29" s="108"/>
    </row>
    <row r="30" spans="1:44" ht="51.75" customHeight="1" thickBot="1" x14ac:dyDescent="0.35">
      <c r="A30" s="108">
        <v>339</v>
      </c>
      <c r="B30" s="613" t="s">
        <v>56</v>
      </c>
      <c r="C30" s="613" t="s">
        <v>144</v>
      </c>
      <c r="D30" s="107" t="s">
        <v>140</v>
      </c>
      <c r="E30" s="689" t="e">
        <f>HLOOKUP($D$2,'2020 Data(H)'!$C$1:$CR$397,105,FALSE)</f>
        <v>#N/A</v>
      </c>
      <c r="F30" s="300">
        <v>0</v>
      </c>
      <c r="G30" s="750">
        <f t="shared" si="0"/>
        <v>0</v>
      </c>
      <c r="H30" s="17"/>
      <c r="I30" s="79"/>
      <c r="J30" s="595"/>
      <c r="L30" s="724"/>
      <c r="Z30" s="108"/>
      <c r="AA30" s="108"/>
      <c r="AB30" s="108"/>
      <c r="AC30" s="108"/>
      <c r="AD30" s="108"/>
      <c r="AE30" s="108"/>
      <c r="AF30" s="108"/>
      <c r="AG30" s="108"/>
      <c r="AH30" s="108"/>
      <c r="AI30" s="108"/>
      <c r="AJ30" s="108"/>
      <c r="AK30" s="108"/>
      <c r="AL30" s="108"/>
      <c r="AM30" s="108"/>
      <c r="AN30" s="108"/>
      <c r="AO30" s="108"/>
      <c r="AP30" s="108"/>
      <c r="AQ30" s="108"/>
      <c r="AR30" s="108"/>
    </row>
    <row r="31" spans="1:44" ht="50.25" customHeight="1" thickBot="1" x14ac:dyDescent="0.35">
      <c r="A31" s="108">
        <v>504</v>
      </c>
      <c r="B31" s="613" t="s">
        <v>56</v>
      </c>
      <c r="C31" s="613" t="s">
        <v>144</v>
      </c>
      <c r="D31" s="107" t="s">
        <v>141</v>
      </c>
      <c r="E31" s="689" t="e">
        <f>HLOOKUP($D$2,'2020 Data(H)'!$C$1:$CR$397,154,FALSE)</f>
        <v>#N/A</v>
      </c>
      <c r="F31" s="300">
        <v>0</v>
      </c>
      <c r="G31" s="750">
        <f t="shared" si="0"/>
        <v>0</v>
      </c>
      <c r="H31" s="17"/>
      <c r="I31" s="79"/>
      <c r="J31" s="595"/>
      <c r="L31" s="724"/>
      <c r="Z31" s="108"/>
      <c r="AA31" s="108"/>
      <c r="AB31" s="108"/>
      <c r="AC31" s="108"/>
      <c r="AD31" s="108"/>
      <c r="AE31" s="108"/>
      <c r="AF31" s="108"/>
      <c r="AG31" s="108"/>
      <c r="AH31" s="108"/>
      <c r="AI31" s="108"/>
      <c r="AJ31" s="108"/>
      <c r="AK31" s="108"/>
      <c r="AL31" s="108"/>
      <c r="AM31" s="108"/>
      <c r="AN31" s="108"/>
      <c r="AO31" s="108"/>
      <c r="AP31" s="108"/>
      <c r="AQ31" s="108"/>
      <c r="AR31" s="108"/>
    </row>
    <row r="32" spans="1:44" ht="60" customHeight="1" thickBot="1" x14ac:dyDescent="0.35">
      <c r="A32" s="108">
        <v>505</v>
      </c>
      <c r="B32" s="613" t="s">
        <v>56</v>
      </c>
      <c r="C32" s="613" t="s">
        <v>144</v>
      </c>
      <c r="D32" s="708" t="s">
        <v>142</v>
      </c>
      <c r="E32" s="689" t="e">
        <f>HLOOKUP($D$2,'2020 Data(H)'!$C$1:$CR$397,155,FALSE)</f>
        <v>#N/A</v>
      </c>
      <c r="F32" s="300">
        <v>0</v>
      </c>
      <c r="G32" s="750">
        <f t="shared" si="0"/>
        <v>0</v>
      </c>
      <c r="H32" s="17"/>
      <c r="I32" s="79"/>
      <c r="J32" s="595"/>
      <c r="L32" s="724"/>
      <c r="Z32" s="108"/>
      <c r="AA32" s="108"/>
      <c r="AB32" s="108"/>
      <c r="AC32" s="108"/>
      <c r="AD32" s="108"/>
      <c r="AE32" s="108"/>
      <c r="AF32" s="108"/>
      <c r="AG32" s="108"/>
      <c r="AH32" s="108"/>
      <c r="AI32" s="108"/>
      <c r="AJ32" s="108"/>
      <c r="AK32" s="108"/>
      <c r="AL32" s="108"/>
      <c r="AM32" s="108"/>
      <c r="AN32" s="108"/>
      <c r="AO32" s="108"/>
      <c r="AP32" s="108"/>
      <c r="AQ32" s="108"/>
      <c r="AR32" s="108"/>
    </row>
    <row r="33" spans="1:44" ht="67.95" customHeight="1" thickBot="1" x14ac:dyDescent="0.35">
      <c r="A33" s="108">
        <v>341</v>
      </c>
      <c r="B33" s="613" t="s">
        <v>56</v>
      </c>
      <c r="C33" s="613" t="s">
        <v>144</v>
      </c>
      <c r="D33" s="728" t="s">
        <v>1444</v>
      </c>
      <c r="E33" s="689" t="e">
        <f>HLOOKUP($D$2,'2020 Data(H)'!$C$1:$CR$397,107,FALSE)</f>
        <v>#N/A</v>
      </c>
      <c r="F33" s="300">
        <v>0</v>
      </c>
      <c r="G33" s="750">
        <f t="shared" si="0"/>
        <v>0</v>
      </c>
      <c r="H33" s="17"/>
      <c r="I33" s="79"/>
      <c r="J33" s="595"/>
      <c r="L33" s="724"/>
      <c r="Z33" s="108"/>
      <c r="AA33" s="108"/>
      <c r="AB33" s="108"/>
      <c r="AC33" s="108"/>
      <c r="AD33" s="108"/>
      <c r="AE33" s="108"/>
      <c r="AF33" s="108"/>
      <c r="AG33" s="108"/>
      <c r="AH33" s="108"/>
      <c r="AI33" s="108"/>
      <c r="AJ33" s="108"/>
      <c r="AK33" s="108"/>
      <c r="AL33" s="108"/>
      <c r="AM33" s="108"/>
      <c r="AN33" s="108"/>
      <c r="AO33" s="108"/>
      <c r="AP33" s="108"/>
      <c r="AQ33" s="108"/>
      <c r="AR33" s="108"/>
    </row>
    <row r="34" spans="1:44" ht="44.25" customHeight="1" thickBot="1" x14ac:dyDescent="0.35">
      <c r="A34" s="108">
        <v>386</v>
      </c>
      <c r="B34" s="613" t="s">
        <v>56</v>
      </c>
      <c r="C34" s="613" t="s">
        <v>144</v>
      </c>
      <c r="D34" s="107" t="s">
        <v>1445</v>
      </c>
      <c r="E34" s="689" t="e">
        <f>HLOOKUP($D$2,'2020 Data(H)'!$C$1:$CR$397,145,FALSE)</f>
        <v>#N/A</v>
      </c>
      <c r="F34" s="300">
        <v>0</v>
      </c>
      <c r="G34" s="750">
        <f t="shared" si="0"/>
        <v>0</v>
      </c>
      <c r="H34" s="17"/>
      <c r="I34" s="79"/>
      <c r="L34" s="724"/>
      <c r="Z34" s="108"/>
      <c r="AA34" s="108"/>
      <c r="AB34" s="108"/>
      <c r="AC34" s="108"/>
      <c r="AD34" s="108"/>
      <c r="AE34" s="108"/>
      <c r="AF34" s="108"/>
      <c r="AG34" s="108"/>
      <c r="AH34" s="108"/>
      <c r="AI34" s="108"/>
      <c r="AJ34" s="108"/>
      <c r="AK34" s="108"/>
      <c r="AL34" s="108"/>
      <c r="AM34" s="108"/>
      <c r="AN34" s="108"/>
      <c r="AO34" s="108"/>
      <c r="AP34" s="108"/>
      <c r="AQ34" s="108"/>
      <c r="AR34" s="108"/>
    </row>
    <row r="35" spans="1:44" ht="48.75" customHeight="1" thickBot="1" x14ac:dyDescent="0.35">
      <c r="A35" s="108">
        <v>387</v>
      </c>
      <c r="B35" s="613" t="s">
        <v>60</v>
      </c>
      <c r="C35" s="613" t="s">
        <v>144</v>
      </c>
      <c r="D35" s="107" t="s">
        <v>1446</v>
      </c>
      <c r="E35" s="689" t="e">
        <f>HLOOKUP($D$2,'2020 Data(H)'!$C$1:$CR$397,146,FALSE)</f>
        <v>#N/A</v>
      </c>
      <c r="F35" s="300">
        <v>0</v>
      </c>
      <c r="G35" s="750">
        <f t="shared" si="0"/>
        <v>0</v>
      </c>
      <c r="H35" s="17"/>
      <c r="I35" s="79"/>
      <c r="L35" s="724"/>
      <c r="Z35" s="108"/>
      <c r="AA35" s="108"/>
      <c r="AB35" s="108"/>
      <c r="AC35" s="108"/>
      <c r="AD35" s="108"/>
      <c r="AE35" s="108"/>
      <c r="AF35" s="108"/>
      <c r="AG35" s="108"/>
      <c r="AH35" s="108"/>
      <c r="AI35" s="108"/>
      <c r="AJ35" s="108"/>
      <c r="AK35" s="108"/>
      <c r="AL35" s="108"/>
      <c r="AM35" s="108"/>
      <c r="AN35" s="108"/>
      <c r="AO35" s="108"/>
      <c r="AP35" s="108"/>
      <c r="AQ35" s="108"/>
      <c r="AR35" s="108"/>
    </row>
    <row r="36" spans="1:44" ht="92.25" customHeight="1" thickBot="1" x14ac:dyDescent="0.35">
      <c r="A36" s="108">
        <v>389</v>
      </c>
      <c r="B36" s="613" t="s">
        <v>60</v>
      </c>
      <c r="C36" s="613" t="s">
        <v>144</v>
      </c>
      <c r="D36" s="728" t="s">
        <v>1447</v>
      </c>
      <c r="E36" s="689" t="e">
        <f>HLOOKUP($D$2,'2020 Data(H)'!$C$1:$CR$397,148,FALSE)</f>
        <v>#N/A</v>
      </c>
      <c r="F36" s="300">
        <v>0</v>
      </c>
      <c r="G36" s="750"/>
      <c r="H36" s="17"/>
      <c r="I36" s="79"/>
      <c r="J36" s="595"/>
      <c r="L36" s="724"/>
      <c r="Z36" s="108"/>
      <c r="AA36" s="108"/>
      <c r="AB36" s="108"/>
      <c r="AC36" s="108"/>
      <c r="AD36" s="108"/>
      <c r="AE36" s="108"/>
      <c r="AF36" s="108"/>
      <c r="AG36" s="108"/>
      <c r="AH36" s="108"/>
      <c r="AI36" s="108"/>
      <c r="AJ36" s="108"/>
      <c r="AK36" s="108"/>
      <c r="AL36" s="108"/>
      <c r="AM36" s="108"/>
      <c r="AN36" s="108"/>
      <c r="AO36" s="108"/>
      <c r="AP36" s="108"/>
      <c r="AQ36" s="108"/>
      <c r="AR36" s="108"/>
    </row>
    <row r="37" spans="1:44" ht="84.75" customHeight="1" thickBot="1" x14ac:dyDescent="0.35">
      <c r="A37" s="108">
        <v>255</v>
      </c>
      <c r="B37" s="613" t="s">
        <v>56</v>
      </c>
      <c r="C37" s="613" t="s">
        <v>144</v>
      </c>
      <c r="D37" s="728" t="s">
        <v>1448</v>
      </c>
      <c r="E37" s="689" t="e">
        <f>HLOOKUP($D$2,'2020 Data(H)'!$C$1:$CR$397,81,FALSE)</f>
        <v>#N/A</v>
      </c>
      <c r="F37" s="300">
        <v>0</v>
      </c>
      <c r="G37" s="750">
        <f>IF(H37=0,,"Error: Total revenues less total expenses do not equal total change in net position. Account numbers 339+504+505+341+386-387+389-388-255 = 0  The amount the formula is off is located in the cell to the right")</f>
        <v>0</v>
      </c>
      <c r="H37" s="753">
        <f>F30+F31+F32+F33+F34-F35+F36-F29-F37</f>
        <v>0</v>
      </c>
      <c r="I37" s="79"/>
      <c r="J37" s="595"/>
      <c r="L37" s="724"/>
      <c r="Z37" s="108"/>
      <c r="AA37" s="108"/>
      <c r="AB37" s="108"/>
      <c r="AC37" s="108"/>
      <c r="AD37" s="108"/>
      <c r="AE37" s="108"/>
      <c r="AF37" s="108"/>
      <c r="AG37" s="108"/>
      <c r="AH37" s="108"/>
      <c r="AI37" s="108"/>
      <c r="AJ37" s="108"/>
      <c r="AK37" s="108"/>
      <c r="AL37" s="108"/>
      <c r="AM37" s="108"/>
      <c r="AN37" s="108"/>
      <c r="AO37" s="108"/>
      <c r="AP37" s="108"/>
      <c r="AQ37" s="108"/>
      <c r="AR37" s="108"/>
    </row>
    <row r="38" spans="1:44" ht="138" customHeight="1" thickBot="1" x14ac:dyDescent="0.35">
      <c r="A38" s="108">
        <v>376</v>
      </c>
      <c r="B38" s="613" t="s">
        <v>56</v>
      </c>
      <c r="C38" s="613" t="s">
        <v>144</v>
      </c>
      <c r="D38" s="728" t="s">
        <v>1449</v>
      </c>
      <c r="E38" s="689" t="e">
        <f>HLOOKUP($D$2,'2020 Data(H)'!$C$1:$CR$397,135,FALSE)</f>
        <v>#N/A</v>
      </c>
      <c r="F38" s="298">
        <v>0</v>
      </c>
      <c r="G38" s="931" t="e">
        <f>IF(H38=0,,"Error: Beginning Balance does not agree with our records.  Account numbers  252+253+254-255-376-(Prior Year 252+253+254)=0  The amount the formula is off is located in the cell to the right")</f>
        <v>#N/A</v>
      </c>
      <c r="H38" s="757" t="e">
        <f>F21+F22+F23-F37-F38-(E21+E22+E23)</f>
        <v>#N/A</v>
      </c>
      <c r="I38" s="1174" t="s">
        <v>1803</v>
      </c>
      <c r="J38" s="595"/>
      <c r="L38" s="724"/>
      <c r="Z38" s="108"/>
      <c r="AA38" s="108"/>
      <c r="AB38" s="108"/>
      <c r="AC38" s="108"/>
      <c r="AD38" s="108"/>
      <c r="AE38" s="108"/>
      <c r="AF38" s="108"/>
      <c r="AG38" s="108"/>
      <c r="AH38" s="108"/>
      <c r="AI38" s="108"/>
      <c r="AJ38" s="108"/>
      <c r="AK38" s="108"/>
      <c r="AL38" s="108"/>
      <c r="AM38" s="108"/>
      <c r="AN38" s="108"/>
      <c r="AO38" s="108"/>
      <c r="AP38" s="108"/>
      <c r="AQ38" s="108"/>
      <c r="AR38" s="108"/>
    </row>
    <row r="39" spans="1:44" s="18" customFormat="1" ht="141.75" customHeight="1" thickBot="1" x14ac:dyDescent="0.35">
      <c r="A39" s="108">
        <v>597</v>
      </c>
      <c r="B39" s="655" t="s">
        <v>607</v>
      </c>
      <c r="C39" s="655" t="s">
        <v>673</v>
      </c>
      <c r="D39" s="832" t="s">
        <v>1450</v>
      </c>
      <c r="E39" s="689" t="e">
        <f>HLOOKUP($D$2,'2020 Data(H)'!$C$1:$CR$397,256,FALSE)</f>
        <v>#N/A</v>
      </c>
      <c r="F39" s="298">
        <v>0</v>
      </c>
      <c r="G39" s="750">
        <f>IF(F39&lt;0,"Note: Number is normally positive.",)</f>
        <v>0</v>
      </c>
      <c r="H39" s="751"/>
      <c r="I39" s="752"/>
      <c r="J39" s="595"/>
      <c r="L39" s="724"/>
      <c r="N39" s="301"/>
      <c r="Z39" s="108"/>
      <c r="AA39" s="108"/>
      <c r="AB39" s="108"/>
      <c r="AC39" s="108"/>
      <c r="AD39" s="108"/>
      <c r="AE39" s="108"/>
      <c r="AF39" s="108"/>
      <c r="AG39" s="108"/>
      <c r="AH39" s="108"/>
      <c r="AI39" s="108"/>
      <c r="AJ39" s="108"/>
      <c r="AK39" s="108"/>
      <c r="AL39" s="108"/>
      <c r="AM39" s="108"/>
      <c r="AN39" s="108"/>
      <c r="AO39" s="108"/>
      <c r="AP39" s="108"/>
      <c r="AQ39" s="108"/>
      <c r="AR39" s="108"/>
    </row>
    <row r="40" spans="1:44" ht="25.5" customHeight="1" thickBot="1" x14ac:dyDescent="0.35">
      <c r="A40" s="108"/>
      <c r="B40" s="861" t="s">
        <v>606</v>
      </c>
      <c r="C40" s="862"/>
      <c r="D40" s="866"/>
      <c r="E40" s="867"/>
      <c r="F40" s="868"/>
      <c r="G40" s="869"/>
      <c r="H40" s="17"/>
      <c r="I40" s="79"/>
      <c r="L40" s="724"/>
      <c r="Z40" s="108"/>
      <c r="AA40" s="108"/>
      <c r="AB40" s="108"/>
      <c r="AC40" s="108"/>
      <c r="AD40" s="108"/>
      <c r="AE40" s="108"/>
      <c r="AF40" s="108"/>
      <c r="AG40" s="108"/>
      <c r="AH40" s="108"/>
      <c r="AI40" s="108"/>
      <c r="AJ40" s="108"/>
      <c r="AK40" s="108"/>
      <c r="AL40" s="108"/>
      <c r="AM40" s="108"/>
      <c r="AN40" s="108"/>
      <c r="AO40" s="108"/>
      <c r="AP40" s="108"/>
      <c r="AQ40" s="108"/>
      <c r="AR40" s="108"/>
    </row>
    <row r="41" spans="1:44" s="18" customFormat="1" ht="86.25" customHeight="1" thickBot="1" x14ac:dyDescent="0.35">
      <c r="A41" s="108">
        <v>592</v>
      </c>
      <c r="B41" s="655" t="s">
        <v>59</v>
      </c>
      <c r="C41" s="655" t="s">
        <v>608</v>
      </c>
      <c r="D41" s="728" t="s">
        <v>1451</v>
      </c>
      <c r="E41" s="689" t="e">
        <f>HLOOKUP($D$2,'2020 Data(H)'!$C$1:$CR$397,253,FALSE)</f>
        <v>#N/A</v>
      </c>
      <c r="F41" s="758">
        <v>0</v>
      </c>
      <c r="G41" s="750"/>
      <c r="H41" s="751"/>
      <c r="J41" s="595"/>
      <c r="L41" s="724"/>
      <c r="N41" s="301"/>
      <c r="Z41" s="108"/>
      <c r="AA41" s="108"/>
      <c r="AB41" s="108"/>
      <c r="AC41" s="108"/>
      <c r="AD41" s="108"/>
      <c r="AE41" s="108"/>
      <c r="AF41" s="108"/>
      <c r="AG41" s="108"/>
      <c r="AH41" s="108"/>
      <c r="AI41" s="108"/>
      <c r="AJ41" s="108"/>
      <c r="AK41" s="108"/>
      <c r="AL41" s="108"/>
      <c r="AM41" s="108"/>
      <c r="AN41" s="108"/>
      <c r="AO41" s="108"/>
      <c r="AP41" s="108"/>
      <c r="AQ41" s="108"/>
      <c r="AR41" s="108"/>
    </row>
    <row r="42" spans="1:44" s="18" customFormat="1" ht="71.25" customHeight="1" thickBot="1" x14ac:dyDescent="0.35">
      <c r="A42" s="108">
        <v>591</v>
      </c>
      <c r="B42" s="655" t="s">
        <v>59</v>
      </c>
      <c r="C42" s="655" t="s">
        <v>608</v>
      </c>
      <c r="D42" s="107" t="s">
        <v>609</v>
      </c>
      <c r="E42" s="689" t="e">
        <f>HLOOKUP($D$2,'2020 Data(H)'!$C$1:$CR$397,252,FALSE)</f>
        <v>#N/A</v>
      </c>
      <c r="F42" s="758">
        <v>0</v>
      </c>
      <c r="G42" s="750">
        <f>IF(F42&lt;0,"Error: Enter as positive.",)</f>
        <v>0</v>
      </c>
      <c r="H42" s="751"/>
      <c r="J42" s="595"/>
      <c r="L42" s="724"/>
      <c r="N42" s="301"/>
      <c r="Z42" s="108"/>
      <c r="AA42" s="108"/>
      <c r="AB42" s="108"/>
      <c r="AC42" s="108"/>
      <c r="AD42" s="108"/>
      <c r="AE42" s="108"/>
      <c r="AF42" s="108"/>
      <c r="AG42" s="108"/>
      <c r="AH42" s="108"/>
      <c r="AI42" s="108"/>
      <c r="AJ42" s="108"/>
      <c r="AK42" s="108"/>
      <c r="AL42" s="108"/>
      <c r="AM42" s="108"/>
      <c r="AN42" s="108"/>
      <c r="AO42" s="108"/>
      <c r="AP42" s="108"/>
      <c r="AQ42" s="108"/>
      <c r="AR42" s="108"/>
    </row>
    <row r="43" spans="1:44" s="18" customFormat="1" ht="71.25" hidden="1" customHeight="1" thickBot="1" x14ac:dyDescent="0.35">
      <c r="A43" s="108">
        <v>593</v>
      </c>
      <c r="B43" s="655" t="s">
        <v>59</v>
      </c>
      <c r="C43" s="833" t="s">
        <v>608</v>
      </c>
      <c r="D43" s="107" t="s">
        <v>1394</v>
      </c>
      <c r="E43" s="689" t="s">
        <v>1553</v>
      </c>
      <c r="F43" s="758">
        <v>0</v>
      </c>
      <c r="G43" s="750"/>
      <c r="H43" s="751"/>
      <c r="J43" s="595"/>
      <c r="L43" s="724"/>
      <c r="N43" s="301"/>
      <c r="Z43" s="108"/>
      <c r="AA43" s="108"/>
      <c r="AB43" s="108"/>
      <c r="AC43" s="108"/>
      <c r="AD43" s="108"/>
      <c r="AE43" s="108"/>
      <c r="AF43" s="108"/>
      <c r="AG43" s="108"/>
      <c r="AH43" s="108"/>
      <c r="AI43" s="108"/>
      <c r="AJ43" s="108"/>
      <c r="AK43" s="108"/>
      <c r="AL43" s="108"/>
      <c r="AM43" s="108"/>
      <c r="AN43" s="108"/>
      <c r="AO43" s="108"/>
      <c r="AP43" s="108"/>
      <c r="AQ43" s="108"/>
      <c r="AR43" s="108"/>
    </row>
    <row r="44" spans="1:44" s="18" customFormat="1" ht="71.25" hidden="1" customHeight="1" thickBot="1" x14ac:dyDescent="0.35">
      <c r="A44" s="108">
        <v>594</v>
      </c>
      <c r="B44" s="655" t="s">
        <v>59</v>
      </c>
      <c r="C44" s="833" t="s">
        <v>608</v>
      </c>
      <c r="D44" s="107" t="s">
        <v>1395</v>
      </c>
      <c r="E44" s="689" t="s">
        <v>1553</v>
      </c>
      <c r="F44" s="758">
        <v>0</v>
      </c>
      <c r="G44" s="750"/>
      <c r="H44" s="751"/>
      <c r="J44" s="595"/>
      <c r="L44" s="724"/>
      <c r="N44" s="301"/>
      <c r="Z44" s="108"/>
      <c r="AA44" s="108"/>
      <c r="AB44" s="108"/>
      <c r="AC44" s="108"/>
      <c r="AD44" s="108"/>
      <c r="AE44" s="108"/>
      <c r="AF44" s="108"/>
      <c r="AG44" s="108"/>
      <c r="AH44" s="108"/>
      <c r="AI44" s="108"/>
      <c r="AJ44" s="108"/>
      <c r="AK44" s="108"/>
      <c r="AL44" s="108"/>
      <c r="AM44" s="108"/>
      <c r="AN44" s="108"/>
      <c r="AO44" s="108"/>
      <c r="AP44" s="108"/>
      <c r="AQ44" s="108"/>
      <c r="AR44" s="108"/>
    </row>
    <row r="45" spans="1:44" s="18" customFormat="1" ht="27" hidden="1" customHeight="1" thickBot="1" x14ac:dyDescent="0.35">
      <c r="A45" s="108"/>
      <c r="B45" s="861" t="s">
        <v>1557</v>
      </c>
      <c r="C45" s="917"/>
      <c r="D45" s="918"/>
      <c r="E45" s="894"/>
      <c r="F45" s="868"/>
      <c r="G45" s="879"/>
      <c r="H45" s="751"/>
      <c r="J45" s="595"/>
      <c r="L45" s="724"/>
      <c r="N45" s="301"/>
      <c r="Z45" s="108"/>
      <c r="AA45" s="108"/>
      <c r="AB45" s="108"/>
      <c r="AC45" s="108"/>
      <c r="AD45" s="108"/>
      <c r="AE45" s="108"/>
      <c r="AF45" s="108"/>
      <c r="AG45" s="108"/>
      <c r="AH45" s="108"/>
      <c r="AI45" s="108"/>
      <c r="AJ45" s="108"/>
      <c r="AK45" s="108"/>
      <c r="AL45" s="108"/>
      <c r="AM45" s="108"/>
      <c r="AN45" s="108"/>
      <c r="AO45" s="108"/>
      <c r="AP45" s="108"/>
      <c r="AQ45" s="108"/>
      <c r="AR45" s="108"/>
    </row>
    <row r="46" spans="1:44" s="18" customFormat="1" ht="71.25" hidden="1" customHeight="1" thickBot="1" x14ac:dyDescent="0.35">
      <c r="A46" s="108">
        <v>558</v>
      </c>
      <c r="B46" s="655" t="s">
        <v>59</v>
      </c>
      <c r="C46" s="833" t="s">
        <v>1396</v>
      </c>
      <c r="D46" s="107" t="s">
        <v>1401</v>
      </c>
      <c r="E46" s="689" t="e">
        <f>HLOOKUP($D$2,'2020 Data(H)'!$C$1:$CR$397,208,FALSE)</f>
        <v>#N/A</v>
      </c>
      <c r="F46" s="758">
        <v>0</v>
      </c>
      <c r="G46" s="750"/>
      <c r="H46" s="751"/>
      <c r="J46" s="595"/>
      <c r="L46" s="724"/>
      <c r="N46" s="301"/>
      <c r="Z46" s="108"/>
      <c r="AA46" s="108"/>
      <c r="AB46" s="108"/>
      <c r="AC46" s="108"/>
      <c r="AD46" s="108"/>
      <c r="AE46" s="108"/>
      <c r="AF46" s="108"/>
      <c r="AG46" s="108"/>
      <c r="AH46" s="108"/>
      <c r="AI46" s="108"/>
      <c r="AJ46" s="108"/>
      <c r="AK46" s="108"/>
      <c r="AL46" s="108"/>
      <c r="AM46" s="108"/>
      <c r="AN46" s="108"/>
      <c r="AO46" s="108"/>
      <c r="AP46" s="108"/>
      <c r="AQ46" s="108"/>
      <c r="AR46" s="108"/>
    </row>
    <row r="47" spans="1:44" s="18" customFormat="1" ht="71.25" hidden="1" customHeight="1" thickBot="1" x14ac:dyDescent="0.35">
      <c r="A47" s="108">
        <v>559</v>
      </c>
      <c r="B47" s="655" t="s">
        <v>59</v>
      </c>
      <c r="C47" s="833" t="s">
        <v>1396</v>
      </c>
      <c r="D47" s="107" t="s">
        <v>146</v>
      </c>
      <c r="E47" s="689" t="e">
        <f>HLOOKUP($D$2,'2020 Data(H)'!$C$1:$CR$397,209,FALSE)</f>
        <v>#N/A</v>
      </c>
      <c r="F47" s="758">
        <v>0</v>
      </c>
      <c r="G47" s="750"/>
      <c r="H47" s="751"/>
      <c r="J47" s="595"/>
      <c r="L47" s="724"/>
      <c r="N47" s="301"/>
      <c r="Z47" s="108"/>
      <c r="AA47" s="108"/>
      <c r="AB47" s="108"/>
      <c r="AC47" s="108"/>
      <c r="AD47" s="108"/>
      <c r="AE47" s="108"/>
      <c r="AF47" s="108"/>
      <c r="AG47" s="108"/>
      <c r="AH47" s="108"/>
      <c r="AI47" s="108"/>
      <c r="AJ47" s="108"/>
      <c r="AK47" s="108"/>
      <c r="AL47" s="108"/>
      <c r="AM47" s="108"/>
      <c r="AN47" s="108"/>
      <c r="AO47" s="108"/>
      <c r="AP47" s="108"/>
      <c r="AQ47" s="108"/>
      <c r="AR47" s="108"/>
    </row>
    <row r="48" spans="1:44" s="18" customFormat="1" ht="108" hidden="1" customHeight="1" thickBot="1" x14ac:dyDescent="0.35">
      <c r="A48" s="108">
        <v>560</v>
      </c>
      <c r="B48" s="655" t="s">
        <v>59</v>
      </c>
      <c r="C48" s="833" t="s">
        <v>1396</v>
      </c>
      <c r="D48" s="728" t="s">
        <v>1398</v>
      </c>
      <c r="E48" s="689" t="e">
        <f>HLOOKUP($D$2,'2020 Data(H)'!$C$1:$CR$397,210,FALSE)</f>
        <v>#N/A</v>
      </c>
      <c r="F48" s="758">
        <v>0</v>
      </c>
      <c r="G48" s="750"/>
      <c r="H48" s="751"/>
      <c r="J48" s="595"/>
      <c r="L48" s="724"/>
      <c r="N48" s="301"/>
      <c r="Z48" s="108"/>
      <c r="AA48" s="108"/>
      <c r="AB48" s="108"/>
      <c r="AC48" s="108"/>
      <c r="AD48" s="108"/>
      <c r="AE48" s="108"/>
      <c r="AF48" s="108"/>
      <c r="AG48" s="108"/>
      <c r="AH48" s="108"/>
      <c r="AI48" s="108"/>
      <c r="AJ48" s="108"/>
      <c r="AK48" s="108"/>
      <c r="AL48" s="108"/>
      <c r="AM48" s="108"/>
      <c r="AN48" s="108"/>
      <c r="AO48" s="108"/>
      <c r="AP48" s="108"/>
      <c r="AQ48" s="108"/>
      <c r="AR48" s="108"/>
    </row>
    <row r="49" spans="1:44" s="18" customFormat="1" ht="71.25" hidden="1" customHeight="1" thickBot="1" x14ac:dyDescent="0.35">
      <c r="A49" s="108">
        <v>561</v>
      </c>
      <c r="B49" s="655" t="s">
        <v>59</v>
      </c>
      <c r="C49" s="833" t="s">
        <v>1396</v>
      </c>
      <c r="D49" s="728" t="s">
        <v>1399</v>
      </c>
      <c r="E49" s="689" t="e">
        <f>HLOOKUP($D$2,'2020 Data(H)'!$C$1:$CR$397,211,FALSE)</f>
        <v>#N/A</v>
      </c>
      <c r="F49" s="758">
        <v>0</v>
      </c>
      <c r="G49" s="750"/>
      <c r="H49" s="751"/>
      <c r="J49" s="595"/>
      <c r="L49" s="724"/>
      <c r="N49" s="301"/>
      <c r="Z49" s="108"/>
      <c r="AA49" s="108"/>
      <c r="AB49" s="108"/>
      <c r="AC49" s="108"/>
      <c r="AD49" s="108"/>
      <c r="AE49" s="108"/>
      <c r="AF49" s="108"/>
      <c r="AG49" s="108"/>
      <c r="AH49" s="108"/>
      <c r="AI49" s="108"/>
      <c r="AJ49" s="108"/>
      <c r="AK49" s="108"/>
      <c r="AL49" s="108"/>
      <c r="AM49" s="108"/>
      <c r="AN49" s="108"/>
      <c r="AO49" s="108"/>
      <c r="AP49" s="108"/>
      <c r="AQ49" s="108"/>
      <c r="AR49" s="108"/>
    </row>
    <row r="50" spans="1:44" s="18" customFormat="1" ht="122.25" hidden="1" customHeight="1" thickBot="1" x14ac:dyDescent="0.35">
      <c r="A50" s="108">
        <v>563</v>
      </c>
      <c r="B50" s="655" t="s">
        <v>59</v>
      </c>
      <c r="C50" s="833" t="s">
        <v>1396</v>
      </c>
      <c r="D50" s="728" t="s">
        <v>1397</v>
      </c>
      <c r="E50" s="689" t="e">
        <f>HLOOKUP($D$2,'2020 Data(H)'!$C$1:$CR$397,213,FALSE)</f>
        <v>#N/A</v>
      </c>
      <c r="F50" s="758">
        <v>0</v>
      </c>
      <c r="G50" s="750"/>
      <c r="H50" s="751"/>
      <c r="J50" s="595"/>
      <c r="L50" s="724"/>
      <c r="N50" s="301"/>
      <c r="Z50" s="108"/>
      <c r="AA50" s="108"/>
      <c r="AB50" s="108"/>
      <c r="AC50" s="108"/>
      <c r="AD50" s="108"/>
      <c r="AE50" s="108"/>
      <c r="AF50" s="108"/>
      <c r="AG50" s="108"/>
      <c r="AH50" s="108"/>
      <c r="AI50" s="108"/>
      <c r="AJ50" s="108"/>
      <c r="AK50" s="108"/>
      <c r="AL50" s="108"/>
      <c r="AM50" s="108"/>
      <c r="AN50" s="108"/>
      <c r="AO50" s="108"/>
      <c r="AP50" s="108"/>
      <c r="AQ50" s="108"/>
      <c r="AR50" s="108"/>
    </row>
    <row r="51" spans="1:44" s="18" customFormat="1" ht="96.75" hidden="1" customHeight="1" thickBot="1" x14ac:dyDescent="0.35">
      <c r="A51" s="108">
        <v>564</v>
      </c>
      <c r="B51" s="655" t="s">
        <v>59</v>
      </c>
      <c r="C51" s="833" t="s">
        <v>1403</v>
      </c>
      <c r="D51" s="728" t="s">
        <v>1400</v>
      </c>
      <c r="E51" s="689" t="e">
        <f>HLOOKUP($D$2,'2020 Data(H)'!$C$1:$CR$397,214,FALSE)</f>
        <v>#N/A</v>
      </c>
      <c r="F51" s="758">
        <v>0</v>
      </c>
      <c r="G51" s="750"/>
      <c r="H51" s="751"/>
      <c r="J51" s="595"/>
      <c r="L51" s="724"/>
      <c r="N51" s="301"/>
      <c r="Z51" s="108"/>
      <c r="AA51" s="108"/>
      <c r="AB51" s="108"/>
      <c r="AC51" s="108"/>
      <c r="AD51" s="108"/>
      <c r="AE51" s="108"/>
      <c r="AF51" s="108"/>
      <c r="AG51" s="108"/>
      <c r="AH51" s="108"/>
      <c r="AI51" s="108"/>
      <c r="AJ51" s="108"/>
      <c r="AK51" s="108"/>
      <c r="AL51" s="108"/>
      <c r="AM51" s="108"/>
      <c r="AN51" s="108"/>
      <c r="AO51" s="108"/>
      <c r="AP51" s="108"/>
      <c r="AQ51" s="108"/>
      <c r="AR51" s="108"/>
    </row>
    <row r="52" spans="1:44" s="18" customFormat="1" ht="93.75" hidden="1" customHeight="1" thickBot="1" x14ac:dyDescent="0.35">
      <c r="A52" s="108">
        <v>568</v>
      </c>
      <c r="B52" s="655" t="s">
        <v>59</v>
      </c>
      <c r="C52" s="833" t="s">
        <v>1403</v>
      </c>
      <c r="D52" s="728" t="s">
        <v>1402</v>
      </c>
      <c r="E52" s="689" t="e">
        <f>HLOOKUP($D$2,'2020 Data(H)'!$C$1:$CR$397,218,FALSE)</f>
        <v>#N/A</v>
      </c>
      <c r="F52" s="758">
        <v>0</v>
      </c>
      <c r="G52" s="750"/>
      <c r="H52" s="751"/>
      <c r="J52" s="595"/>
      <c r="L52" s="724"/>
      <c r="N52" s="301"/>
      <c r="Z52" s="108"/>
      <c r="AA52" s="108"/>
      <c r="AB52" s="108"/>
      <c r="AC52" s="108"/>
      <c r="AD52" s="108"/>
      <c r="AE52" s="108"/>
      <c r="AF52" s="108"/>
      <c r="AG52" s="108"/>
      <c r="AH52" s="108"/>
      <c r="AI52" s="108"/>
      <c r="AJ52" s="108"/>
      <c r="AK52" s="108"/>
      <c r="AL52" s="108"/>
      <c r="AM52" s="108"/>
      <c r="AN52" s="108"/>
      <c r="AO52" s="108"/>
      <c r="AP52" s="108"/>
      <c r="AQ52" s="108"/>
      <c r="AR52" s="108"/>
    </row>
    <row r="53" spans="1:44" s="18" customFormat="1" ht="100.5" hidden="1" customHeight="1" thickBot="1" x14ac:dyDescent="0.35">
      <c r="A53" s="108">
        <v>565</v>
      </c>
      <c r="B53" s="655" t="s">
        <v>59</v>
      </c>
      <c r="C53" s="833" t="s">
        <v>1403</v>
      </c>
      <c r="D53" s="728" t="s">
        <v>533</v>
      </c>
      <c r="E53" s="689" t="e">
        <f>HLOOKUP($D$2,'2020 Data(H)'!$C$1:$CR$397,215,FALSE)</f>
        <v>#N/A</v>
      </c>
      <c r="F53" s="758">
        <v>0</v>
      </c>
      <c r="G53" s="750"/>
      <c r="H53" s="751"/>
      <c r="J53" s="595"/>
      <c r="L53" s="724"/>
      <c r="N53" s="301"/>
      <c r="Z53" s="108"/>
      <c r="AA53" s="108"/>
      <c r="AB53" s="108"/>
      <c r="AC53" s="108"/>
      <c r="AD53" s="108"/>
      <c r="AE53" s="108"/>
      <c r="AF53" s="108"/>
      <c r="AG53" s="108"/>
      <c r="AH53" s="108"/>
      <c r="AI53" s="108"/>
      <c r="AJ53" s="108"/>
      <c r="AK53" s="108"/>
      <c r="AL53" s="108"/>
      <c r="AM53" s="108"/>
      <c r="AN53" s="108"/>
      <c r="AO53" s="108"/>
      <c r="AP53" s="108"/>
      <c r="AQ53" s="108"/>
      <c r="AR53" s="108"/>
    </row>
    <row r="54" spans="1:44" s="18" customFormat="1" ht="98.25" hidden="1" customHeight="1" thickBot="1" x14ac:dyDescent="0.35">
      <c r="A54" s="108">
        <v>566</v>
      </c>
      <c r="B54" s="655" t="s">
        <v>59</v>
      </c>
      <c r="C54" s="833" t="s">
        <v>1403</v>
      </c>
      <c r="D54" s="728" t="s">
        <v>535</v>
      </c>
      <c r="E54" s="689" t="e">
        <f>HLOOKUP($D$2,'2020 Data(H)'!$C$1:$CR$397,216,FALSE)</f>
        <v>#N/A</v>
      </c>
      <c r="F54" s="758">
        <v>0</v>
      </c>
      <c r="G54" s="750"/>
      <c r="H54" s="751"/>
      <c r="J54" s="595"/>
      <c r="L54" s="724"/>
      <c r="N54" s="301"/>
      <c r="Z54" s="108"/>
      <c r="AA54" s="108"/>
      <c r="AB54" s="108"/>
      <c r="AC54" s="108"/>
      <c r="AD54" s="108"/>
      <c r="AE54" s="108"/>
      <c r="AF54" s="108"/>
      <c r="AG54" s="108"/>
      <c r="AH54" s="108"/>
      <c r="AI54" s="108"/>
      <c r="AJ54" s="108"/>
      <c r="AK54" s="108"/>
      <c r="AL54" s="108"/>
      <c r="AM54" s="108"/>
      <c r="AN54" s="108"/>
      <c r="AO54" s="108"/>
      <c r="AP54" s="108"/>
      <c r="AQ54" s="108"/>
      <c r="AR54" s="108"/>
    </row>
    <row r="55" spans="1:44" s="18" customFormat="1" ht="111" hidden="1" customHeight="1" thickBot="1" x14ac:dyDescent="0.35">
      <c r="A55" s="108">
        <v>567</v>
      </c>
      <c r="B55" s="655" t="s">
        <v>59</v>
      </c>
      <c r="C55" s="833" t="s">
        <v>1403</v>
      </c>
      <c r="D55" s="728" t="s">
        <v>1395</v>
      </c>
      <c r="E55" s="689" t="e">
        <f>HLOOKUP($D$2,'2020 Data(H)'!$C$1:$CR$397,217,FALSE)</f>
        <v>#N/A</v>
      </c>
      <c r="F55" s="758">
        <v>0</v>
      </c>
      <c r="G55" s="750"/>
      <c r="H55" s="751"/>
      <c r="J55" s="595"/>
      <c r="L55" s="724"/>
      <c r="N55" s="301"/>
      <c r="Z55" s="108"/>
      <c r="AA55" s="108"/>
      <c r="AB55" s="108"/>
      <c r="AC55" s="108"/>
      <c r="AD55" s="108"/>
      <c r="AE55" s="108"/>
      <c r="AF55" s="108"/>
      <c r="AG55" s="108"/>
      <c r="AH55" s="108"/>
      <c r="AI55" s="108"/>
      <c r="AJ55" s="108"/>
      <c r="AK55" s="108"/>
      <c r="AL55" s="108"/>
      <c r="AM55" s="108"/>
      <c r="AN55" s="108"/>
      <c r="AO55" s="108"/>
      <c r="AP55" s="108"/>
      <c r="AQ55" s="108"/>
      <c r="AR55" s="108"/>
    </row>
    <row r="56" spans="1:44" s="18" customFormat="1" ht="71.25" hidden="1" customHeight="1" thickBot="1" x14ac:dyDescent="0.35">
      <c r="A56" s="108">
        <v>562</v>
      </c>
      <c r="B56" s="655" t="s">
        <v>59</v>
      </c>
      <c r="C56" s="833" t="s">
        <v>13</v>
      </c>
      <c r="D56" s="124" t="s">
        <v>1404</v>
      </c>
      <c r="E56" s="689" t="e">
        <f>HLOOKUP($D$2,'2020 Data(H)'!$C$1:$CR$397,212,FALSE)</f>
        <v>#N/A</v>
      </c>
      <c r="F56" s="758">
        <v>0</v>
      </c>
      <c r="G56" s="750"/>
      <c r="H56" s="751"/>
      <c r="J56" s="595"/>
      <c r="L56" s="724"/>
      <c r="N56" s="301"/>
      <c r="Z56" s="108"/>
      <c r="AA56" s="108"/>
      <c r="AB56" s="108"/>
      <c r="AC56" s="108"/>
      <c r="AD56" s="108"/>
      <c r="AE56" s="108"/>
      <c r="AF56" s="108"/>
      <c r="AG56" s="108"/>
      <c r="AH56" s="108"/>
      <c r="AI56" s="108"/>
      <c r="AJ56" s="108"/>
      <c r="AK56" s="108"/>
      <c r="AL56" s="108"/>
      <c r="AM56" s="108"/>
      <c r="AN56" s="108"/>
      <c r="AO56" s="108"/>
      <c r="AP56" s="108"/>
      <c r="AQ56" s="108"/>
      <c r="AR56" s="108"/>
    </row>
    <row r="57" spans="1:44" s="18" customFormat="1" ht="71.25" hidden="1" customHeight="1" thickBot="1" x14ac:dyDescent="0.35">
      <c r="A57" s="108">
        <v>569</v>
      </c>
      <c r="B57" s="655" t="s">
        <v>59</v>
      </c>
      <c r="C57" s="833" t="s">
        <v>13</v>
      </c>
      <c r="D57" s="728" t="s">
        <v>1405</v>
      </c>
      <c r="E57" s="689" t="e">
        <f>HLOOKUP($D$2,'2020 Data(H)'!$C$1:$CR$397,219,FALSE)</f>
        <v>#N/A</v>
      </c>
      <c r="F57" s="758">
        <v>0</v>
      </c>
      <c r="G57" s="750"/>
      <c r="H57" s="751"/>
      <c r="J57" s="595"/>
      <c r="L57" s="724"/>
      <c r="N57" s="301"/>
      <c r="Z57" s="108"/>
      <c r="AA57" s="108"/>
      <c r="AB57" s="108"/>
      <c r="AC57" s="108"/>
      <c r="AD57" s="108"/>
      <c r="AE57" s="108"/>
      <c r="AF57" s="108"/>
      <c r="AG57" s="108"/>
      <c r="AH57" s="108"/>
      <c r="AI57" s="108"/>
      <c r="AJ57" s="108"/>
      <c r="AK57" s="108"/>
      <c r="AL57" s="108"/>
      <c r="AM57" s="108"/>
      <c r="AN57" s="108"/>
      <c r="AO57" s="108"/>
      <c r="AP57" s="108"/>
      <c r="AQ57" s="108"/>
      <c r="AR57" s="108"/>
    </row>
    <row r="58" spans="1:44" ht="27" customHeight="1" thickBot="1" x14ac:dyDescent="0.35">
      <c r="A58" s="108"/>
      <c r="B58" s="861" t="s">
        <v>145</v>
      </c>
      <c r="C58" s="862"/>
      <c r="D58" s="870"/>
      <c r="E58" s="867"/>
      <c r="F58" s="871"/>
      <c r="G58" s="872"/>
      <c r="H58" s="17"/>
      <c r="I58" s="79"/>
      <c r="L58" s="724"/>
      <c r="Z58" s="108"/>
      <c r="AA58" s="108"/>
      <c r="AB58" s="108"/>
      <c r="AC58" s="108"/>
      <c r="AD58" s="108"/>
      <c r="AE58" s="108"/>
      <c r="AF58" s="108"/>
      <c r="AG58" s="108"/>
      <c r="AH58" s="108"/>
      <c r="AI58" s="108"/>
      <c r="AJ58" s="108"/>
      <c r="AK58" s="108"/>
      <c r="AL58" s="108"/>
      <c r="AM58" s="108"/>
      <c r="AN58" s="108"/>
      <c r="AO58" s="108"/>
      <c r="AP58" s="108"/>
      <c r="AQ58" s="108"/>
      <c r="AR58" s="108"/>
    </row>
    <row r="59" spans="1:44" s="18" customFormat="1" ht="55.5" customHeight="1" thickBot="1" x14ac:dyDescent="0.35">
      <c r="A59" s="108">
        <v>506</v>
      </c>
      <c r="B59" s="834" t="s">
        <v>55</v>
      </c>
      <c r="C59" s="834" t="s">
        <v>149</v>
      </c>
      <c r="D59" s="107" t="s">
        <v>1452</v>
      </c>
      <c r="E59" s="947" t="e">
        <f>HLOOKUP($D$2,'2020 Data(H)'!$C$1:$CR$397,156,FALSE)</f>
        <v>#N/A</v>
      </c>
      <c r="F59" s="300">
        <v>0</v>
      </c>
      <c r="G59" s="750">
        <f>IF(F59&lt;0,"Note: Number is normally positive.",)</f>
        <v>0</v>
      </c>
      <c r="H59" s="751"/>
      <c r="I59" s="79"/>
      <c r="J59" s="595"/>
      <c r="L59" s="724"/>
      <c r="N59" s="301"/>
      <c r="Z59" s="108"/>
      <c r="AA59" s="108"/>
      <c r="AB59" s="108"/>
      <c r="AC59" s="108"/>
      <c r="AD59" s="108"/>
      <c r="AE59" s="108"/>
      <c r="AF59" s="108"/>
      <c r="AG59" s="108"/>
      <c r="AH59" s="108"/>
      <c r="AI59" s="108"/>
      <c r="AJ59" s="108"/>
      <c r="AK59" s="108"/>
      <c r="AL59" s="108"/>
      <c r="AM59" s="108"/>
      <c r="AN59" s="108"/>
      <c r="AO59" s="108"/>
      <c r="AP59" s="108"/>
      <c r="AQ59" s="108"/>
      <c r="AR59" s="108"/>
    </row>
    <row r="60" spans="1:44" s="18" customFormat="1" ht="45.75" customHeight="1" thickBot="1" x14ac:dyDescent="0.35">
      <c r="A60" s="108">
        <v>536</v>
      </c>
      <c r="B60" s="834" t="s">
        <v>55</v>
      </c>
      <c r="C60" s="834" t="s">
        <v>149</v>
      </c>
      <c r="D60" s="107" t="s">
        <v>146</v>
      </c>
      <c r="E60" s="689" t="e">
        <f>HLOOKUP($D$2,'2020 Data(H)'!$C$1:$CR$397,186,FALSE)</f>
        <v>#N/A</v>
      </c>
      <c r="F60" s="300">
        <v>0</v>
      </c>
      <c r="G60" s="750">
        <f>IF(F60&lt;0,"Note: Number is normally positive.",)</f>
        <v>0</v>
      </c>
      <c r="H60" s="751"/>
      <c r="I60" s="752"/>
      <c r="J60" s="595"/>
      <c r="L60" s="724"/>
      <c r="N60" s="301"/>
      <c r="Z60" s="108"/>
      <c r="AA60" s="108"/>
      <c r="AB60" s="108"/>
      <c r="AC60" s="108"/>
      <c r="AD60" s="108"/>
      <c r="AE60" s="108"/>
      <c r="AF60" s="108"/>
      <c r="AG60" s="108"/>
      <c r="AH60" s="108"/>
      <c r="AI60" s="108"/>
      <c r="AJ60" s="108"/>
      <c r="AK60" s="108"/>
      <c r="AL60" s="108"/>
      <c r="AM60" s="108"/>
      <c r="AN60" s="108"/>
      <c r="AO60" s="108"/>
      <c r="AP60" s="108"/>
      <c r="AQ60" s="108"/>
      <c r="AR60" s="108"/>
    </row>
    <row r="61" spans="1:44" s="18" customFormat="1" ht="51.75" customHeight="1" thickBot="1" x14ac:dyDescent="0.35">
      <c r="A61" s="108">
        <v>586</v>
      </c>
      <c r="B61" s="834" t="s">
        <v>59</v>
      </c>
      <c r="C61" s="834" t="s">
        <v>149</v>
      </c>
      <c r="D61" s="700" t="s">
        <v>561</v>
      </c>
      <c r="E61" s="689" t="e">
        <f>HLOOKUP($D$2,'2020 Data(H)'!$C$1:$CR$397,236,FALSE)</f>
        <v>#N/A</v>
      </c>
      <c r="F61" s="300">
        <v>0</v>
      </c>
      <c r="G61" s="750">
        <f>IF(F61&lt;0,"Note: Number is normally positive.",)</f>
        <v>0</v>
      </c>
      <c r="H61" s="751"/>
      <c r="I61" s="752"/>
      <c r="L61" s="724"/>
      <c r="N61" s="301"/>
      <c r="Z61" s="108"/>
      <c r="AA61" s="108"/>
      <c r="AB61" s="108"/>
      <c r="AC61" s="108"/>
      <c r="AD61" s="108"/>
      <c r="AE61" s="108"/>
      <c r="AF61" s="108"/>
      <c r="AG61" s="108"/>
      <c r="AH61" s="108"/>
      <c r="AI61" s="108"/>
      <c r="AJ61" s="108"/>
      <c r="AK61" s="108"/>
      <c r="AL61" s="108"/>
      <c r="AM61" s="108"/>
      <c r="AN61" s="108"/>
      <c r="AO61" s="108"/>
      <c r="AP61" s="108"/>
      <c r="AQ61" s="108"/>
      <c r="AR61" s="108"/>
    </row>
    <row r="62" spans="1:44" ht="37.5" customHeight="1" thickBot="1" x14ac:dyDescent="0.35">
      <c r="A62" s="108">
        <v>379</v>
      </c>
      <c r="B62" s="834" t="s">
        <v>60</v>
      </c>
      <c r="C62" s="834" t="s">
        <v>149</v>
      </c>
      <c r="D62" s="107" t="s">
        <v>130</v>
      </c>
      <c r="E62" s="689" t="e">
        <f>HLOOKUP($D$2,'2020 Data(H)'!$C$1:$CR$397,138,FALSE)</f>
        <v>#N/A</v>
      </c>
      <c r="F62" s="300">
        <v>0</v>
      </c>
      <c r="G62" s="750">
        <f>IF((F59+F60)&gt;F62,"Error: Please review account numbers (506+536)&gt;379",)</f>
        <v>0</v>
      </c>
      <c r="H62" s="17"/>
      <c r="I62" s="79"/>
      <c r="J62" s="595"/>
      <c r="L62" s="724"/>
      <c r="Z62" s="108"/>
      <c r="AA62" s="108"/>
      <c r="AB62" s="108"/>
      <c r="AC62" s="108"/>
      <c r="AD62" s="108"/>
      <c r="AE62" s="108"/>
      <c r="AF62" s="108"/>
      <c r="AG62" s="108"/>
      <c r="AH62" s="108"/>
      <c r="AI62" s="108"/>
      <c r="AJ62" s="108"/>
      <c r="AK62" s="108"/>
      <c r="AL62" s="108"/>
      <c r="AM62" s="108"/>
      <c r="AN62" s="108"/>
      <c r="AO62" s="108"/>
      <c r="AP62" s="108"/>
      <c r="AQ62" s="108"/>
      <c r="AR62" s="108"/>
    </row>
    <row r="63" spans="1:44" ht="93" customHeight="1" thickBot="1" x14ac:dyDescent="0.35">
      <c r="A63" s="108">
        <v>368</v>
      </c>
      <c r="B63" s="834" t="s">
        <v>69</v>
      </c>
      <c r="C63" s="834" t="s">
        <v>149</v>
      </c>
      <c r="D63" s="728" t="s">
        <v>1453</v>
      </c>
      <c r="E63" s="689" t="e">
        <f>HLOOKUP($D$2,'2020 Data(H)'!$C$1:$CR$397,129,FALSE)</f>
        <v>#N/A</v>
      </c>
      <c r="F63" s="300">
        <v>0</v>
      </c>
      <c r="G63" s="750">
        <f t="shared" ref="G63:G69" si="1">IF(F63&lt;0,"Error: Enter as positive.",)</f>
        <v>0</v>
      </c>
      <c r="H63" s="17"/>
      <c r="I63" s="751"/>
      <c r="J63" s="595"/>
      <c r="L63" s="724"/>
      <c r="Z63" s="108"/>
      <c r="AA63" s="108"/>
      <c r="AB63" s="108"/>
      <c r="AC63" s="108"/>
      <c r="AD63" s="108"/>
      <c r="AE63" s="108"/>
      <c r="AF63" s="108"/>
      <c r="AG63" s="108"/>
      <c r="AH63" s="108"/>
      <c r="AI63" s="108"/>
      <c r="AJ63" s="108"/>
      <c r="AK63" s="108"/>
      <c r="AL63" s="108"/>
      <c r="AM63" s="108"/>
      <c r="AN63" s="108"/>
      <c r="AO63" s="108"/>
      <c r="AP63" s="108"/>
      <c r="AQ63" s="108"/>
      <c r="AR63" s="108"/>
    </row>
    <row r="64" spans="1:44" ht="99.75" customHeight="1" thickBot="1" x14ac:dyDescent="0.35">
      <c r="A64" s="108">
        <v>4</v>
      </c>
      <c r="B64" s="834" t="s">
        <v>55</v>
      </c>
      <c r="C64" s="834" t="s">
        <v>149</v>
      </c>
      <c r="D64" s="312" t="s">
        <v>1454</v>
      </c>
      <c r="E64" s="689" t="e">
        <f>HLOOKUP($D$2,'2020 Data(H)'!$C$1:$CR$397,3,FALSE)</f>
        <v>#N/A</v>
      </c>
      <c r="F64" s="300">
        <v>0</v>
      </c>
      <c r="G64" s="750">
        <f t="shared" si="1"/>
        <v>0</v>
      </c>
      <c r="H64" s="17"/>
      <c r="I64" s="79"/>
      <c r="J64" s="595"/>
      <c r="L64" s="724"/>
      <c r="Z64" s="108"/>
      <c r="AA64" s="108"/>
      <c r="AB64" s="108"/>
      <c r="AC64" s="108"/>
      <c r="AD64" s="108"/>
      <c r="AE64" s="108"/>
      <c r="AF64" s="108"/>
      <c r="AG64" s="108"/>
      <c r="AH64" s="108"/>
      <c r="AI64" s="108"/>
      <c r="AJ64" s="108"/>
      <c r="AK64" s="108"/>
      <c r="AL64" s="108"/>
      <c r="AM64" s="108"/>
      <c r="AN64" s="108"/>
      <c r="AO64" s="108"/>
      <c r="AP64" s="108"/>
      <c r="AQ64" s="108"/>
      <c r="AR64" s="108"/>
    </row>
    <row r="65" spans="1:44" ht="132" customHeight="1" thickBot="1" x14ac:dyDescent="0.35">
      <c r="A65" s="108">
        <v>5</v>
      </c>
      <c r="B65" s="834" t="s">
        <v>55</v>
      </c>
      <c r="C65" s="834" t="s">
        <v>149</v>
      </c>
      <c r="D65" s="342" t="s">
        <v>1455</v>
      </c>
      <c r="E65" s="689" t="e">
        <f>HLOOKUP($D$2,'2020 Data(H)'!$C$1:$CR$397,4,FALSE)</f>
        <v>#N/A</v>
      </c>
      <c r="F65" s="300">
        <v>0</v>
      </c>
      <c r="G65" s="750">
        <f t="shared" si="1"/>
        <v>0</v>
      </c>
      <c r="H65" s="17"/>
      <c r="I65" s="79"/>
      <c r="J65" s="595"/>
      <c r="L65" s="724"/>
      <c r="Z65" s="108"/>
      <c r="AA65" s="108"/>
      <c r="AB65" s="108"/>
      <c r="AC65" s="108"/>
      <c r="AD65" s="108"/>
      <c r="AE65" s="108"/>
      <c r="AF65" s="108"/>
      <c r="AG65" s="108"/>
      <c r="AH65" s="108"/>
      <c r="AI65" s="108"/>
      <c r="AJ65" s="108"/>
      <c r="AK65" s="108"/>
      <c r="AL65" s="108"/>
      <c r="AM65" s="108"/>
      <c r="AN65" s="108"/>
      <c r="AO65" s="108"/>
      <c r="AP65" s="108"/>
      <c r="AQ65" s="108"/>
      <c r="AR65" s="108"/>
    </row>
    <row r="66" spans="1:44" ht="93.75" customHeight="1" thickBot="1" x14ac:dyDescent="0.35">
      <c r="A66" s="108">
        <v>380</v>
      </c>
      <c r="B66" s="834" t="s">
        <v>60</v>
      </c>
      <c r="C66" s="834" t="s">
        <v>149</v>
      </c>
      <c r="D66" s="342" t="s">
        <v>1456</v>
      </c>
      <c r="E66" s="689" t="e">
        <f>HLOOKUP($D$2,'2020 Data(H)'!$C$1:$CR$397,139,FALSE)</f>
        <v>#N/A</v>
      </c>
      <c r="F66" s="300">
        <v>0</v>
      </c>
      <c r="G66" s="750">
        <f t="shared" si="1"/>
        <v>0</v>
      </c>
      <c r="H66" s="17"/>
      <c r="I66" s="79"/>
      <c r="J66" s="595"/>
      <c r="L66" s="724"/>
      <c r="Z66" s="108"/>
      <c r="AA66" s="108"/>
      <c r="AB66" s="108"/>
      <c r="AC66" s="108"/>
      <c r="AD66" s="108"/>
      <c r="AE66" s="108"/>
      <c r="AF66" s="108"/>
      <c r="AG66" s="108"/>
      <c r="AH66" s="108"/>
      <c r="AI66" s="108"/>
      <c r="AJ66" s="108"/>
      <c r="AK66" s="108"/>
      <c r="AL66" s="108"/>
      <c r="AM66" s="108"/>
      <c r="AN66" s="108"/>
      <c r="AO66" s="108"/>
      <c r="AP66" s="108"/>
      <c r="AQ66" s="108"/>
      <c r="AR66" s="108"/>
    </row>
    <row r="67" spans="1:44" ht="48.75" customHeight="1" thickBot="1" x14ac:dyDescent="0.35">
      <c r="A67" s="108">
        <v>391</v>
      </c>
      <c r="B67" s="834" t="s">
        <v>69</v>
      </c>
      <c r="C67" s="834" t="s">
        <v>149</v>
      </c>
      <c r="D67" s="107" t="s">
        <v>147</v>
      </c>
      <c r="E67" s="689" t="e">
        <f>HLOOKUP($D$2,'2020 Data(H)'!$C$1:$CR$397,149,FALSE)</f>
        <v>#N/A</v>
      </c>
      <c r="F67" s="300">
        <v>0</v>
      </c>
      <c r="G67" s="750">
        <f t="shared" si="1"/>
        <v>0</v>
      </c>
      <c r="H67" s="17"/>
      <c r="I67" s="79"/>
      <c r="J67" s="595"/>
      <c r="L67" s="724"/>
      <c r="Z67" s="108"/>
      <c r="AA67" s="108"/>
      <c r="AB67" s="108"/>
      <c r="AC67" s="108"/>
      <c r="AD67" s="108"/>
      <c r="AE67" s="108"/>
      <c r="AF67" s="108"/>
      <c r="AG67" s="108"/>
      <c r="AH67" s="108"/>
      <c r="AI67" s="108"/>
      <c r="AJ67" s="108"/>
      <c r="AK67" s="108"/>
      <c r="AL67" s="108"/>
      <c r="AM67" s="108"/>
      <c r="AN67" s="108"/>
      <c r="AO67" s="108"/>
      <c r="AP67" s="108"/>
      <c r="AQ67" s="108"/>
      <c r="AR67" s="108"/>
    </row>
    <row r="68" spans="1:44" ht="51.75" customHeight="1" thickBot="1" x14ac:dyDescent="0.35">
      <c r="A68" s="108">
        <v>7</v>
      </c>
      <c r="B68" s="834" t="s">
        <v>69</v>
      </c>
      <c r="C68" s="834" t="s">
        <v>149</v>
      </c>
      <c r="D68" s="107" t="s">
        <v>148</v>
      </c>
      <c r="E68" s="689" t="e">
        <f>HLOOKUP($D$2,'2020 Data(H)'!$C$1:$CR$397,6,FALSE)</f>
        <v>#N/A</v>
      </c>
      <c r="F68" s="300">
        <v>0</v>
      </c>
      <c r="G68" s="750">
        <f t="shared" si="1"/>
        <v>0</v>
      </c>
      <c r="H68" s="17"/>
      <c r="I68" s="79"/>
      <c r="J68" s="595"/>
      <c r="L68" s="724"/>
      <c r="Z68" s="108"/>
      <c r="AA68" s="108"/>
      <c r="AB68" s="108"/>
      <c r="AC68" s="108"/>
      <c r="AD68" s="108"/>
      <c r="AE68" s="108"/>
      <c r="AF68" s="108"/>
      <c r="AG68" s="108"/>
      <c r="AH68" s="108"/>
      <c r="AI68" s="108"/>
      <c r="AJ68" s="108"/>
      <c r="AK68" s="108"/>
      <c r="AL68" s="108"/>
      <c r="AM68" s="108"/>
      <c r="AN68" s="108"/>
      <c r="AO68" s="108"/>
      <c r="AP68" s="108"/>
      <c r="AQ68" s="108"/>
      <c r="AR68" s="108"/>
    </row>
    <row r="69" spans="1:44" ht="78.75" customHeight="1" thickBot="1" x14ac:dyDescent="0.35">
      <c r="A69" s="108">
        <v>11</v>
      </c>
      <c r="B69" s="834" t="s">
        <v>69</v>
      </c>
      <c r="C69" s="834" t="s">
        <v>149</v>
      </c>
      <c r="D69" s="728" t="s">
        <v>1457</v>
      </c>
      <c r="E69" s="689" t="e">
        <f>HLOOKUP($D$2,'2020 Data(H)'!$C$1:$CR$397,8,FALSE)</f>
        <v>#N/A</v>
      </c>
      <c r="F69" s="300">
        <v>0</v>
      </c>
      <c r="G69" s="750">
        <f t="shared" si="1"/>
        <v>0</v>
      </c>
      <c r="H69" s="17"/>
      <c r="I69" s="79"/>
      <c r="J69" s="595"/>
      <c r="L69" s="724"/>
      <c r="Z69" s="108"/>
      <c r="AA69" s="108"/>
      <c r="AB69" s="108"/>
      <c r="AC69" s="108"/>
      <c r="AD69" s="108"/>
      <c r="AE69" s="108"/>
      <c r="AF69" s="108"/>
      <c r="AG69" s="108"/>
      <c r="AH69" s="108"/>
      <c r="AI69" s="108"/>
      <c r="AJ69" s="108"/>
      <c r="AK69" s="108"/>
      <c r="AL69" s="108"/>
      <c r="AM69" s="108"/>
      <c r="AN69" s="108"/>
      <c r="AO69" s="108"/>
      <c r="AP69" s="108"/>
      <c r="AQ69" s="108"/>
      <c r="AR69" s="108"/>
    </row>
    <row r="70" spans="1:44" ht="78.75" customHeight="1" thickBot="1" x14ac:dyDescent="0.35">
      <c r="A70" s="313">
        <v>645</v>
      </c>
      <c r="B70" s="831" t="s">
        <v>723</v>
      </c>
      <c r="C70" s="831" t="s">
        <v>149</v>
      </c>
      <c r="D70" s="723" t="s">
        <v>756</v>
      </c>
      <c r="E70" s="689" t="e">
        <f>HLOOKUP($D$2,'2020 Data(H)'!$C$1:$CR$397,304,FALSE)</f>
        <v>#N/A</v>
      </c>
      <c r="F70" s="300">
        <v>0</v>
      </c>
      <c r="G70" s="750">
        <f>IF(F70&lt;0,"Note: Number is normally positive.",)</f>
        <v>0</v>
      </c>
      <c r="H70" s="751"/>
      <c r="I70" s="752"/>
      <c r="J70" s="595"/>
      <c r="L70" s="724"/>
      <c r="Z70" s="313"/>
      <c r="AA70" s="313"/>
      <c r="AB70" s="313"/>
      <c r="AC70" s="313"/>
      <c r="AD70" s="313"/>
      <c r="AE70" s="313"/>
      <c r="AF70" s="313"/>
      <c r="AG70" s="313"/>
      <c r="AH70" s="313"/>
      <c r="AI70" s="313"/>
      <c r="AJ70" s="313"/>
      <c r="AK70" s="313"/>
      <c r="AL70" s="313"/>
      <c r="AM70" s="313"/>
      <c r="AN70" s="313"/>
      <c r="AO70" s="313"/>
      <c r="AP70" s="313"/>
      <c r="AQ70" s="313"/>
      <c r="AR70" s="313"/>
    </row>
    <row r="71" spans="1:44" ht="78.75" customHeight="1" thickBot="1" x14ac:dyDescent="0.35">
      <c r="A71" s="313">
        <v>646</v>
      </c>
      <c r="B71" s="831" t="s">
        <v>723</v>
      </c>
      <c r="C71" s="831" t="s">
        <v>149</v>
      </c>
      <c r="D71" s="312" t="s">
        <v>724</v>
      </c>
      <c r="E71" s="689" t="e">
        <f>HLOOKUP($D$2,'2020 Data(H)'!$C$1:$CR$397,305,FALSE)</f>
        <v>#N/A</v>
      </c>
      <c r="F71" s="300">
        <v>0</v>
      </c>
      <c r="G71" s="750">
        <f>IF(F71&lt;0,"Note: Number is normally positive.",)</f>
        <v>0</v>
      </c>
      <c r="H71" s="751"/>
      <c r="I71" s="752"/>
      <c r="J71" s="595"/>
      <c r="L71" s="724"/>
      <c r="Z71" s="313"/>
      <c r="AA71" s="313"/>
      <c r="AB71" s="313"/>
      <c r="AC71" s="313"/>
      <c r="AD71" s="313"/>
      <c r="AE71" s="313"/>
      <c r="AF71" s="313"/>
      <c r="AG71" s="313"/>
      <c r="AH71" s="313"/>
      <c r="AI71" s="313"/>
      <c r="AJ71" s="313"/>
      <c r="AK71" s="313"/>
      <c r="AL71" s="313"/>
      <c r="AM71" s="313"/>
      <c r="AN71" s="313"/>
      <c r="AO71" s="313"/>
      <c r="AP71" s="313"/>
      <c r="AQ71" s="313"/>
      <c r="AR71" s="313"/>
    </row>
    <row r="72" spans="1:44" ht="57.75" customHeight="1" thickBot="1" x14ac:dyDescent="0.35">
      <c r="A72" s="108">
        <v>9</v>
      </c>
      <c r="B72" s="834" t="s">
        <v>60</v>
      </c>
      <c r="C72" s="834" t="s">
        <v>149</v>
      </c>
      <c r="D72" s="728" t="s">
        <v>1458</v>
      </c>
      <c r="E72" s="689" t="e">
        <f>HLOOKUP($D$2,'2020 Data(H)'!$C$1:$CR$397,7,FALSE)</f>
        <v>#N/A</v>
      </c>
      <c r="F72" s="300">
        <v>0</v>
      </c>
      <c r="G72" s="750">
        <f>IF(F62-F64-F65-F66-F72=0,,"Error: Total assets less total liabilities do not equal total fund balance. Account numbers 379-4-5-380-9= 0  The amount of the formula is in the cell to the right")</f>
        <v>0</v>
      </c>
      <c r="H72" s="753">
        <f>F62-F64-F65-F66-F72</f>
        <v>0</v>
      </c>
      <c r="I72" s="79"/>
      <c r="J72" s="595"/>
      <c r="L72" s="724"/>
      <c r="Z72" s="108"/>
      <c r="AA72" s="108"/>
      <c r="AB72" s="108"/>
      <c r="AC72" s="108"/>
      <c r="AD72" s="108"/>
      <c r="AE72" s="108"/>
      <c r="AF72" s="108"/>
      <c r="AG72" s="108"/>
      <c r="AH72" s="108"/>
      <c r="AI72" s="108"/>
      <c r="AJ72" s="108"/>
      <c r="AK72" s="108"/>
      <c r="AL72" s="108"/>
      <c r="AM72" s="108"/>
      <c r="AN72" s="108"/>
      <c r="AO72" s="108"/>
      <c r="AP72" s="108"/>
      <c r="AQ72" s="108"/>
      <c r="AR72" s="108"/>
    </row>
    <row r="73" spans="1:44" s="18" customFormat="1" ht="63.75" customHeight="1" thickBot="1" x14ac:dyDescent="0.35">
      <c r="A73" s="108">
        <v>540</v>
      </c>
      <c r="B73" s="655" t="s">
        <v>59</v>
      </c>
      <c r="C73" s="655" t="s">
        <v>1459</v>
      </c>
      <c r="D73" s="107" t="s">
        <v>757</v>
      </c>
      <c r="E73" s="689" t="e">
        <f>HLOOKUP($D$2,'2020 Data(H)'!$C$1:$CR$397,190,FALSE)</f>
        <v>#N/A</v>
      </c>
      <c r="F73" s="300">
        <v>0</v>
      </c>
      <c r="G73" s="750"/>
      <c r="H73" s="751"/>
      <c r="I73" s="752"/>
      <c r="J73" s="595"/>
      <c r="L73" s="724"/>
      <c r="N73" s="301"/>
      <c r="Z73" s="108"/>
      <c r="AA73" s="108"/>
      <c r="AB73" s="108"/>
      <c r="AC73" s="108"/>
      <c r="AD73" s="108"/>
      <c r="AE73" s="108"/>
      <c r="AF73" s="108"/>
      <c r="AG73" s="108"/>
      <c r="AH73" s="108"/>
      <c r="AI73" s="108"/>
      <c r="AJ73" s="108"/>
      <c r="AK73" s="108"/>
      <c r="AL73" s="108"/>
      <c r="AM73" s="108"/>
      <c r="AN73" s="108"/>
      <c r="AO73" s="108"/>
      <c r="AP73" s="108"/>
      <c r="AQ73" s="108"/>
      <c r="AR73" s="108"/>
    </row>
    <row r="74" spans="1:44" ht="30" customHeight="1" thickBot="1" x14ac:dyDescent="0.35">
      <c r="A74" s="108"/>
      <c r="B74" s="861" t="s">
        <v>151</v>
      </c>
      <c r="C74" s="862"/>
      <c r="D74" s="866"/>
      <c r="E74" s="867"/>
      <c r="F74" s="868"/>
      <c r="G74" s="869"/>
      <c r="H74" s="17"/>
      <c r="I74" s="79"/>
      <c r="L74" s="724"/>
      <c r="Z74" s="108"/>
      <c r="AA74" s="108"/>
      <c r="AB74" s="108"/>
      <c r="AC74" s="108"/>
      <c r="AD74" s="108"/>
      <c r="AE74" s="108"/>
      <c r="AF74" s="108"/>
      <c r="AG74" s="108"/>
      <c r="AH74" s="108"/>
      <c r="AI74" s="108"/>
      <c r="AJ74" s="108"/>
      <c r="AK74" s="108"/>
      <c r="AL74" s="108"/>
      <c r="AM74" s="108"/>
      <c r="AN74" s="108"/>
      <c r="AO74" s="108"/>
      <c r="AP74" s="108"/>
      <c r="AQ74" s="108"/>
      <c r="AR74" s="108"/>
    </row>
    <row r="75" spans="1:44" ht="82.5" customHeight="1" thickBot="1" x14ac:dyDescent="0.35">
      <c r="A75" s="108">
        <v>984</v>
      </c>
      <c r="B75" s="734" t="s">
        <v>1052</v>
      </c>
      <c r="C75" s="734" t="s">
        <v>1459</v>
      </c>
      <c r="D75" s="759" t="s">
        <v>1554</v>
      </c>
      <c r="E75" s="689" t="s">
        <v>1053</v>
      </c>
      <c r="F75" s="300">
        <v>0</v>
      </c>
      <c r="G75" s="750"/>
      <c r="H75" s="17"/>
      <c r="I75" s="79"/>
      <c r="J75" s="595"/>
      <c r="L75" s="724"/>
      <c r="Z75" s="108"/>
      <c r="AA75" s="108"/>
      <c r="AB75" s="108"/>
      <c r="AC75" s="108"/>
      <c r="AD75" s="108"/>
      <c r="AE75" s="108"/>
      <c r="AF75" s="108"/>
      <c r="AG75" s="108"/>
      <c r="AH75" s="108"/>
      <c r="AI75" s="108"/>
      <c r="AJ75" s="108"/>
      <c r="AK75" s="108"/>
      <c r="AL75" s="108"/>
      <c r="AM75" s="108"/>
      <c r="AN75" s="108"/>
      <c r="AO75" s="108"/>
      <c r="AP75" s="108"/>
      <c r="AQ75" s="108"/>
      <c r="AR75" s="108"/>
    </row>
    <row r="76" spans="1:44" ht="69" customHeight="1" thickBot="1" x14ac:dyDescent="0.35">
      <c r="A76" s="108">
        <v>985</v>
      </c>
      <c r="B76" s="734" t="s">
        <v>1052</v>
      </c>
      <c r="C76" s="734" t="s">
        <v>1459</v>
      </c>
      <c r="D76" s="759" t="s">
        <v>1555</v>
      </c>
      <c r="E76" s="689" t="s">
        <v>1053</v>
      </c>
      <c r="F76" s="300">
        <v>0</v>
      </c>
      <c r="G76" s="750"/>
      <c r="H76" s="17"/>
      <c r="I76" s="79"/>
      <c r="J76" s="595"/>
      <c r="L76" s="724"/>
      <c r="Z76" s="108"/>
      <c r="AA76" s="108"/>
      <c r="AB76" s="108"/>
      <c r="AC76" s="108"/>
      <c r="AD76" s="108"/>
      <c r="AE76" s="108"/>
      <c r="AF76" s="108"/>
      <c r="AG76" s="108"/>
      <c r="AH76" s="108"/>
      <c r="AI76" s="108"/>
      <c r="AJ76" s="108"/>
      <c r="AK76" s="108"/>
      <c r="AL76" s="108"/>
      <c r="AM76" s="108"/>
      <c r="AN76" s="108"/>
      <c r="AO76" s="108"/>
      <c r="AP76" s="108"/>
      <c r="AQ76" s="108"/>
      <c r="AR76" s="108"/>
    </row>
    <row r="77" spans="1:44" ht="52.5" customHeight="1" thickBot="1" x14ac:dyDescent="0.35">
      <c r="A77" s="108">
        <v>369</v>
      </c>
      <c r="B77" s="613" t="s">
        <v>56</v>
      </c>
      <c r="C77" s="613" t="s">
        <v>152</v>
      </c>
      <c r="D77" s="728" t="s">
        <v>1460</v>
      </c>
      <c r="E77" s="689" t="e">
        <f>HLOOKUP($D$2,'2020 Data(H)'!$C$1:$CR$397,130,FALSE)</f>
        <v>#N/A</v>
      </c>
      <c r="F77" s="300">
        <v>0</v>
      </c>
      <c r="G77" s="750"/>
      <c r="H77" s="17"/>
      <c r="I77" s="79"/>
      <c r="J77" s="595"/>
      <c r="L77" s="724"/>
      <c r="Z77" s="108"/>
      <c r="AA77" s="108"/>
      <c r="AB77" s="108"/>
      <c r="AC77" s="108"/>
      <c r="AD77" s="108"/>
      <c r="AE77" s="108"/>
      <c r="AF77" s="108"/>
      <c r="AG77" s="108"/>
      <c r="AH77" s="108"/>
      <c r="AI77" s="108"/>
      <c r="AJ77" s="108"/>
      <c r="AK77" s="108"/>
      <c r="AL77" s="108"/>
      <c r="AM77" s="108"/>
      <c r="AN77" s="108"/>
      <c r="AO77" s="108"/>
      <c r="AP77" s="108"/>
      <c r="AQ77" s="108"/>
      <c r="AR77" s="108"/>
    </row>
    <row r="78" spans="1:44" ht="57.75" customHeight="1" thickBot="1" x14ac:dyDescent="0.35">
      <c r="A78" s="108">
        <v>16</v>
      </c>
      <c r="B78" s="613" t="s">
        <v>66</v>
      </c>
      <c r="C78" s="613" t="s">
        <v>152</v>
      </c>
      <c r="D78" s="107" t="s">
        <v>150</v>
      </c>
      <c r="E78" s="689" t="e">
        <f>HLOOKUP($D$2,'2020 Data(H)'!$C$1:$CR$397,12,FALSE)</f>
        <v>#N/A</v>
      </c>
      <c r="F78" s="300">
        <v>0</v>
      </c>
      <c r="G78" s="750"/>
      <c r="H78" s="17"/>
      <c r="I78" s="79"/>
      <c r="J78" s="595"/>
      <c r="L78" s="724"/>
      <c r="Z78" s="108"/>
      <c r="AA78" s="108"/>
      <c r="AB78" s="108"/>
      <c r="AC78" s="108"/>
      <c r="AD78" s="108"/>
      <c r="AE78" s="108"/>
      <c r="AF78" s="108"/>
      <c r="AG78" s="108"/>
      <c r="AH78" s="108"/>
      <c r="AI78" s="108"/>
      <c r="AJ78" s="108"/>
      <c r="AK78" s="108"/>
      <c r="AL78" s="108"/>
      <c r="AM78" s="108"/>
      <c r="AN78" s="108"/>
      <c r="AO78" s="108"/>
      <c r="AP78" s="108"/>
      <c r="AQ78" s="108"/>
      <c r="AR78" s="108"/>
    </row>
    <row r="79" spans="1:44" ht="65.25" customHeight="1" thickBot="1" x14ac:dyDescent="0.35">
      <c r="A79" s="108">
        <v>370</v>
      </c>
      <c r="B79" s="613" t="s">
        <v>56</v>
      </c>
      <c r="C79" s="613" t="s">
        <v>152</v>
      </c>
      <c r="D79" s="728" t="s">
        <v>1461</v>
      </c>
      <c r="E79" s="689" t="e">
        <f>HLOOKUP($D$2,'2020 Data(H)'!$C$1:$CR$397,131,FALSE)</f>
        <v>#N/A</v>
      </c>
      <c r="F79" s="300">
        <v>0</v>
      </c>
      <c r="G79" s="750">
        <f>IF(F79&lt;0,"Error: Enter as positive.",)</f>
        <v>0</v>
      </c>
      <c r="H79" s="17"/>
      <c r="I79" s="79"/>
      <c r="J79" s="595"/>
      <c r="L79" s="724"/>
      <c r="Z79" s="108"/>
      <c r="AA79" s="108"/>
      <c r="AB79" s="108"/>
      <c r="AC79" s="108"/>
      <c r="AD79" s="108"/>
      <c r="AE79" s="108"/>
      <c r="AF79" s="108"/>
      <c r="AG79" s="108"/>
      <c r="AH79" s="108"/>
      <c r="AI79" s="108"/>
      <c r="AJ79" s="108"/>
      <c r="AK79" s="108"/>
      <c r="AL79" s="108"/>
      <c r="AM79" s="108"/>
      <c r="AN79" s="108"/>
      <c r="AO79" s="108"/>
      <c r="AP79" s="108"/>
      <c r="AQ79" s="108"/>
      <c r="AR79" s="108"/>
    </row>
    <row r="80" spans="1:44" ht="69.75" customHeight="1" thickBot="1" x14ac:dyDescent="0.35">
      <c r="A80" s="108">
        <v>532</v>
      </c>
      <c r="B80" s="613" t="s">
        <v>55</v>
      </c>
      <c r="C80" s="613" t="s">
        <v>152</v>
      </c>
      <c r="D80" s="713" t="s">
        <v>1462</v>
      </c>
      <c r="E80" s="689" t="e">
        <f>HLOOKUP($D$2,'2020 Data(H)'!$C$1:$CR$397,182,FALSE)</f>
        <v>#N/A</v>
      </c>
      <c r="F80" s="300">
        <v>0</v>
      </c>
      <c r="G80" s="750">
        <f>IF(F80&lt;0,"Error: Enter as positive.",)</f>
        <v>0</v>
      </c>
      <c r="H80" s="17"/>
      <c r="I80" s="79"/>
      <c r="J80" s="595"/>
      <c r="L80" s="724"/>
      <c r="Z80" s="108"/>
      <c r="AA80" s="108"/>
      <c r="AB80" s="108"/>
      <c r="AC80" s="108"/>
      <c r="AD80" s="108"/>
      <c r="AE80" s="108"/>
      <c r="AF80" s="108"/>
      <c r="AG80" s="108"/>
      <c r="AH80" s="108"/>
      <c r="AI80" s="108"/>
      <c r="AJ80" s="108"/>
      <c r="AK80" s="108"/>
      <c r="AL80" s="108"/>
      <c r="AM80" s="108"/>
      <c r="AN80" s="108"/>
      <c r="AO80" s="108"/>
      <c r="AP80" s="108"/>
      <c r="AQ80" s="108"/>
      <c r="AR80" s="108"/>
    </row>
    <row r="81" spans="1:44" ht="54" customHeight="1" thickBot="1" x14ac:dyDescent="0.35">
      <c r="A81" s="108">
        <v>17</v>
      </c>
      <c r="B81" s="613" t="s">
        <v>60</v>
      </c>
      <c r="C81" s="613" t="s">
        <v>152</v>
      </c>
      <c r="D81" s="107" t="s">
        <v>1463</v>
      </c>
      <c r="E81" s="689" t="e">
        <f>HLOOKUP($D$2,'2020 Data(H)'!$C$1:$CR$397,13,FALSE)</f>
        <v>#N/A</v>
      </c>
      <c r="F81" s="300">
        <v>0</v>
      </c>
      <c r="G81" s="750"/>
      <c r="H81" s="17"/>
      <c r="I81" s="79"/>
      <c r="L81" s="724"/>
      <c r="Z81" s="108"/>
      <c r="AA81" s="108"/>
      <c r="AB81" s="108"/>
      <c r="AC81" s="108"/>
      <c r="AD81" s="108"/>
      <c r="AE81" s="108"/>
      <c r="AF81" s="108"/>
      <c r="AG81" s="108"/>
      <c r="AH81" s="108"/>
      <c r="AI81" s="108"/>
      <c r="AJ81" s="108"/>
      <c r="AK81" s="108"/>
      <c r="AL81" s="108"/>
      <c r="AM81" s="108"/>
      <c r="AN81" s="108"/>
      <c r="AO81" s="108"/>
      <c r="AP81" s="108"/>
      <c r="AQ81" s="108"/>
      <c r="AR81" s="108"/>
    </row>
    <row r="82" spans="1:44" ht="58.5" customHeight="1" thickBot="1" x14ac:dyDescent="0.35">
      <c r="A82" s="108">
        <v>20</v>
      </c>
      <c r="B82" s="613" t="s">
        <v>55</v>
      </c>
      <c r="C82" s="613" t="s">
        <v>152</v>
      </c>
      <c r="D82" s="107" t="s">
        <v>1464</v>
      </c>
      <c r="E82" s="689" t="e">
        <f>HLOOKUP($D$2,'2020 Data(H)'!$C$1:$CR$397,15,FALSE)</f>
        <v>#N/A</v>
      </c>
      <c r="F82" s="300">
        <v>0</v>
      </c>
      <c r="G82" s="750">
        <f>IF(F82&lt;0,"Error: Enter as positive.",)</f>
        <v>0</v>
      </c>
      <c r="H82" s="17"/>
      <c r="I82" s="79"/>
      <c r="L82" s="724"/>
      <c r="Z82" s="108"/>
      <c r="AA82" s="108"/>
      <c r="AB82" s="108"/>
      <c r="AC82" s="108"/>
      <c r="AD82" s="108"/>
      <c r="AE82" s="108"/>
      <c r="AF82" s="108"/>
      <c r="AG82" s="108"/>
      <c r="AH82" s="108"/>
      <c r="AI82" s="108"/>
      <c r="AJ82" s="108"/>
      <c r="AK82" s="108"/>
      <c r="AL82" s="108"/>
      <c r="AM82" s="108"/>
      <c r="AN82" s="108"/>
      <c r="AO82" s="108"/>
      <c r="AP82" s="108"/>
      <c r="AQ82" s="108"/>
      <c r="AR82" s="108"/>
    </row>
    <row r="83" spans="1:44" ht="54" customHeight="1" thickBot="1" x14ac:dyDescent="0.35">
      <c r="A83" s="108">
        <v>533</v>
      </c>
      <c r="B83" s="613" t="s">
        <v>55</v>
      </c>
      <c r="C83" s="613" t="s">
        <v>152</v>
      </c>
      <c r="D83" s="713" t="s">
        <v>1465</v>
      </c>
      <c r="E83" s="689" t="e">
        <f>HLOOKUP($D$2,'2020 Data(H)'!$C$1:$CR$397,183,FALSE)</f>
        <v>#N/A</v>
      </c>
      <c r="F83" s="300">
        <v>0</v>
      </c>
      <c r="G83" s="760"/>
      <c r="H83" s="17"/>
      <c r="I83" s="79"/>
      <c r="L83" s="724"/>
      <c r="Z83" s="108"/>
      <c r="AA83" s="108"/>
      <c r="AB83" s="108"/>
      <c r="AC83" s="108"/>
      <c r="AD83" s="108"/>
      <c r="AE83" s="108"/>
      <c r="AF83" s="108"/>
      <c r="AG83" s="108"/>
      <c r="AH83" s="108"/>
      <c r="AI83" s="108"/>
      <c r="AJ83" s="108"/>
      <c r="AK83" s="108"/>
      <c r="AL83" s="108"/>
      <c r="AM83" s="108"/>
      <c r="AN83" s="108"/>
      <c r="AO83" s="108"/>
      <c r="AP83" s="108"/>
      <c r="AQ83" s="108"/>
      <c r="AR83" s="108"/>
    </row>
    <row r="84" spans="1:44" s="18" customFormat="1" ht="62.25" customHeight="1" thickBot="1" x14ac:dyDescent="0.35">
      <c r="A84" s="108">
        <v>508</v>
      </c>
      <c r="B84" s="613" t="s">
        <v>55</v>
      </c>
      <c r="C84" s="613" t="s">
        <v>152</v>
      </c>
      <c r="D84" s="107" t="s">
        <v>535</v>
      </c>
      <c r="E84" s="689" t="e">
        <f>HLOOKUP($D$2,'2020 Data(H)'!$C$1:$CR$397,158,FALSE)</f>
        <v>#N/A</v>
      </c>
      <c r="F84" s="300">
        <v>0</v>
      </c>
      <c r="G84" s="750"/>
      <c r="H84" s="751"/>
      <c r="I84" s="752"/>
      <c r="L84" s="724"/>
      <c r="N84" s="301"/>
      <c r="Z84" s="108"/>
      <c r="AA84" s="108"/>
      <c r="AB84" s="108"/>
      <c r="AC84" s="108"/>
      <c r="AD84" s="108"/>
      <c r="AE84" s="108"/>
      <c r="AF84" s="108"/>
      <c r="AG84" s="108"/>
      <c r="AH84" s="108"/>
      <c r="AI84" s="108"/>
      <c r="AJ84" s="108"/>
      <c r="AK84" s="108"/>
      <c r="AL84" s="108"/>
      <c r="AM84" s="108"/>
      <c r="AN84" s="108"/>
      <c r="AO84" s="108"/>
      <c r="AP84" s="108"/>
      <c r="AQ84" s="108"/>
      <c r="AR84" s="108"/>
    </row>
    <row r="85" spans="1:44" s="18" customFormat="1" ht="81.75" customHeight="1" thickBot="1" x14ac:dyDescent="0.35">
      <c r="A85" s="108">
        <v>509</v>
      </c>
      <c r="B85" s="613" t="s">
        <v>55</v>
      </c>
      <c r="C85" s="613" t="s">
        <v>152</v>
      </c>
      <c r="D85" s="107" t="s">
        <v>533</v>
      </c>
      <c r="E85" s="689" t="e">
        <f>HLOOKUP($D$2,'2020 Data(H)'!$C$1:$CR$397,159,FALSE)</f>
        <v>#N/A</v>
      </c>
      <c r="F85" s="300">
        <v>0</v>
      </c>
      <c r="G85" s="750">
        <f>IF(F85&lt;0,"Error: Enter as positive.",)</f>
        <v>0</v>
      </c>
      <c r="H85" s="751"/>
      <c r="I85" s="752"/>
      <c r="L85" s="724"/>
      <c r="N85" s="301"/>
      <c r="Z85" s="108"/>
      <c r="AA85" s="108"/>
      <c r="AB85" s="108"/>
      <c r="AC85" s="108"/>
      <c r="AD85" s="108"/>
      <c r="AE85" s="108"/>
      <c r="AF85" s="108"/>
      <c r="AG85" s="108"/>
      <c r="AH85" s="108"/>
      <c r="AI85" s="108"/>
      <c r="AJ85" s="108"/>
      <c r="AK85" s="108"/>
      <c r="AL85" s="108"/>
      <c r="AM85" s="108"/>
      <c r="AN85" s="108"/>
      <c r="AO85" s="108"/>
      <c r="AP85" s="108"/>
      <c r="AQ85" s="108"/>
      <c r="AR85" s="108"/>
    </row>
    <row r="86" spans="1:44" ht="69" customHeight="1" thickBot="1" x14ac:dyDescent="0.35">
      <c r="A86" s="108">
        <v>22</v>
      </c>
      <c r="B86" s="613" t="s">
        <v>60</v>
      </c>
      <c r="C86" s="613" t="s">
        <v>152</v>
      </c>
      <c r="D86" s="107" t="s">
        <v>534</v>
      </c>
      <c r="E86" s="689" t="e">
        <f>HLOOKUP($D$2,'2020 Data(H)'!$C$1:$CR$397,17,FALSE)</f>
        <v>#N/A</v>
      </c>
      <c r="F86" s="300">
        <v>0</v>
      </c>
      <c r="G86" s="760"/>
      <c r="H86" s="17"/>
      <c r="I86" s="79"/>
      <c r="J86" s="595"/>
      <c r="L86" s="724"/>
      <c r="Z86" s="108"/>
      <c r="AA86" s="108"/>
      <c r="AB86" s="108"/>
      <c r="AC86" s="108"/>
      <c r="AD86" s="108"/>
      <c r="AE86" s="108"/>
      <c r="AF86" s="108"/>
      <c r="AG86" s="108"/>
      <c r="AH86" s="108"/>
      <c r="AI86" s="108"/>
      <c r="AJ86" s="108"/>
      <c r="AK86" s="108"/>
      <c r="AL86" s="108"/>
      <c r="AM86" s="108"/>
      <c r="AN86" s="108"/>
      <c r="AO86" s="108"/>
      <c r="AP86" s="108"/>
      <c r="AQ86" s="108"/>
      <c r="AR86" s="108"/>
    </row>
    <row r="87" spans="1:44" ht="72" customHeight="1" thickBot="1" x14ac:dyDescent="0.35">
      <c r="A87" s="108">
        <v>23</v>
      </c>
      <c r="B87" s="613" t="s">
        <v>60</v>
      </c>
      <c r="C87" s="613" t="s">
        <v>152</v>
      </c>
      <c r="D87" s="728" t="s">
        <v>1466</v>
      </c>
      <c r="E87" s="689" t="e">
        <f>HLOOKUP($D$2,'2020 Data(H)'!$C$1:$CR$397,18,FALSE)</f>
        <v>#N/A</v>
      </c>
      <c r="F87" s="300">
        <v>0</v>
      </c>
      <c r="G87" s="750">
        <f>IF(H87=0,,"Error: Total revenues less total expenditures do not equal total change in fund balance.  Account numbers 16-532+17-20+533+22+508-509-23=0  The amount of the formula is located in the cell to the right")</f>
        <v>0</v>
      </c>
      <c r="H87" s="753">
        <f>+F78-F80+F81-F82+F83+F86+F84-F85-F87</f>
        <v>0</v>
      </c>
      <c r="I87" s="79"/>
      <c r="J87" s="595"/>
      <c r="L87" s="724"/>
      <c r="Z87" s="108"/>
      <c r="AA87" s="108"/>
      <c r="AB87" s="108"/>
      <c r="AC87" s="108"/>
      <c r="AD87" s="108"/>
      <c r="AE87" s="108"/>
      <c r="AF87" s="108"/>
      <c r="AG87" s="108"/>
      <c r="AH87" s="108"/>
      <c r="AI87" s="108"/>
      <c r="AJ87" s="108"/>
      <c r="AK87" s="108"/>
      <c r="AL87" s="108"/>
      <c r="AM87" s="108"/>
      <c r="AN87" s="108"/>
      <c r="AO87" s="108"/>
      <c r="AP87" s="108"/>
      <c r="AQ87" s="108"/>
      <c r="AR87" s="108"/>
    </row>
    <row r="88" spans="1:44" ht="194.25" customHeight="1" thickBot="1" x14ac:dyDescent="0.35">
      <c r="A88" s="108">
        <v>590</v>
      </c>
      <c r="B88" s="613" t="s">
        <v>604</v>
      </c>
      <c r="C88" s="613"/>
      <c r="D88" s="728" t="s">
        <v>1807</v>
      </c>
      <c r="E88" s="927"/>
      <c r="F88" s="300"/>
      <c r="G88" s="300"/>
      <c r="H88" s="753"/>
      <c r="I88" s="79"/>
      <c r="K88" s="761"/>
      <c r="L88" s="724"/>
      <c r="Z88" s="108"/>
      <c r="AA88" s="108"/>
      <c r="AB88" s="108"/>
      <c r="AC88" s="108"/>
      <c r="AD88" s="108"/>
      <c r="AE88" s="108"/>
      <c r="AF88" s="108"/>
      <c r="AG88" s="108"/>
      <c r="AH88" s="108"/>
      <c r="AI88" s="108"/>
      <c r="AJ88" s="108"/>
      <c r="AK88" s="108"/>
      <c r="AL88" s="108"/>
      <c r="AM88" s="108"/>
      <c r="AN88" s="108"/>
      <c r="AO88" s="108"/>
      <c r="AP88" s="108"/>
      <c r="AQ88" s="108"/>
      <c r="AR88" s="108"/>
    </row>
    <row r="89" spans="1:44" ht="115.5" customHeight="1" thickBot="1" x14ac:dyDescent="0.35">
      <c r="A89" s="108">
        <v>507</v>
      </c>
      <c r="B89" s="613" t="s">
        <v>60</v>
      </c>
      <c r="C89" s="613" t="s">
        <v>152</v>
      </c>
      <c r="D89" s="728" t="s">
        <v>1467</v>
      </c>
      <c r="E89" s="689" t="e">
        <f>HLOOKUP($D$2,'2020 Data(H)'!$C$1:$CR$397,157,FALSE)</f>
        <v>#N/A</v>
      </c>
      <c r="F89" s="300">
        <v>0</v>
      </c>
      <c r="G89" s="750" t="e">
        <f>IF(F72-F87-F89=E72,,"Error: Beginning Balance does not agree with our records.  (Acct# 9-23-507)= Prior Years Acct # 9 The amount of the formula is in the cell to the right")</f>
        <v>#N/A</v>
      </c>
      <c r="H89" s="753" t="e">
        <f>+F72-F87-F89-E72</f>
        <v>#N/A</v>
      </c>
      <c r="I89" s="1174" t="s">
        <v>1803</v>
      </c>
      <c r="L89" s="724"/>
      <c r="Z89" s="108"/>
      <c r="AA89" s="108"/>
      <c r="AB89" s="108"/>
      <c r="AC89" s="108"/>
      <c r="AD89" s="108"/>
      <c r="AE89" s="108"/>
      <c r="AF89" s="108"/>
      <c r="AG89" s="108"/>
      <c r="AH89" s="108"/>
      <c r="AI89" s="108"/>
      <c r="AJ89" s="108"/>
      <c r="AK89" s="108"/>
      <c r="AL89" s="108"/>
      <c r="AM89" s="108"/>
      <c r="AN89" s="108"/>
      <c r="AO89" s="108"/>
      <c r="AP89" s="108"/>
      <c r="AQ89" s="108"/>
      <c r="AR89" s="108"/>
    </row>
    <row r="90" spans="1:44" ht="169.5" hidden="1" customHeight="1" thickBot="1" x14ac:dyDescent="0.35">
      <c r="A90" s="108">
        <v>147</v>
      </c>
      <c r="B90" s="835" t="s">
        <v>1278</v>
      </c>
      <c r="C90" s="835" t="s">
        <v>1279</v>
      </c>
      <c r="D90" s="728" t="s">
        <v>1280</v>
      </c>
      <c r="E90" s="689" t="e">
        <f>HLOOKUP($D$2,'2020 Data(H)'!$C$1:$CR$397,67,FALSE)</f>
        <v>#N/A</v>
      </c>
      <c r="F90" s="300">
        <v>0</v>
      </c>
      <c r="G90" s="750"/>
      <c r="H90" s="753"/>
      <c r="I90" s="79"/>
      <c r="L90" s="724"/>
      <c r="Z90" s="108"/>
      <c r="AA90" s="108"/>
      <c r="AB90" s="108"/>
      <c r="AC90" s="108"/>
      <c r="AD90" s="108"/>
      <c r="AE90" s="108"/>
      <c r="AF90" s="108"/>
      <c r="AG90" s="108"/>
      <c r="AH90" s="108"/>
      <c r="AI90" s="108"/>
      <c r="AJ90" s="108"/>
      <c r="AK90" s="108"/>
      <c r="AL90" s="108"/>
      <c r="AM90" s="108"/>
      <c r="AN90" s="108"/>
      <c r="AO90" s="108"/>
      <c r="AP90" s="108"/>
      <c r="AQ90" s="108"/>
      <c r="AR90" s="108"/>
    </row>
    <row r="91" spans="1:44" ht="115.5" hidden="1" customHeight="1" thickBot="1" x14ac:dyDescent="0.35">
      <c r="A91" s="108">
        <v>585</v>
      </c>
      <c r="B91" s="835" t="s">
        <v>1278</v>
      </c>
      <c r="C91" s="835" t="s">
        <v>1279</v>
      </c>
      <c r="D91" s="728" t="s">
        <v>1281</v>
      </c>
      <c r="E91" s="689" t="e">
        <f>HLOOKUP($D$2,'2020 Data(H)'!$C$1:$CR$397,235,FALSE)</f>
        <v>#N/A</v>
      </c>
      <c r="F91" s="300">
        <v>0</v>
      </c>
      <c r="G91" s="750"/>
      <c r="H91" s="753"/>
      <c r="I91" s="79"/>
      <c r="L91" s="724"/>
      <c r="Z91" s="108"/>
      <c r="AA91" s="108"/>
      <c r="AB91" s="108"/>
      <c r="AC91" s="108"/>
      <c r="AD91" s="108"/>
      <c r="AE91" s="108"/>
      <c r="AF91" s="108"/>
      <c r="AG91" s="108"/>
      <c r="AH91" s="108"/>
      <c r="AI91" s="108"/>
      <c r="AJ91" s="108"/>
      <c r="AK91" s="108"/>
      <c r="AL91" s="108"/>
      <c r="AM91" s="108"/>
      <c r="AN91" s="108"/>
      <c r="AO91" s="108"/>
      <c r="AP91" s="108"/>
      <c r="AQ91" s="108"/>
      <c r="AR91" s="108"/>
    </row>
    <row r="92" spans="1:44" ht="115.5" hidden="1" customHeight="1" thickBot="1" x14ac:dyDescent="0.35">
      <c r="A92" s="108">
        <v>546</v>
      </c>
      <c r="B92" s="835" t="s">
        <v>1278</v>
      </c>
      <c r="C92" s="835" t="s">
        <v>1279</v>
      </c>
      <c r="D92" s="728" t="s">
        <v>1282</v>
      </c>
      <c r="E92" s="689" t="e">
        <f>HLOOKUP($D$2,'2020 Data(H)'!$C$1:$CR$397,196,FALSE)</f>
        <v>#N/A</v>
      </c>
      <c r="F92" s="300">
        <v>0</v>
      </c>
      <c r="G92" s="750"/>
      <c r="H92" s="753"/>
      <c r="I92" s="79"/>
      <c r="L92" s="724"/>
      <c r="Z92" s="108"/>
      <c r="AA92" s="108"/>
      <c r="AB92" s="108"/>
      <c r="AC92" s="108"/>
      <c r="AD92" s="108"/>
      <c r="AE92" s="108"/>
      <c r="AF92" s="108"/>
      <c r="AG92" s="108"/>
      <c r="AH92" s="108"/>
      <c r="AI92" s="108"/>
      <c r="AJ92" s="108"/>
      <c r="AK92" s="108"/>
      <c r="AL92" s="108"/>
      <c r="AM92" s="108"/>
      <c r="AN92" s="108"/>
      <c r="AO92" s="108"/>
      <c r="AP92" s="108"/>
      <c r="AQ92" s="108"/>
      <c r="AR92" s="108"/>
    </row>
    <row r="93" spans="1:44" ht="115.5" hidden="1" customHeight="1" thickBot="1" x14ac:dyDescent="0.35">
      <c r="A93" s="108">
        <v>589</v>
      </c>
      <c r="B93" s="835" t="s">
        <v>1278</v>
      </c>
      <c r="C93" s="835" t="s">
        <v>1279</v>
      </c>
      <c r="D93" s="728" t="s">
        <v>1283</v>
      </c>
      <c r="E93" s="689" t="e">
        <f>HLOOKUP($D$2,'2020 Data(H)'!$C$1:$CR$397,239,FALSE)</f>
        <v>#N/A</v>
      </c>
      <c r="F93" s="300">
        <v>0</v>
      </c>
      <c r="G93" s="750"/>
      <c r="H93" s="753"/>
      <c r="I93" s="79"/>
      <c r="L93" s="724"/>
      <c r="Z93" s="108"/>
      <c r="AA93" s="108"/>
      <c r="AB93" s="108"/>
      <c r="AC93" s="108"/>
      <c r="AD93" s="108"/>
      <c r="AE93" s="108"/>
      <c r="AF93" s="108"/>
      <c r="AG93" s="108"/>
      <c r="AH93" s="108"/>
      <c r="AI93" s="108"/>
      <c r="AJ93" s="108"/>
      <c r="AK93" s="108"/>
      <c r="AL93" s="108"/>
      <c r="AM93" s="108"/>
      <c r="AN93" s="108"/>
      <c r="AO93" s="108"/>
      <c r="AP93" s="108"/>
      <c r="AQ93" s="108"/>
      <c r="AR93" s="108"/>
    </row>
    <row r="94" spans="1:44" ht="143.25" hidden="1" customHeight="1" thickBot="1" x14ac:dyDescent="0.35">
      <c r="A94" s="579">
        <v>149</v>
      </c>
      <c r="B94" s="613" t="s">
        <v>1278</v>
      </c>
      <c r="C94" s="613" t="s">
        <v>1279</v>
      </c>
      <c r="D94" s="728" t="s">
        <v>1360</v>
      </c>
      <c r="E94" s="689" t="e">
        <f>HLOOKUP($D$2,'2020 Data(H)'!$C$1:$CR$397,69,FALSE)</f>
        <v>#N/A</v>
      </c>
      <c r="F94" s="300">
        <v>0</v>
      </c>
      <c r="G94" s="750"/>
      <c r="H94" s="753"/>
      <c r="I94" s="79"/>
      <c r="L94" s="724"/>
      <c r="Z94" s="579"/>
      <c r="AA94" s="579"/>
      <c r="AB94" s="579"/>
      <c r="AC94" s="579"/>
      <c r="AD94" s="579"/>
      <c r="AE94" s="579"/>
      <c r="AF94" s="579"/>
      <c r="AG94" s="579"/>
      <c r="AH94" s="579"/>
      <c r="AI94" s="579"/>
      <c r="AJ94" s="579"/>
      <c r="AK94" s="579"/>
      <c r="AL94" s="579"/>
      <c r="AM94" s="579"/>
      <c r="AN94" s="579"/>
      <c r="AO94" s="579"/>
      <c r="AP94" s="579"/>
      <c r="AQ94" s="579"/>
      <c r="AR94" s="579"/>
    </row>
    <row r="95" spans="1:44" ht="115.5" hidden="1" customHeight="1" thickBot="1" x14ac:dyDescent="0.35">
      <c r="A95" s="108">
        <v>150</v>
      </c>
      <c r="B95" s="613" t="s">
        <v>1278</v>
      </c>
      <c r="C95" s="613" t="s">
        <v>1279</v>
      </c>
      <c r="D95" s="728" t="s">
        <v>1361</v>
      </c>
      <c r="E95" s="689" t="e">
        <f>HLOOKUP($D$2,'2020 Data(H)'!$C$1:$CR$397,70,FALSE)</f>
        <v>#N/A</v>
      </c>
      <c r="F95" s="300">
        <v>0</v>
      </c>
      <c r="G95" s="750"/>
      <c r="H95" s="753"/>
      <c r="I95" s="79"/>
      <c r="L95" s="724"/>
      <c r="Z95" s="108"/>
      <c r="AA95" s="108"/>
      <c r="AB95" s="108"/>
      <c r="AC95" s="108"/>
      <c r="AD95" s="108"/>
      <c r="AE95" s="108"/>
      <c r="AF95" s="108"/>
      <c r="AG95" s="108"/>
      <c r="AH95" s="108"/>
      <c r="AI95" s="108"/>
      <c r="AJ95" s="108"/>
      <c r="AK95" s="108"/>
      <c r="AL95" s="108"/>
      <c r="AM95" s="108"/>
      <c r="AN95" s="108"/>
      <c r="AO95" s="108"/>
      <c r="AP95" s="108"/>
      <c r="AQ95" s="108"/>
      <c r="AR95" s="108"/>
    </row>
    <row r="96" spans="1:44" ht="115.5" hidden="1" customHeight="1" thickBot="1" x14ac:dyDescent="0.35">
      <c r="A96" s="108">
        <v>587</v>
      </c>
      <c r="B96" s="655" t="s">
        <v>1362</v>
      </c>
      <c r="C96" s="655" t="s">
        <v>1363</v>
      </c>
      <c r="D96" s="728" t="s">
        <v>1468</v>
      </c>
      <c r="E96" s="689" t="e">
        <f>HLOOKUP($D$2,'2020 Data(H)'!$C$1:$CR$397,237,FALSE)</f>
        <v>#N/A</v>
      </c>
      <c r="F96" s="300">
        <v>0</v>
      </c>
      <c r="G96" s="750"/>
      <c r="H96" s="753"/>
      <c r="I96" s="79"/>
      <c r="L96" s="724"/>
      <c r="Z96" s="108"/>
      <c r="AA96" s="108"/>
      <c r="AB96" s="108"/>
      <c r="AC96" s="108"/>
      <c r="AD96" s="108"/>
      <c r="AE96" s="108"/>
      <c r="AF96" s="108"/>
      <c r="AG96" s="108"/>
      <c r="AH96" s="108"/>
      <c r="AI96" s="108"/>
      <c r="AJ96" s="108"/>
      <c r="AK96" s="108"/>
      <c r="AL96" s="108"/>
      <c r="AM96" s="108"/>
      <c r="AN96" s="108"/>
      <c r="AO96" s="108"/>
      <c r="AP96" s="108"/>
      <c r="AQ96" s="108"/>
      <c r="AR96" s="108"/>
    </row>
    <row r="97" spans="1:44" ht="115.5" hidden="1" customHeight="1" thickBot="1" x14ac:dyDescent="0.35">
      <c r="A97" s="108">
        <v>588</v>
      </c>
      <c r="B97" s="655" t="s">
        <v>1362</v>
      </c>
      <c r="C97" s="655" t="s">
        <v>1363</v>
      </c>
      <c r="D97" s="728" t="s">
        <v>1469</v>
      </c>
      <c r="E97" s="689" t="e">
        <f>HLOOKUP($D$2,'2020 Data(H)'!$C$1:$CR$397,238,FALSE)</f>
        <v>#N/A</v>
      </c>
      <c r="F97" s="300">
        <v>0</v>
      </c>
      <c r="G97" s="750"/>
      <c r="H97" s="753"/>
      <c r="I97" s="79"/>
      <c r="L97" s="724"/>
      <c r="Z97" s="108"/>
      <c r="AA97" s="108"/>
      <c r="AB97" s="108"/>
      <c r="AC97" s="108"/>
      <c r="AD97" s="108"/>
      <c r="AE97" s="108"/>
      <c r="AF97" s="108"/>
      <c r="AG97" s="108"/>
      <c r="AH97" s="108"/>
      <c r="AI97" s="108"/>
      <c r="AJ97" s="108"/>
      <c r="AK97" s="108"/>
      <c r="AL97" s="108"/>
      <c r="AM97" s="108"/>
      <c r="AN97" s="108"/>
      <c r="AO97" s="108"/>
      <c r="AP97" s="108"/>
      <c r="AQ97" s="108"/>
      <c r="AR97" s="108"/>
    </row>
    <row r="98" spans="1:44" ht="82.5" customHeight="1" thickBot="1" x14ac:dyDescent="0.35">
      <c r="A98" s="313">
        <v>647</v>
      </c>
      <c r="B98" s="831" t="s">
        <v>723</v>
      </c>
      <c r="C98" s="830" t="s">
        <v>725</v>
      </c>
      <c r="D98" s="312" t="s">
        <v>726</v>
      </c>
      <c r="E98" s="689" t="e">
        <f>HLOOKUP($D$2,'2020 Data(H)'!$C$1:$CR$397,306,FALSE)</f>
        <v>#N/A</v>
      </c>
      <c r="F98" s="300">
        <v>0</v>
      </c>
      <c r="G98" s="750">
        <f>IF(F98&lt;0,"Error: Enter as positive.",)</f>
        <v>0</v>
      </c>
      <c r="H98" s="762"/>
      <c r="I98" s="79"/>
      <c r="L98" s="724"/>
      <c r="Z98" s="313"/>
      <c r="AA98" s="313"/>
      <c r="AB98" s="313"/>
      <c r="AC98" s="313"/>
      <c r="AD98" s="313"/>
      <c r="AE98" s="313"/>
      <c r="AF98" s="313"/>
      <c r="AG98" s="313"/>
      <c r="AH98" s="313"/>
      <c r="AI98" s="313"/>
      <c r="AJ98" s="313"/>
      <c r="AK98" s="313"/>
      <c r="AL98" s="313"/>
      <c r="AM98" s="313"/>
      <c r="AN98" s="313"/>
      <c r="AO98" s="313"/>
      <c r="AP98" s="313"/>
      <c r="AQ98" s="313"/>
      <c r="AR98" s="313"/>
    </row>
    <row r="99" spans="1:44" ht="25.5" customHeight="1" thickBot="1" x14ac:dyDescent="0.35">
      <c r="A99" s="108"/>
      <c r="B99" s="861" t="s">
        <v>11</v>
      </c>
      <c r="C99" s="862"/>
      <c r="D99" s="863"/>
      <c r="E99" s="859"/>
      <c r="F99" s="864"/>
      <c r="G99" s="865"/>
      <c r="H99" s="17"/>
      <c r="I99" s="79"/>
      <c r="L99" s="724"/>
      <c r="Z99" s="108"/>
      <c r="AA99" s="108"/>
      <c r="AB99" s="108"/>
      <c r="AC99" s="108"/>
      <c r="AD99" s="108"/>
      <c r="AE99" s="108"/>
      <c r="AF99" s="108"/>
      <c r="AG99" s="108"/>
      <c r="AH99" s="108"/>
      <c r="AI99" s="108"/>
      <c r="AJ99" s="108"/>
      <c r="AK99" s="108"/>
      <c r="AL99" s="108"/>
      <c r="AM99" s="108"/>
      <c r="AN99" s="108"/>
      <c r="AO99" s="108"/>
      <c r="AP99" s="108"/>
      <c r="AQ99" s="108"/>
      <c r="AR99" s="108"/>
    </row>
    <row r="100" spans="1:44" ht="76.5" hidden="1" customHeight="1" thickBot="1" x14ac:dyDescent="0.35">
      <c r="A100" s="108">
        <v>148</v>
      </c>
      <c r="B100" s="613" t="s">
        <v>1286</v>
      </c>
      <c r="C100" s="655" t="s">
        <v>1284</v>
      </c>
      <c r="D100" s="655" t="s">
        <v>1285</v>
      </c>
      <c r="E100" s="689" t="e">
        <f>HLOOKUP($D$2,'2020 Data(H)'!$C$1:$CR$397,68,FALSE)</f>
        <v>#N/A</v>
      </c>
      <c r="F100" s="300">
        <v>0</v>
      </c>
      <c r="G100" s="763"/>
      <c r="H100" s="17"/>
      <c r="I100" s="79"/>
      <c r="L100" s="724"/>
      <c r="Z100" s="108"/>
      <c r="AA100" s="108"/>
      <c r="AB100" s="108"/>
      <c r="AC100" s="108"/>
      <c r="AD100" s="108"/>
      <c r="AE100" s="108"/>
      <c r="AF100" s="108"/>
      <c r="AG100" s="108"/>
      <c r="AH100" s="108"/>
      <c r="AI100" s="108"/>
      <c r="AJ100" s="108"/>
      <c r="AK100" s="108"/>
      <c r="AL100" s="108"/>
      <c r="AM100" s="108"/>
      <c r="AN100" s="108"/>
      <c r="AO100" s="108"/>
      <c r="AP100" s="108"/>
      <c r="AQ100" s="108"/>
      <c r="AR100" s="108"/>
    </row>
    <row r="101" spans="1:44" ht="78" customHeight="1" thickBot="1" x14ac:dyDescent="0.35">
      <c r="A101" s="108">
        <v>171</v>
      </c>
      <c r="B101" s="613" t="s">
        <v>538</v>
      </c>
      <c r="C101" s="613" t="s">
        <v>537</v>
      </c>
      <c r="D101" s="690" t="s">
        <v>1470</v>
      </c>
      <c r="E101" s="689" t="e">
        <f>HLOOKUP($D$2,'2020 Data(H)'!$C$1:$CR$397,71,FALSE)</f>
        <v>#N/A</v>
      </c>
      <c r="F101" s="279">
        <v>0</v>
      </c>
      <c r="G101" s="750">
        <f>IF(F101&lt;0,"Error: Enter as positive.",)</f>
        <v>0</v>
      </c>
      <c r="H101" s="17"/>
      <c r="I101" s="79"/>
      <c r="J101" s="595"/>
      <c r="L101" s="724"/>
      <c r="Z101" s="108"/>
      <c r="AA101" s="108"/>
      <c r="AB101" s="108"/>
      <c r="AC101" s="108"/>
      <c r="AD101" s="108"/>
      <c r="AE101" s="108"/>
      <c r="AF101" s="108"/>
      <c r="AG101" s="108"/>
      <c r="AH101" s="108"/>
      <c r="AI101" s="108"/>
      <c r="AJ101" s="108"/>
      <c r="AK101" s="108"/>
      <c r="AL101" s="108"/>
      <c r="AM101" s="108"/>
      <c r="AN101" s="108"/>
      <c r="AO101" s="108"/>
      <c r="AP101" s="108"/>
      <c r="AQ101" s="108"/>
      <c r="AR101" s="108"/>
    </row>
    <row r="102" spans="1:44" ht="30.75" hidden="1" customHeight="1" thickBot="1" x14ac:dyDescent="0.35">
      <c r="A102" s="108"/>
      <c r="B102" s="860" t="s">
        <v>1352</v>
      </c>
      <c r="C102" s="859"/>
      <c r="D102" s="859"/>
      <c r="E102" s="859"/>
      <c r="F102" s="859"/>
      <c r="G102" s="859"/>
      <c r="H102" s="17"/>
      <c r="I102" s="79"/>
      <c r="J102" s="595"/>
      <c r="L102" s="724"/>
      <c r="Z102" s="108"/>
      <c r="AA102" s="108"/>
      <c r="AB102" s="108"/>
      <c r="AC102" s="108"/>
      <c r="AD102" s="108"/>
      <c r="AE102" s="108"/>
      <c r="AF102" s="108"/>
      <c r="AG102" s="108"/>
      <c r="AH102" s="108"/>
      <c r="AI102" s="108"/>
      <c r="AJ102" s="108"/>
      <c r="AK102" s="108"/>
      <c r="AL102" s="108"/>
      <c r="AM102" s="108"/>
      <c r="AN102" s="108"/>
      <c r="AO102" s="108"/>
      <c r="AP102" s="108"/>
      <c r="AQ102" s="108"/>
      <c r="AR102" s="108"/>
    </row>
    <row r="103" spans="1:44" ht="48.75" hidden="1" customHeight="1" thickBot="1" x14ac:dyDescent="0.35">
      <c r="A103" s="108">
        <v>36</v>
      </c>
      <c r="B103" s="836" t="s">
        <v>723</v>
      </c>
      <c r="C103" s="342" t="s">
        <v>1366</v>
      </c>
      <c r="D103" s="688" t="s">
        <v>1389</v>
      </c>
      <c r="E103" s="689" t="e">
        <f>HLOOKUP($D$2,'2020 Data(H)'!$C$1:$CR$397,24,FALSE)</f>
        <v>#N/A</v>
      </c>
      <c r="F103" s="300">
        <v>0</v>
      </c>
      <c r="G103" s="837"/>
      <c r="H103" s="17"/>
      <c r="I103" s="79"/>
      <c r="J103" s="595"/>
      <c r="L103" s="724"/>
      <c r="Z103" s="108"/>
      <c r="AA103" s="108"/>
      <c r="AB103" s="108"/>
      <c r="AC103" s="108"/>
      <c r="AD103" s="108"/>
      <c r="AE103" s="108"/>
      <c r="AF103" s="108"/>
      <c r="AG103" s="108"/>
      <c r="AH103" s="108"/>
      <c r="AI103" s="108"/>
      <c r="AJ103" s="108"/>
      <c r="AK103" s="108"/>
      <c r="AL103" s="108"/>
      <c r="AM103" s="108"/>
      <c r="AN103" s="108"/>
      <c r="AO103" s="108"/>
      <c r="AP103" s="108"/>
      <c r="AQ103" s="108"/>
      <c r="AR103" s="108"/>
    </row>
    <row r="104" spans="1:44" ht="56.25" hidden="1" customHeight="1" thickBot="1" x14ac:dyDescent="0.35">
      <c r="A104" s="108">
        <v>534</v>
      </c>
      <c r="B104" s="836" t="s">
        <v>723</v>
      </c>
      <c r="C104" s="342" t="s">
        <v>1366</v>
      </c>
      <c r="D104" s="728" t="s">
        <v>1390</v>
      </c>
      <c r="E104" s="689" t="e">
        <f>HLOOKUP($D$2,'2020 Data(H)'!$C$1:$CR$397,184,FALSE)</f>
        <v>#N/A</v>
      </c>
      <c r="F104" s="300">
        <v>0</v>
      </c>
      <c r="G104" s="837"/>
      <c r="H104" s="17"/>
      <c r="I104" s="79"/>
      <c r="J104" s="595"/>
      <c r="L104" s="724"/>
      <c r="Z104" s="108"/>
      <c r="AA104" s="108"/>
      <c r="AB104" s="108"/>
      <c r="AC104" s="108"/>
      <c r="AD104" s="108"/>
      <c r="AE104" s="108"/>
      <c r="AF104" s="108"/>
      <c r="AG104" s="108"/>
      <c r="AH104" s="108"/>
      <c r="AI104" s="108"/>
      <c r="AJ104" s="108"/>
      <c r="AK104" s="108"/>
      <c r="AL104" s="108"/>
      <c r="AM104" s="108"/>
      <c r="AN104" s="108"/>
      <c r="AO104" s="108"/>
      <c r="AP104" s="108"/>
      <c r="AQ104" s="108"/>
      <c r="AR104" s="108"/>
    </row>
    <row r="105" spans="1:44" ht="78" hidden="1" customHeight="1" thickBot="1" x14ac:dyDescent="0.35">
      <c r="A105" s="620">
        <v>13</v>
      </c>
      <c r="B105" s="836" t="s">
        <v>604</v>
      </c>
      <c r="C105" s="839" t="s">
        <v>1353</v>
      </c>
      <c r="D105" s="839" t="s">
        <v>1556</v>
      </c>
      <c r="E105" s="689" t="e">
        <f>HLOOKUP($D$2,'2020 Data(H)'!$C$1:$CR$397,10,FALSE)</f>
        <v>#N/A</v>
      </c>
      <c r="F105" s="300">
        <v>0</v>
      </c>
      <c r="G105" s="750"/>
      <c r="H105" s="17"/>
      <c r="I105" s="79"/>
      <c r="J105" s="595"/>
      <c r="L105" s="724"/>
      <c r="Z105" s="838"/>
      <c r="AA105" s="838"/>
      <c r="AB105" s="838"/>
      <c r="AC105" s="838"/>
      <c r="AD105" s="838"/>
      <c r="AE105" s="838"/>
      <c r="AF105" s="838"/>
      <c r="AG105" s="838"/>
      <c r="AH105" s="838"/>
      <c r="AI105" s="838"/>
      <c r="AJ105" s="838"/>
      <c r="AK105" s="838"/>
      <c r="AL105" s="838"/>
      <c r="AM105" s="838"/>
      <c r="AN105" s="838"/>
      <c r="AO105" s="838"/>
      <c r="AP105" s="838"/>
      <c r="AQ105" s="838"/>
      <c r="AR105" s="838"/>
    </row>
    <row r="106" spans="1:44" ht="191.25" hidden="1" customHeight="1" thickBot="1" x14ac:dyDescent="0.35">
      <c r="A106" s="620">
        <v>14</v>
      </c>
      <c r="B106" s="836" t="s">
        <v>604</v>
      </c>
      <c r="C106" s="839" t="s">
        <v>1353</v>
      </c>
      <c r="D106" s="839" t="s">
        <v>1355</v>
      </c>
      <c r="E106" s="689" t="e">
        <f>HLOOKUP($D$2,'2020 Data(H)'!$C$1:$CR$397,11,FALSE)</f>
        <v>#N/A</v>
      </c>
      <c r="F106" s="300">
        <v>0</v>
      </c>
      <c r="G106" s="750"/>
      <c r="H106" s="17"/>
      <c r="I106" s="79"/>
      <c r="J106" s="595"/>
      <c r="L106" s="724"/>
      <c r="Z106" s="838"/>
      <c r="AA106" s="838"/>
      <c r="AB106" s="838"/>
      <c r="AC106" s="838"/>
      <c r="AD106" s="838"/>
      <c r="AE106" s="838"/>
      <c r="AF106" s="838"/>
      <c r="AG106" s="838"/>
      <c r="AH106" s="838"/>
      <c r="AI106" s="838"/>
      <c r="AJ106" s="838"/>
      <c r="AK106" s="838"/>
      <c r="AL106" s="838"/>
      <c r="AM106" s="838"/>
      <c r="AN106" s="838"/>
      <c r="AO106" s="838"/>
      <c r="AP106" s="838"/>
      <c r="AQ106" s="838"/>
      <c r="AR106" s="838"/>
    </row>
    <row r="107" spans="1:44" ht="129.75" hidden="1" customHeight="1" thickBot="1" x14ac:dyDescent="0.35">
      <c r="A107" s="620">
        <v>571</v>
      </c>
      <c r="B107" s="836" t="s">
        <v>604</v>
      </c>
      <c r="C107" s="840" t="s">
        <v>1391</v>
      </c>
      <c r="D107" s="840" t="s">
        <v>1392</v>
      </c>
      <c r="E107" s="689" t="e">
        <f>HLOOKUP($D$2,'2020 Data(H)'!$C$1:$CR$397,221,FALSE)</f>
        <v>#N/A</v>
      </c>
      <c r="F107" s="300">
        <v>0</v>
      </c>
      <c r="G107" s="750"/>
      <c r="H107" s="17"/>
      <c r="I107" s="79"/>
      <c r="J107" s="595"/>
      <c r="L107" s="724"/>
      <c r="Z107" s="838"/>
      <c r="AA107" s="838"/>
      <c r="AB107" s="838"/>
      <c r="AC107" s="838"/>
      <c r="AD107" s="838"/>
      <c r="AE107" s="838"/>
      <c r="AF107" s="838"/>
      <c r="AG107" s="838"/>
      <c r="AH107" s="838"/>
      <c r="AI107" s="838"/>
      <c r="AJ107" s="838"/>
      <c r="AK107" s="838"/>
      <c r="AL107" s="838"/>
      <c r="AM107" s="838"/>
      <c r="AN107" s="838"/>
      <c r="AO107" s="838"/>
      <c r="AP107" s="838"/>
      <c r="AQ107" s="838"/>
      <c r="AR107" s="838"/>
    </row>
    <row r="108" spans="1:44" ht="128.25" hidden="1" customHeight="1" thickBot="1" x14ac:dyDescent="0.35">
      <c r="A108" s="620">
        <v>572</v>
      </c>
      <c r="B108" s="836" t="s">
        <v>59</v>
      </c>
      <c r="C108" s="840" t="s">
        <v>1391</v>
      </c>
      <c r="D108" s="840" t="s">
        <v>1393</v>
      </c>
      <c r="E108" s="689" t="e">
        <f>HLOOKUP($D$2,'2020 Data(H)'!$C$1:$CR$397,222,FALSE)</f>
        <v>#N/A</v>
      </c>
      <c r="F108" s="300">
        <v>0</v>
      </c>
      <c r="G108" s="750"/>
      <c r="H108" s="17"/>
      <c r="I108" s="79"/>
      <c r="J108" s="595"/>
      <c r="L108" s="724"/>
      <c r="Z108" s="838"/>
      <c r="AA108" s="838"/>
      <c r="AB108" s="838"/>
      <c r="AC108" s="838"/>
      <c r="AD108" s="838"/>
      <c r="AE108" s="838"/>
      <c r="AF108" s="838"/>
      <c r="AG108" s="838"/>
      <c r="AH108" s="838"/>
      <c r="AI108" s="838"/>
      <c r="AJ108" s="838"/>
      <c r="AK108" s="838"/>
      <c r="AL108" s="838"/>
      <c r="AM108" s="838"/>
      <c r="AN108" s="838"/>
      <c r="AO108" s="838"/>
      <c r="AP108" s="838"/>
      <c r="AQ108" s="838"/>
      <c r="AR108" s="838"/>
    </row>
    <row r="109" spans="1:44" ht="120.75" hidden="1" customHeight="1" thickBot="1" x14ac:dyDescent="0.35">
      <c r="A109" s="620">
        <v>573</v>
      </c>
      <c r="B109" s="836" t="s">
        <v>604</v>
      </c>
      <c r="C109" s="840" t="s">
        <v>1391</v>
      </c>
      <c r="D109" s="840" t="s">
        <v>1551</v>
      </c>
      <c r="E109" s="689" t="e">
        <f>HLOOKUP($D$2,'2020 Data(H)'!$C$1:$CR$397,223,FALSE)</f>
        <v>#N/A</v>
      </c>
      <c r="F109" s="300">
        <v>0</v>
      </c>
      <c r="G109" s="750"/>
      <c r="H109" s="17"/>
      <c r="I109" s="79"/>
      <c r="J109" s="595"/>
      <c r="L109" s="724"/>
      <c r="Z109" s="838"/>
      <c r="AA109" s="838"/>
      <c r="AB109" s="838"/>
      <c r="AC109" s="838"/>
      <c r="AD109" s="838"/>
      <c r="AE109" s="838"/>
      <c r="AF109" s="838"/>
      <c r="AG109" s="838"/>
      <c r="AH109" s="838"/>
      <c r="AI109" s="838"/>
      <c r="AJ109" s="838"/>
      <c r="AK109" s="838"/>
      <c r="AL109" s="838"/>
      <c r="AM109" s="838"/>
      <c r="AN109" s="838"/>
      <c r="AO109" s="838"/>
      <c r="AP109" s="838"/>
      <c r="AQ109" s="838"/>
      <c r="AR109" s="838"/>
    </row>
    <row r="110" spans="1:44" ht="99.75" hidden="1" customHeight="1" thickBot="1" x14ac:dyDescent="0.35">
      <c r="A110" s="620">
        <v>34</v>
      </c>
      <c r="B110" s="836" t="s">
        <v>604</v>
      </c>
      <c r="C110" s="4" t="s">
        <v>1366</v>
      </c>
      <c r="D110" s="679" t="s">
        <v>1546</v>
      </c>
      <c r="E110" s="689" t="e">
        <f>HLOOKUP($D$2,'2020 Data(H)'!$C$1:$CR$397,22,FALSE)</f>
        <v>#N/A</v>
      </c>
      <c r="F110" s="300">
        <v>0</v>
      </c>
      <c r="G110" s="750"/>
      <c r="H110" s="17"/>
      <c r="I110" s="79"/>
      <c r="J110" s="595"/>
      <c r="L110" s="724"/>
      <c r="Z110" s="838"/>
      <c r="AA110" s="838"/>
      <c r="AB110" s="838"/>
      <c r="AC110" s="838"/>
      <c r="AD110" s="838"/>
      <c r="AE110" s="838"/>
      <c r="AF110" s="838"/>
      <c r="AG110" s="838"/>
      <c r="AH110" s="838"/>
      <c r="AI110" s="838"/>
      <c r="AJ110" s="838"/>
      <c r="AK110" s="838"/>
      <c r="AL110" s="838"/>
      <c r="AM110" s="838"/>
      <c r="AN110" s="838"/>
      <c r="AO110" s="838"/>
      <c r="AP110" s="838"/>
      <c r="AQ110" s="838"/>
      <c r="AR110" s="838"/>
    </row>
    <row r="111" spans="1:44" ht="117" hidden="1" customHeight="1" thickBot="1" x14ac:dyDescent="0.35">
      <c r="A111" s="620">
        <v>35</v>
      </c>
      <c r="B111" s="836" t="s">
        <v>604</v>
      </c>
      <c r="C111" s="4" t="s">
        <v>1366</v>
      </c>
      <c r="D111" s="679" t="s">
        <v>1558</v>
      </c>
      <c r="E111" s="689" t="e">
        <f>HLOOKUP($D$2,'2020 Data(H)'!$C$1:$CR$397,23,FALSE)</f>
        <v>#N/A</v>
      </c>
      <c r="F111" s="300">
        <v>0</v>
      </c>
      <c r="G111" s="750"/>
      <c r="H111" s="17"/>
      <c r="I111" s="79"/>
      <c r="J111" s="595"/>
      <c r="L111" s="724"/>
      <c r="Z111" s="838"/>
      <c r="AA111" s="838"/>
      <c r="AB111" s="838"/>
      <c r="AC111" s="838"/>
      <c r="AD111" s="838"/>
      <c r="AE111" s="838"/>
      <c r="AF111" s="838"/>
      <c r="AG111" s="838"/>
      <c r="AH111" s="838"/>
      <c r="AI111" s="838"/>
      <c r="AJ111" s="838"/>
      <c r="AK111" s="838"/>
      <c r="AL111" s="838"/>
      <c r="AM111" s="838"/>
      <c r="AN111" s="838"/>
      <c r="AO111" s="838"/>
      <c r="AP111" s="838"/>
      <c r="AQ111" s="838"/>
      <c r="AR111" s="838"/>
    </row>
    <row r="112" spans="1:44" ht="108.75" hidden="1" customHeight="1" thickBot="1" x14ac:dyDescent="0.35">
      <c r="A112" s="620">
        <v>37</v>
      </c>
      <c r="B112" s="836" t="s">
        <v>604</v>
      </c>
      <c r="C112" s="4" t="s">
        <v>1366</v>
      </c>
      <c r="D112" s="679" t="s">
        <v>1471</v>
      </c>
      <c r="E112" s="689" t="e">
        <f>HLOOKUP($D$2,'2020 Data(H)'!$C$1:$CR$397,25,FALSE)</f>
        <v>#N/A</v>
      </c>
      <c r="F112" s="300">
        <v>0</v>
      </c>
      <c r="G112" s="750"/>
      <c r="H112" s="17"/>
      <c r="I112" s="79"/>
      <c r="J112" s="595"/>
      <c r="L112" s="724"/>
      <c r="Z112" s="838"/>
      <c r="AA112" s="838"/>
      <c r="AB112" s="838"/>
      <c r="AC112" s="838"/>
      <c r="AD112" s="838"/>
      <c r="AE112" s="838"/>
      <c r="AF112" s="838"/>
      <c r="AG112" s="838"/>
      <c r="AH112" s="838"/>
      <c r="AI112" s="838"/>
      <c r="AJ112" s="838"/>
      <c r="AK112" s="838"/>
      <c r="AL112" s="838"/>
      <c r="AM112" s="838"/>
      <c r="AN112" s="838"/>
      <c r="AO112" s="838"/>
      <c r="AP112" s="838"/>
      <c r="AQ112" s="838"/>
      <c r="AR112" s="838"/>
    </row>
    <row r="113" spans="1:44" ht="102.75" hidden="1" customHeight="1" thickBot="1" x14ac:dyDescent="0.35">
      <c r="A113" s="620">
        <v>38</v>
      </c>
      <c r="B113" s="836" t="s">
        <v>604</v>
      </c>
      <c r="C113" s="4" t="s">
        <v>1366</v>
      </c>
      <c r="D113" s="679" t="s">
        <v>1369</v>
      </c>
      <c r="E113" s="689" t="e">
        <f>HLOOKUP($D$2,'2020 Data(H)'!$C$1:$CR$397,26,FALSE)</f>
        <v>#N/A</v>
      </c>
      <c r="F113" s="300">
        <v>0</v>
      </c>
      <c r="G113" s="750"/>
      <c r="H113" s="17"/>
      <c r="I113" s="79"/>
      <c r="J113" s="595"/>
      <c r="L113" s="724"/>
      <c r="Z113" s="838"/>
      <c r="AA113" s="838"/>
      <c r="AB113" s="838"/>
      <c r="AC113" s="838"/>
      <c r="AD113" s="838"/>
      <c r="AE113" s="838"/>
      <c r="AF113" s="838"/>
      <c r="AG113" s="838"/>
      <c r="AH113" s="838"/>
      <c r="AI113" s="838"/>
      <c r="AJ113" s="838"/>
      <c r="AK113" s="838"/>
      <c r="AL113" s="838"/>
      <c r="AM113" s="838"/>
      <c r="AN113" s="838"/>
      <c r="AO113" s="838"/>
      <c r="AP113" s="838"/>
      <c r="AQ113" s="838"/>
      <c r="AR113" s="838"/>
    </row>
    <row r="114" spans="1:44" ht="117.75" hidden="1" customHeight="1" thickBot="1" x14ac:dyDescent="0.35">
      <c r="A114" s="620">
        <v>32</v>
      </c>
      <c r="B114" s="836" t="s">
        <v>723</v>
      </c>
      <c r="C114" s="839" t="s">
        <v>1356</v>
      </c>
      <c r="D114" s="839" t="s">
        <v>1357</v>
      </c>
      <c r="E114" s="689" t="e">
        <f>HLOOKUP($D$2,'2020 Data(H)'!$C$1:$CR$397,20,FALSE)</f>
        <v>#N/A</v>
      </c>
      <c r="F114" s="300">
        <v>0</v>
      </c>
      <c r="G114" s="750"/>
      <c r="H114" s="17"/>
      <c r="I114" s="79"/>
      <c r="J114" s="595"/>
      <c r="L114" s="724"/>
      <c r="Z114" s="838"/>
      <c r="AA114" s="838"/>
      <c r="AB114" s="838"/>
      <c r="AC114" s="838"/>
      <c r="AD114" s="838"/>
      <c r="AE114" s="838"/>
      <c r="AF114" s="838"/>
      <c r="AG114" s="838"/>
      <c r="AH114" s="838"/>
      <c r="AI114" s="838"/>
      <c r="AJ114" s="838"/>
      <c r="AK114" s="838"/>
      <c r="AL114" s="838"/>
      <c r="AM114" s="838"/>
      <c r="AN114" s="838"/>
      <c r="AO114" s="838"/>
      <c r="AP114" s="838"/>
      <c r="AQ114" s="838"/>
      <c r="AR114" s="838"/>
    </row>
    <row r="115" spans="1:44" ht="116.25" hidden="1" customHeight="1" thickBot="1" x14ac:dyDescent="0.35">
      <c r="A115" s="620">
        <v>40</v>
      </c>
      <c r="B115" s="836" t="s">
        <v>604</v>
      </c>
      <c r="C115" s="839" t="s">
        <v>1370</v>
      </c>
      <c r="D115" s="679" t="s">
        <v>1371</v>
      </c>
      <c r="E115" s="689" t="e">
        <f>HLOOKUP($D$2,'2020 Data(H)'!$C$1:$CR$397,28,FALSE)</f>
        <v>#N/A</v>
      </c>
      <c r="F115" s="300">
        <v>0</v>
      </c>
      <c r="G115" s="750"/>
      <c r="H115" s="17"/>
      <c r="I115" s="79"/>
      <c r="J115" s="595"/>
      <c r="L115" s="724"/>
      <c r="Z115" s="838"/>
      <c r="AA115" s="838"/>
      <c r="AB115" s="838"/>
      <c r="AC115" s="838"/>
      <c r="AD115" s="838"/>
      <c r="AE115" s="838"/>
      <c r="AF115" s="838"/>
      <c r="AG115" s="838"/>
      <c r="AH115" s="838"/>
      <c r="AI115" s="838"/>
      <c r="AJ115" s="838"/>
      <c r="AK115" s="838"/>
      <c r="AL115" s="838"/>
      <c r="AM115" s="838"/>
      <c r="AN115" s="838"/>
      <c r="AO115" s="838"/>
      <c r="AP115" s="838"/>
      <c r="AQ115" s="838"/>
      <c r="AR115" s="838"/>
    </row>
    <row r="116" spans="1:44" ht="104.25" hidden="1" customHeight="1" thickBot="1" x14ac:dyDescent="0.35">
      <c r="A116" s="620">
        <v>107</v>
      </c>
      <c r="B116" s="836" t="s">
        <v>604</v>
      </c>
      <c r="C116" s="839" t="s">
        <v>1370</v>
      </c>
      <c r="D116" s="679" t="s">
        <v>1372</v>
      </c>
      <c r="E116" s="689" t="e">
        <f>HLOOKUP($D$2,'2020 Data(H)'!$C$1:$CR$397,65,FALSE)</f>
        <v>#N/A</v>
      </c>
      <c r="F116" s="300">
        <v>0</v>
      </c>
      <c r="G116" s="750"/>
      <c r="H116" s="17"/>
      <c r="I116" s="79"/>
      <c r="J116" s="595"/>
      <c r="L116" s="724"/>
      <c r="Z116" s="838"/>
      <c r="AA116" s="838"/>
      <c r="AB116" s="838"/>
      <c r="AC116" s="838"/>
      <c r="AD116" s="838"/>
      <c r="AE116" s="838"/>
      <c r="AF116" s="838"/>
      <c r="AG116" s="838"/>
      <c r="AH116" s="838"/>
      <c r="AI116" s="838"/>
      <c r="AJ116" s="838"/>
      <c r="AK116" s="838"/>
      <c r="AL116" s="838"/>
      <c r="AM116" s="838"/>
      <c r="AN116" s="838"/>
      <c r="AO116" s="838"/>
      <c r="AP116" s="838"/>
      <c r="AQ116" s="838"/>
      <c r="AR116" s="838"/>
    </row>
    <row r="117" spans="1:44" ht="107.25" hidden="1" customHeight="1" thickBot="1" x14ac:dyDescent="0.35">
      <c r="A117" s="620">
        <v>108</v>
      </c>
      <c r="B117" s="836" t="s">
        <v>604</v>
      </c>
      <c r="C117" s="839" t="s">
        <v>1370</v>
      </c>
      <c r="D117" s="679" t="s">
        <v>1472</v>
      </c>
      <c r="E117" s="689" t="e">
        <f>HLOOKUP($D$2,'2020 Data(H)'!$C$1:$CR$397,66,FALSE)</f>
        <v>#N/A</v>
      </c>
      <c r="F117" s="300">
        <v>0</v>
      </c>
      <c r="G117" s="750"/>
      <c r="H117" s="17"/>
      <c r="I117" s="79"/>
      <c r="J117" s="595"/>
      <c r="L117" s="724"/>
      <c r="Z117" s="838"/>
      <c r="AA117" s="838"/>
      <c r="AB117" s="838"/>
      <c r="AC117" s="838"/>
      <c r="AD117" s="838"/>
      <c r="AE117" s="838"/>
      <c r="AF117" s="838"/>
      <c r="AG117" s="838"/>
      <c r="AH117" s="838"/>
      <c r="AI117" s="838"/>
      <c r="AJ117" s="838"/>
      <c r="AK117" s="838"/>
      <c r="AL117" s="838"/>
      <c r="AM117" s="838"/>
      <c r="AN117" s="838"/>
      <c r="AO117" s="838"/>
      <c r="AP117" s="838"/>
      <c r="AQ117" s="838"/>
      <c r="AR117" s="838"/>
    </row>
    <row r="118" spans="1:44" ht="93" hidden="1" customHeight="1" thickBot="1" x14ac:dyDescent="0.35">
      <c r="A118" s="620">
        <v>41</v>
      </c>
      <c r="B118" s="836" t="s">
        <v>604</v>
      </c>
      <c r="C118" s="839" t="s">
        <v>1370</v>
      </c>
      <c r="D118" s="679" t="s">
        <v>1473</v>
      </c>
      <c r="E118" s="689" t="e">
        <f>HLOOKUP($D$2,'2020 Data(H)'!$C$1:$CR$397,29,FALSE)</f>
        <v>#N/A</v>
      </c>
      <c r="F118" s="300">
        <v>0</v>
      </c>
      <c r="G118" s="750"/>
      <c r="H118" s="17"/>
      <c r="I118" s="79"/>
      <c r="J118" s="595"/>
      <c r="L118" s="724"/>
      <c r="Z118" s="838"/>
      <c r="AA118" s="838"/>
      <c r="AB118" s="838"/>
      <c r="AC118" s="838"/>
      <c r="AD118" s="838"/>
      <c r="AE118" s="838"/>
      <c r="AF118" s="838"/>
      <c r="AG118" s="838"/>
      <c r="AH118" s="838"/>
      <c r="AI118" s="838"/>
      <c r="AJ118" s="838"/>
      <c r="AK118" s="838"/>
      <c r="AL118" s="838"/>
      <c r="AM118" s="838"/>
      <c r="AN118" s="838"/>
      <c r="AO118" s="838"/>
      <c r="AP118" s="838"/>
      <c r="AQ118" s="838"/>
      <c r="AR118" s="838"/>
    </row>
    <row r="119" spans="1:44" ht="120.75" hidden="1" customHeight="1" thickBot="1" x14ac:dyDescent="0.35">
      <c r="A119" s="620">
        <v>194</v>
      </c>
      <c r="B119" s="836" t="s">
        <v>604</v>
      </c>
      <c r="C119" s="839" t="s">
        <v>1370</v>
      </c>
      <c r="D119" s="679" t="s">
        <v>1373</v>
      </c>
      <c r="E119" s="689" t="e">
        <f>HLOOKUP($D$2,'2020 Data(H)'!$C$1:$CR$397,75,FALSE)</f>
        <v>#N/A</v>
      </c>
      <c r="F119" s="300">
        <v>0</v>
      </c>
      <c r="G119" s="750"/>
      <c r="H119" s="17"/>
      <c r="I119" s="79"/>
      <c r="J119" s="595"/>
      <c r="L119" s="724"/>
      <c r="Z119" s="838"/>
      <c r="AA119" s="838"/>
      <c r="AB119" s="838"/>
      <c r="AC119" s="838"/>
      <c r="AD119" s="838"/>
      <c r="AE119" s="838"/>
      <c r="AF119" s="838"/>
      <c r="AG119" s="838"/>
      <c r="AH119" s="838"/>
      <c r="AI119" s="838"/>
      <c r="AJ119" s="838"/>
      <c r="AK119" s="838"/>
      <c r="AL119" s="838"/>
      <c r="AM119" s="838"/>
      <c r="AN119" s="838"/>
      <c r="AO119" s="838"/>
      <c r="AP119" s="838"/>
      <c r="AQ119" s="838"/>
      <c r="AR119" s="838"/>
    </row>
    <row r="120" spans="1:44" ht="123.75" hidden="1" customHeight="1" thickBot="1" x14ac:dyDescent="0.35">
      <c r="A120" s="620">
        <v>294</v>
      </c>
      <c r="B120" s="836" t="s">
        <v>604</v>
      </c>
      <c r="C120" s="839" t="s">
        <v>1370</v>
      </c>
      <c r="D120" s="679" t="s">
        <v>1374</v>
      </c>
      <c r="E120" s="689" t="e">
        <f>HLOOKUP($D$2,'2020 Data(H)'!$C$1:$CR$397,83,FALSE)</f>
        <v>#N/A</v>
      </c>
      <c r="F120" s="300">
        <v>0</v>
      </c>
      <c r="G120" s="750"/>
      <c r="H120" s="17"/>
      <c r="I120" s="79"/>
      <c r="J120" s="595"/>
      <c r="L120" s="724"/>
      <c r="Z120" s="838"/>
      <c r="AA120" s="838"/>
      <c r="AB120" s="838"/>
      <c r="AC120" s="838"/>
      <c r="AD120" s="838"/>
      <c r="AE120" s="838"/>
      <c r="AF120" s="838"/>
      <c r="AG120" s="838"/>
      <c r="AH120" s="838"/>
      <c r="AI120" s="838"/>
      <c r="AJ120" s="838"/>
      <c r="AK120" s="838"/>
      <c r="AL120" s="838"/>
      <c r="AM120" s="838"/>
      <c r="AN120" s="838"/>
      <c r="AO120" s="838"/>
      <c r="AP120" s="838"/>
      <c r="AQ120" s="838"/>
      <c r="AR120" s="838"/>
    </row>
    <row r="121" spans="1:44" hidden="1" x14ac:dyDescent="0.3">
      <c r="A121" s="819"/>
      <c r="E121" s="689"/>
      <c r="Z121" s="18"/>
    </row>
    <row r="122" spans="1:44" hidden="1" x14ac:dyDescent="0.3">
      <c r="A122" s="819"/>
      <c r="E122" s="689"/>
      <c r="Z122" s="18"/>
    </row>
    <row r="123" spans="1:44" ht="129.75" hidden="1" customHeight="1" thickBot="1" x14ac:dyDescent="0.35">
      <c r="A123" s="620">
        <v>31</v>
      </c>
      <c r="B123" s="836" t="s">
        <v>723</v>
      </c>
      <c r="C123" s="839" t="s">
        <v>1356</v>
      </c>
      <c r="D123" s="839" t="s">
        <v>1358</v>
      </c>
      <c r="E123" s="689" t="e">
        <f>HLOOKUP($D$2,'2020 Data(H)'!$C$1:$CR$397,19,FALSE)</f>
        <v>#N/A</v>
      </c>
      <c r="F123" s="300">
        <v>0</v>
      </c>
      <c r="G123" s="750"/>
      <c r="H123" s="17"/>
      <c r="I123" s="79"/>
      <c r="J123" s="595"/>
      <c r="L123" s="724"/>
      <c r="Z123" s="838"/>
      <c r="AA123" s="838"/>
      <c r="AB123" s="838"/>
      <c r="AC123" s="838"/>
      <c r="AD123" s="838"/>
      <c r="AE123" s="838"/>
      <c r="AF123" s="838"/>
      <c r="AG123" s="838"/>
      <c r="AH123" s="838"/>
      <c r="AI123" s="838"/>
      <c r="AJ123" s="838"/>
      <c r="AK123" s="838"/>
      <c r="AL123" s="838"/>
      <c r="AM123" s="838"/>
      <c r="AN123" s="838"/>
      <c r="AO123" s="838"/>
      <c r="AP123" s="838"/>
      <c r="AQ123" s="838"/>
      <c r="AR123" s="838"/>
    </row>
    <row r="124" spans="1:44" ht="94.5" hidden="1" customHeight="1" thickBot="1" x14ac:dyDescent="0.35">
      <c r="A124" s="1104">
        <v>193</v>
      </c>
      <c r="B124" s="836" t="s">
        <v>723</v>
      </c>
      <c r="C124" s="839" t="s">
        <v>1359</v>
      </c>
      <c r="D124" s="839" t="s">
        <v>383</v>
      </c>
      <c r="E124" s="689" t="e">
        <f>HLOOKUP($D$2,'2020 Data(H)'!$C$1:$CR$397,74,FALSE)</f>
        <v>#N/A</v>
      </c>
      <c r="F124" s="300">
        <v>0</v>
      </c>
      <c r="G124" s="750"/>
      <c r="H124" s="17"/>
      <c r="I124" s="79"/>
      <c r="J124" s="595"/>
      <c r="L124" s="724"/>
      <c r="Z124" s="838"/>
      <c r="AA124" s="838"/>
      <c r="AB124" s="838"/>
      <c r="AC124" s="838"/>
      <c r="AD124" s="838"/>
      <c r="AE124" s="838"/>
      <c r="AF124" s="838"/>
      <c r="AG124" s="838"/>
      <c r="AH124" s="838"/>
      <c r="AI124" s="838"/>
      <c r="AJ124" s="838"/>
      <c r="AK124" s="838"/>
      <c r="AL124" s="838"/>
      <c r="AM124" s="838"/>
      <c r="AN124" s="838"/>
      <c r="AO124" s="838"/>
      <c r="AP124" s="838"/>
      <c r="AQ124" s="838"/>
      <c r="AR124" s="838"/>
    </row>
    <row r="125" spans="1:44" ht="78" hidden="1" customHeight="1" thickBot="1" x14ac:dyDescent="0.35">
      <c r="A125" s="1104">
        <v>33</v>
      </c>
      <c r="B125" s="836" t="s">
        <v>723</v>
      </c>
      <c r="C125" s="839" t="s">
        <v>1359</v>
      </c>
      <c r="D125" s="839" t="s">
        <v>318</v>
      </c>
      <c r="E125" s="689" t="e">
        <f>HLOOKUP($D$2,'2020 Data(H)'!$C$1:$CR$397,21,FALSE)</f>
        <v>#N/A</v>
      </c>
      <c r="F125" s="300">
        <v>0</v>
      </c>
      <c r="G125" s="750"/>
      <c r="H125" s="17"/>
      <c r="I125" s="79"/>
      <c r="J125" s="595"/>
      <c r="L125" s="724"/>
      <c r="Z125" s="838"/>
      <c r="AA125" s="838"/>
      <c r="AB125" s="838"/>
      <c r="AC125" s="838"/>
      <c r="AD125" s="838"/>
      <c r="AE125" s="838"/>
      <c r="AF125" s="838"/>
      <c r="AG125" s="838"/>
      <c r="AH125" s="838"/>
      <c r="AI125" s="838"/>
      <c r="AJ125" s="838"/>
      <c r="AK125" s="838"/>
      <c r="AL125" s="838"/>
      <c r="AM125" s="838"/>
      <c r="AN125" s="838"/>
      <c r="AO125" s="838"/>
      <c r="AP125" s="838"/>
      <c r="AQ125" s="838"/>
      <c r="AR125" s="838"/>
    </row>
    <row r="126" spans="1:44" ht="55.5" hidden="1" customHeight="1" thickBot="1" x14ac:dyDescent="0.35">
      <c r="A126" s="620">
        <v>104</v>
      </c>
      <c r="B126" s="836" t="s">
        <v>723</v>
      </c>
      <c r="C126" s="4" t="s">
        <v>1375</v>
      </c>
      <c r="D126" s="679" t="s">
        <v>1376</v>
      </c>
      <c r="E126" s="689" t="e">
        <f>HLOOKUP($D$2,'2020 Data(H)'!$C$1:$CR$397,64,FALSE)</f>
        <v>#N/A</v>
      </c>
      <c r="F126" s="300">
        <v>0</v>
      </c>
      <c r="G126" s="750"/>
      <c r="H126" s="17"/>
      <c r="I126" s="79"/>
      <c r="J126" s="595"/>
      <c r="L126" s="724"/>
      <c r="Z126" s="838"/>
      <c r="AA126" s="838"/>
      <c r="AB126" s="838"/>
      <c r="AC126" s="838"/>
      <c r="AD126" s="838"/>
      <c r="AE126" s="838"/>
      <c r="AF126" s="838"/>
      <c r="AG126" s="838"/>
      <c r="AH126" s="838"/>
      <c r="AI126" s="838"/>
      <c r="AJ126" s="838"/>
      <c r="AK126" s="838"/>
      <c r="AL126" s="838"/>
      <c r="AM126" s="838"/>
      <c r="AN126" s="838"/>
      <c r="AO126" s="838"/>
      <c r="AP126" s="838"/>
      <c r="AQ126" s="838"/>
      <c r="AR126" s="838"/>
    </row>
    <row r="127" spans="1:44" ht="70.5" hidden="1" customHeight="1" thickBot="1" x14ac:dyDescent="0.35">
      <c r="A127" s="620">
        <v>39</v>
      </c>
      <c r="B127" s="836" t="s">
        <v>723</v>
      </c>
      <c r="C127" s="4" t="s">
        <v>1375</v>
      </c>
      <c r="D127" s="24" t="s">
        <v>1377</v>
      </c>
      <c r="E127" s="689" t="e">
        <f>HLOOKUP($D$2,'2020 Data(H)'!$C$1:$CR$397,27,FALSE)</f>
        <v>#N/A</v>
      </c>
      <c r="F127" s="300">
        <v>0</v>
      </c>
      <c r="G127" s="750"/>
      <c r="H127" s="17"/>
      <c r="I127" s="79"/>
      <c r="J127" s="595"/>
      <c r="L127" s="724"/>
      <c r="Z127" s="838"/>
      <c r="AA127" s="838"/>
      <c r="AB127" s="838"/>
      <c r="AC127" s="838"/>
      <c r="AD127" s="838"/>
      <c r="AE127" s="838"/>
      <c r="AF127" s="838"/>
      <c r="AG127" s="838"/>
      <c r="AH127" s="838"/>
      <c r="AI127" s="838"/>
      <c r="AJ127" s="838"/>
      <c r="AK127" s="838"/>
      <c r="AL127" s="838"/>
      <c r="AM127" s="838"/>
      <c r="AN127" s="838"/>
      <c r="AO127" s="838"/>
      <c r="AP127" s="838"/>
      <c r="AQ127" s="838"/>
      <c r="AR127" s="838"/>
    </row>
    <row r="128" spans="1:44" ht="15" thickBot="1" x14ac:dyDescent="0.35">
      <c r="A128" s="108"/>
      <c r="B128" s="876" t="s">
        <v>1474</v>
      </c>
      <c r="C128" s="876"/>
      <c r="D128" s="860"/>
      <c r="E128" s="860"/>
      <c r="F128" s="880"/>
      <c r="G128" s="881"/>
      <c r="H128" s="17"/>
      <c r="I128" s="79"/>
      <c r="L128" s="724"/>
      <c r="Z128" s="108"/>
      <c r="AA128" s="108"/>
      <c r="AB128" s="108"/>
      <c r="AC128" s="108"/>
      <c r="AD128" s="108"/>
      <c r="AE128" s="108"/>
      <c r="AF128" s="108"/>
      <c r="AG128" s="108"/>
      <c r="AH128" s="108"/>
      <c r="AI128" s="108"/>
      <c r="AJ128" s="108"/>
      <c r="AK128" s="108"/>
      <c r="AL128" s="108"/>
      <c r="AM128" s="108"/>
      <c r="AN128" s="108"/>
      <c r="AO128" s="108"/>
      <c r="AP128" s="108"/>
      <c r="AQ128" s="108"/>
      <c r="AR128" s="108"/>
    </row>
    <row r="129" spans="1:44" ht="15" thickBot="1" x14ac:dyDescent="0.35">
      <c r="A129" s="108"/>
      <c r="B129" s="876" t="s">
        <v>24</v>
      </c>
      <c r="C129" s="876"/>
      <c r="D129" s="876"/>
      <c r="E129" s="858"/>
      <c r="F129" s="882"/>
      <c r="G129" s="883"/>
      <c r="H129" s="17"/>
      <c r="I129" s="79"/>
      <c r="L129" s="724"/>
      <c r="Z129" s="108"/>
      <c r="AA129" s="108"/>
      <c r="AB129" s="108"/>
      <c r="AC129" s="108"/>
      <c r="AD129" s="108"/>
      <c r="AE129" s="108"/>
      <c r="AF129" s="108"/>
      <c r="AG129" s="108"/>
      <c r="AH129" s="108"/>
      <c r="AI129" s="108"/>
      <c r="AJ129" s="108"/>
      <c r="AK129" s="108"/>
      <c r="AL129" s="108"/>
      <c r="AM129" s="108"/>
      <c r="AN129" s="108"/>
      <c r="AO129" s="108"/>
      <c r="AP129" s="108"/>
      <c r="AQ129" s="108"/>
      <c r="AR129" s="108"/>
    </row>
    <row r="130" spans="1:44" ht="15" thickBot="1" x14ac:dyDescent="0.35">
      <c r="A130" s="108"/>
      <c r="B130" s="876" t="s">
        <v>22</v>
      </c>
      <c r="C130" s="876"/>
      <c r="D130" s="876"/>
      <c r="E130" s="858"/>
      <c r="F130" s="882"/>
      <c r="G130" s="883"/>
      <c r="H130" s="764"/>
      <c r="I130" s="79"/>
      <c r="L130" s="724"/>
      <c r="Z130" s="108"/>
      <c r="AA130" s="108"/>
      <c r="AB130" s="108"/>
      <c r="AC130" s="108"/>
      <c r="AD130" s="108"/>
      <c r="AE130" s="108"/>
      <c r="AF130" s="108"/>
      <c r="AG130" s="108"/>
      <c r="AH130" s="108"/>
      <c r="AI130" s="108"/>
      <c r="AJ130" s="108"/>
      <c r="AK130" s="108"/>
      <c r="AL130" s="108"/>
      <c r="AM130" s="108"/>
      <c r="AN130" s="108"/>
      <c r="AO130" s="108"/>
      <c r="AP130" s="108"/>
      <c r="AQ130" s="108"/>
      <c r="AR130" s="108"/>
    </row>
    <row r="131" spans="1:44" ht="78" customHeight="1" thickBot="1" x14ac:dyDescent="0.35">
      <c r="A131" s="108">
        <v>596</v>
      </c>
      <c r="B131" s="691" t="s">
        <v>57</v>
      </c>
      <c r="C131" s="841"/>
      <c r="D131" s="688" t="s">
        <v>613</v>
      </c>
      <c r="E131" s="689" t="e">
        <f>HLOOKUP($D$2,'2020 Data(H)'!$C$1:$CR$397,255,FALSE)</f>
        <v>#N/A</v>
      </c>
      <c r="F131" s="300"/>
      <c r="G131" s="765"/>
      <c r="H131" s="764"/>
      <c r="I131" s="79"/>
      <c r="L131" s="724"/>
      <c r="Z131" s="108"/>
      <c r="AA131" s="108"/>
      <c r="AB131" s="108"/>
      <c r="AC131" s="108"/>
      <c r="AD131" s="108"/>
      <c r="AE131" s="108"/>
      <c r="AF131" s="108"/>
      <c r="AG131" s="108"/>
      <c r="AH131" s="108"/>
      <c r="AI131" s="108"/>
      <c r="AJ131" s="108"/>
      <c r="AK131" s="108"/>
      <c r="AL131" s="108"/>
      <c r="AM131" s="108"/>
      <c r="AN131" s="108"/>
      <c r="AO131" s="108"/>
      <c r="AP131" s="108"/>
      <c r="AQ131" s="108"/>
      <c r="AR131" s="108"/>
    </row>
    <row r="132" spans="1:44" ht="114.75" customHeight="1" thickBot="1" x14ac:dyDescent="0.35">
      <c r="A132" s="108">
        <v>80</v>
      </c>
      <c r="B132" s="4" t="s">
        <v>62</v>
      </c>
      <c r="C132" s="4" t="s">
        <v>1475</v>
      </c>
      <c r="D132" s="24" t="s">
        <v>1476</v>
      </c>
      <c r="E132" s="689" t="e">
        <f>HLOOKUP($D$2,'2020 Data(H)'!$C$1:$CR$397,44,FALSE)</f>
        <v>#N/A</v>
      </c>
      <c r="F132" s="279">
        <v>0</v>
      </c>
      <c r="G132" s="689" t="e">
        <f>HLOOKUP($D$2,'2020 Data(H)'!C1:BS295,249,FALSE)</f>
        <v>#N/A</v>
      </c>
      <c r="H132" s="766"/>
      <c r="I132" s="79"/>
      <c r="L132" s="724"/>
      <c r="Z132" s="108"/>
      <c r="AA132" s="108"/>
      <c r="AB132" s="108"/>
      <c r="AC132" s="108"/>
      <c r="AD132" s="108"/>
      <c r="AE132" s="108"/>
      <c r="AF132" s="108"/>
      <c r="AG132" s="108"/>
      <c r="AH132" s="108"/>
      <c r="AI132" s="108"/>
      <c r="AJ132" s="108"/>
      <c r="AK132" s="108"/>
      <c r="AL132" s="108"/>
      <c r="AM132" s="108"/>
      <c r="AN132" s="108"/>
      <c r="AO132" s="108"/>
      <c r="AP132" s="108"/>
      <c r="AQ132" s="108"/>
      <c r="AR132" s="108"/>
    </row>
    <row r="133" spans="1:44" ht="63.75" customHeight="1" thickBot="1" x14ac:dyDescent="0.35">
      <c r="A133" s="108">
        <v>81</v>
      </c>
      <c r="B133" s="4" t="s">
        <v>62</v>
      </c>
      <c r="C133" s="4" t="s">
        <v>1475</v>
      </c>
      <c r="D133" s="24" t="s">
        <v>1477</v>
      </c>
      <c r="E133" s="689" t="e">
        <f>HLOOKUP($D$2,'2020 Data(H)'!$C$1:$CR$397,45,FALSE)</f>
        <v>#N/A</v>
      </c>
      <c r="F133" s="300">
        <v>0</v>
      </c>
      <c r="G133" s="760"/>
      <c r="H133" s="17"/>
      <c r="I133" s="79"/>
      <c r="L133" s="724"/>
      <c r="Z133" s="108"/>
      <c r="AA133" s="108"/>
      <c r="AB133" s="108"/>
      <c r="AC133" s="108"/>
      <c r="AD133" s="108"/>
      <c r="AE133" s="108"/>
      <c r="AF133" s="108"/>
      <c r="AG133" s="108"/>
      <c r="AH133" s="108"/>
      <c r="AI133" s="108"/>
      <c r="AJ133" s="108"/>
      <c r="AK133" s="108"/>
      <c r="AL133" s="108"/>
      <c r="AM133" s="108"/>
      <c r="AN133" s="108"/>
      <c r="AO133" s="108"/>
      <c r="AP133" s="108"/>
      <c r="AQ133" s="108"/>
      <c r="AR133" s="108"/>
    </row>
    <row r="134" spans="1:44" ht="84" customHeight="1" thickBot="1" x14ac:dyDescent="0.35">
      <c r="A134" s="108">
        <v>579</v>
      </c>
      <c r="B134" s="842" t="s">
        <v>559</v>
      </c>
      <c r="C134" s="691" t="s">
        <v>1475</v>
      </c>
      <c r="D134" s="843" t="s">
        <v>1478</v>
      </c>
      <c r="E134" s="689" t="e">
        <f>HLOOKUP($D$2,'2020 Data(H)'!$C$1:$CR$397,229,FALSE)</f>
        <v>#N/A</v>
      </c>
      <c r="F134" s="300">
        <v>0</v>
      </c>
      <c r="G134" s="750"/>
      <c r="H134" s="17"/>
      <c r="I134" s="751"/>
      <c r="L134" s="724"/>
      <c r="Z134" s="108"/>
      <c r="AA134" s="108"/>
      <c r="AB134" s="108"/>
      <c r="AC134" s="108"/>
      <c r="AD134" s="108"/>
      <c r="AE134" s="108"/>
      <c r="AF134" s="108"/>
      <c r="AG134" s="108"/>
      <c r="AH134" s="108"/>
      <c r="AI134" s="108"/>
      <c r="AJ134" s="108"/>
      <c r="AK134" s="108"/>
      <c r="AL134" s="108"/>
      <c r="AM134" s="108"/>
      <c r="AN134" s="108"/>
      <c r="AO134" s="108"/>
      <c r="AP134" s="108"/>
      <c r="AQ134" s="108"/>
      <c r="AR134" s="108"/>
    </row>
    <row r="135" spans="1:44" ht="48.75" customHeight="1" x14ac:dyDescent="0.3">
      <c r="A135" s="108">
        <v>510</v>
      </c>
      <c r="B135" s="4" t="s">
        <v>37</v>
      </c>
      <c r="C135" s="4" t="s">
        <v>1475</v>
      </c>
      <c r="D135" s="29" t="s">
        <v>531</v>
      </c>
      <c r="E135" s="689" t="e">
        <f>HLOOKUP($D$2,'2020 Data(H)'!$C$1:$CR$397,160,FALSE)</f>
        <v>#N/A</v>
      </c>
      <c r="F135" s="300">
        <v>0</v>
      </c>
      <c r="G135" s="760"/>
      <c r="H135" s="17"/>
      <c r="I135" s="79"/>
      <c r="Z135" s="108"/>
      <c r="AA135" s="108"/>
      <c r="AB135" s="108"/>
      <c r="AC135" s="108"/>
      <c r="AD135" s="108"/>
      <c r="AE135" s="108"/>
      <c r="AF135" s="108"/>
      <c r="AG135" s="108"/>
      <c r="AH135" s="108"/>
      <c r="AI135" s="108"/>
      <c r="AJ135" s="108"/>
      <c r="AK135" s="108"/>
      <c r="AL135" s="108"/>
      <c r="AM135" s="108"/>
      <c r="AN135" s="108"/>
      <c r="AO135" s="108"/>
      <c r="AP135" s="108"/>
      <c r="AQ135" s="108"/>
      <c r="AR135" s="108"/>
    </row>
    <row r="136" spans="1:44" ht="68.25" customHeight="1" x14ac:dyDescent="0.3">
      <c r="A136" s="313">
        <v>654</v>
      </c>
      <c r="B136" s="844" t="s">
        <v>37</v>
      </c>
      <c r="C136" s="844" t="s">
        <v>1475</v>
      </c>
      <c r="D136" s="345" t="s">
        <v>1479</v>
      </c>
      <c r="E136" s="689" t="e">
        <f>HLOOKUP($D$2,'2020 Data(H)'!$C$1:$CR$397,307,FALSE)</f>
        <v>#N/A</v>
      </c>
      <c r="F136" s="300">
        <v>0</v>
      </c>
      <c r="G136" s="750">
        <f>IF((F132+F133+F135)&gt;F136,"Error: Please review components of current assets above.  Account numbers (80+81+510)&gt;654",)</f>
        <v>0</v>
      </c>
      <c r="H136" s="17"/>
      <c r="I136" s="79"/>
      <c r="Z136" s="313"/>
      <c r="AA136" s="313"/>
      <c r="AB136" s="313"/>
      <c r="AC136" s="313"/>
      <c r="AD136" s="313"/>
      <c r="AE136" s="313"/>
      <c r="AF136" s="313"/>
      <c r="AG136" s="313"/>
      <c r="AH136" s="313"/>
      <c r="AI136" s="313"/>
      <c r="AJ136" s="313"/>
      <c r="AK136" s="313"/>
      <c r="AL136" s="313"/>
      <c r="AM136" s="313"/>
      <c r="AN136" s="313"/>
      <c r="AO136" s="313"/>
      <c r="AP136" s="313"/>
      <c r="AQ136" s="313"/>
      <c r="AR136" s="313"/>
    </row>
    <row r="137" spans="1:44" ht="75.75" customHeight="1" x14ac:dyDescent="0.3">
      <c r="A137" s="313">
        <v>655</v>
      </c>
      <c r="B137" s="844" t="s">
        <v>37</v>
      </c>
      <c r="C137" s="844" t="s">
        <v>1475</v>
      </c>
      <c r="D137" s="315" t="s">
        <v>853</v>
      </c>
      <c r="E137" s="689" t="e">
        <f>HLOOKUP($D$2,'2020 Data(H)'!$C$1:$CR$397,308,FALSE)</f>
        <v>#N/A</v>
      </c>
      <c r="F137" s="300">
        <v>0</v>
      </c>
      <c r="G137" s="750"/>
      <c r="H137" s="17"/>
      <c r="I137" s="79"/>
      <c r="Z137" s="313"/>
      <c r="AA137" s="313"/>
      <c r="AB137" s="313"/>
      <c r="AC137" s="313"/>
      <c r="AD137" s="313"/>
      <c r="AE137" s="313"/>
      <c r="AF137" s="313"/>
      <c r="AG137" s="313"/>
      <c r="AH137" s="313"/>
      <c r="AI137" s="313"/>
      <c r="AJ137" s="313"/>
      <c r="AK137" s="313"/>
      <c r="AL137" s="313"/>
      <c r="AM137" s="313"/>
      <c r="AN137" s="313"/>
      <c r="AO137" s="313"/>
      <c r="AP137" s="313"/>
      <c r="AQ137" s="313"/>
      <c r="AR137" s="313"/>
    </row>
    <row r="138" spans="1:44" ht="48" customHeight="1" x14ac:dyDescent="0.3">
      <c r="A138" s="108">
        <v>381</v>
      </c>
      <c r="B138" s="4" t="s">
        <v>37</v>
      </c>
      <c r="C138" s="4" t="s">
        <v>1475</v>
      </c>
      <c r="D138" s="106" t="s">
        <v>130</v>
      </c>
      <c r="E138" s="689" t="e">
        <f>HLOOKUP($D$2,'2020 Data(H)'!$C$1:$CR$397,140,FALSE)</f>
        <v>#N/A</v>
      </c>
      <c r="F138" s="300">
        <v>0</v>
      </c>
      <c r="G138" s="750">
        <f>IF(F136&gt;F138,"Error: Please review components of current assets above. Account numbers 654&gt;381",)</f>
        <v>0</v>
      </c>
      <c r="H138" s="17"/>
      <c r="I138" s="79"/>
      <c r="Z138" s="108"/>
      <c r="AA138" s="108"/>
      <c r="AB138" s="108"/>
      <c r="AC138" s="108"/>
      <c r="AD138" s="108"/>
      <c r="AE138" s="108"/>
      <c r="AF138" s="108"/>
      <c r="AG138" s="108"/>
      <c r="AH138" s="108"/>
      <c r="AI138" s="108"/>
      <c r="AJ138" s="108"/>
      <c r="AK138" s="108"/>
      <c r="AL138" s="108"/>
      <c r="AM138" s="108"/>
      <c r="AN138" s="108"/>
      <c r="AO138" s="108"/>
      <c r="AP138" s="108"/>
      <c r="AQ138" s="108"/>
      <c r="AR138" s="108"/>
    </row>
    <row r="139" spans="1:44" ht="63" customHeight="1" x14ac:dyDescent="0.3">
      <c r="A139" s="108">
        <v>578</v>
      </c>
      <c r="B139" s="691" t="s">
        <v>59</v>
      </c>
      <c r="C139" s="691" t="s">
        <v>1475</v>
      </c>
      <c r="D139" s="843" t="s">
        <v>1480</v>
      </c>
      <c r="E139" s="689" t="e">
        <f>HLOOKUP($D$2,'2020 Data(H)'!$C$1:$CR$397,228,FALSE)</f>
        <v>#N/A</v>
      </c>
      <c r="F139" s="300">
        <v>0</v>
      </c>
      <c r="G139" s="750"/>
      <c r="H139" s="751"/>
      <c r="I139" s="752"/>
      <c r="Z139" s="108"/>
      <c r="AA139" s="108"/>
      <c r="AB139" s="108"/>
      <c r="AC139" s="108"/>
      <c r="AD139" s="108"/>
      <c r="AE139" s="108"/>
      <c r="AF139" s="108"/>
      <c r="AG139" s="108"/>
      <c r="AH139" s="108"/>
      <c r="AI139" s="108"/>
      <c r="AJ139" s="108"/>
      <c r="AK139" s="108"/>
      <c r="AL139" s="108"/>
      <c r="AM139" s="108"/>
      <c r="AN139" s="108"/>
      <c r="AO139" s="108"/>
      <c r="AP139" s="108"/>
      <c r="AQ139" s="108"/>
      <c r="AR139" s="108"/>
    </row>
    <row r="140" spans="1:44" ht="126" customHeight="1" x14ac:dyDescent="0.3">
      <c r="A140" s="314">
        <v>633</v>
      </c>
      <c r="B140" s="844" t="s">
        <v>852</v>
      </c>
      <c r="C140" s="844" t="s">
        <v>727</v>
      </c>
      <c r="D140" s="345" t="s">
        <v>1559</v>
      </c>
      <c r="E140" s="689" t="e">
        <f>HLOOKUP($D$2,'2020 Data(H)'!$C$1:$CR$397,292,FALSE)</f>
        <v>#N/A</v>
      </c>
      <c r="F140" s="300">
        <v>0</v>
      </c>
      <c r="G140" s="767" t="str">
        <f>IF(F140&gt;=(F141+F142+F143+F144+F145+F146),"","Account 633 is less than the total sum of accounts 634 through 638 + 383")</f>
        <v/>
      </c>
      <c r="H140" s="773">
        <f>F140-(F141+F142+F143+F144+F145+F146)</f>
        <v>0</v>
      </c>
      <c r="I140" s="755" t="str">
        <f>IF(F140&gt;=(F141+F142+F143+F144+F145+F146),"","Account 633 is less than the total sum of accounts 634 through 638 + 383")</f>
        <v/>
      </c>
      <c r="Z140" s="314"/>
      <c r="AA140" s="314"/>
      <c r="AB140" s="314"/>
      <c r="AC140" s="314"/>
      <c r="AD140" s="314"/>
      <c r="AE140" s="314"/>
      <c r="AF140" s="314"/>
      <c r="AG140" s="314"/>
      <c r="AH140" s="314"/>
      <c r="AI140" s="314"/>
      <c r="AJ140" s="314"/>
      <c r="AK140" s="314"/>
      <c r="AL140" s="314"/>
      <c r="AM140" s="314"/>
      <c r="AN140" s="314"/>
      <c r="AO140" s="314"/>
      <c r="AP140" s="314"/>
      <c r="AQ140" s="314"/>
      <c r="AR140" s="314"/>
    </row>
    <row r="141" spans="1:44" ht="109.5" customHeight="1" x14ac:dyDescent="0.3">
      <c r="A141" s="313">
        <v>634</v>
      </c>
      <c r="B141" s="845" t="s">
        <v>723</v>
      </c>
      <c r="C141" s="844" t="s">
        <v>727</v>
      </c>
      <c r="D141" s="345" t="s">
        <v>1561</v>
      </c>
      <c r="E141" s="689" t="e">
        <f>HLOOKUP($D$2,'2020 Data(H)'!$C$1:$CR$397,293,FALSE)</f>
        <v>#N/A</v>
      </c>
      <c r="F141" s="300">
        <v>0</v>
      </c>
      <c r="G141" s="768">
        <f>IF(F141&gt;F140,"Please review account numbers 634&gt;633",)</f>
        <v>0</v>
      </c>
      <c r="H141" s="755"/>
      <c r="I141" s="755"/>
      <c r="Z141" s="313"/>
      <c r="AA141" s="313"/>
      <c r="AB141" s="313"/>
      <c r="AC141" s="313"/>
      <c r="AD141" s="313"/>
      <c r="AE141" s="313"/>
      <c r="AF141" s="313"/>
      <c r="AG141" s="313"/>
      <c r="AH141" s="313"/>
      <c r="AI141" s="313"/>
      <c r="AJ141" s="313"/>
      <c r="AK141" s="313"/>
      <c r="AL141" s="313"/>
      <c r="AM141" s="313"/>
      <c r="AN141" s="313"/>
      <c r="AO141" s="313"/>
      <c r="AP141" s="313"/>
      <c r="AQ141" s="313"/>
      <c r="AR141" s="313"/>
    </row>
    <row r="142" spans="1:44" ht="130.5" customHeight="1" x14ac:dyDescent="0.3">
      <c r="A142" s="313">
        <v>635</v>
      </c>
      <c r="B142" s="845" t="s">
        <v>723</v>
      </c>
      <c r="C142" s="844" t="s">
        <v>727</v>
      </c>
      <c r="D142" s="345" t="s">
        <v>1560</v>
      </c>
      <c r="E142" s="689" t="e">
        <f>HLOOKUP($D$2,'2020 Data(H)'!$C$1:$CR$397,294,FALSE)</f>
        <v>#N/A</v>
      </c>
      <c r="F142" s="300">
        <v>0</v>
      </c>
      <c r="G142" s="768">
        <f>IF(F142&gt;F140,"Please review account numbers 635&gt;633",)</f>
        <v>0</v>
      </c>
      <c r="H142" s="755"/>
      <c r="I142" s="755"/>
      <c r="Z142" s="313"/>
      <c r="AA142" s="313"/>
      <c r="AB142" s="313"/>
      <c r="AC142" s="313"/>
      <c r="AD142" s="313"/>
      <c r="AE142" s="313"/>
      <c r="AF142" s="313"/>
      <c r="AG142" s="313"/>
      <c r="AH142" s="313"/>
      <c r="AI142" s="313"/>
      <c r="AJ142" s="313"/>
      <c r="AK142" s="313"/>
      <c r="AL142" s="313"/>
      <c r="AM142" s="313"/>
      <c r="AN142" s="313"/>
      <c r="AO142" s="313"/>
      <c r="AP142" s="313"/>
      <c r="AQ142" s="313"/>
      <c r="AR142" s="313"/>
    </row>
    <row r="143" spans="1:44" ht="106.5" customHeight="1" x14ac:dyDescent="0.3">
      <c r="A143" s="313">
        <v>636</v>
      </c>
      <c r="B143" s="845" t="s">
        <v>723</v>
      </c>
      <c r="C143" s="844" t="s">
        <v>727</v>
      </c>
      <c r="D143" s="345" t="s">
        <v>1565</v>
      </c>
      <c r="E143" s="689" t="e">
        <f>HLOOKUP($D$2,'2020 Data(H)'!$C$1:$CR$397,295,FALSE)</f>
        <v>#N/A</v>
      </c>
      <c r="F143" s="300">
        <v>0</v>
      </c>
      <c r="G143" s="768">
        <f>IF(F143&gt;F140,"Please review account numbers 636&gt;633",)</f>
        <v>0</v>
      </c>
      <c r="H143" s="755"/>
      <c r="I143" s="755"/>
      <c r="Z143" s="313"/>
      <c r="AA143" s="313"/>
      <c r="AB143" s="313"/>
      <c r="AC143" s="313"/>
      <c r="AD143" s="313"/>
      <c r="AE143" s="313"/>
      <c r="AF143" s="313"/>
      <c r="AG143" s="313"/>
      <c r="AH143" s="313"/>
      <c r="AI143" s="313"/>
      <c r="AJ143" s="313"/>
      <c r="AK143" s="313"/>
      <c r="AL143" s="313"/>
      <c r="AM143" s="313"/>
      <c r="AN143" s="313"/>
      <c r="AO143" s="313"/>
      <c r="AP143" s="313"/>
      <c r="AQ143" s="313"/>
      <c r="AR143" s="313"/>
    </row>
    <row r="144" spans="1:44" ht="80.25" customHeight="1" x14ac:dyDescent="0.3">
      <c r="A144" s="313">
        <v>637</v>
      </c>
      <c r="B144" s="845" t="s">
        <v>723</v>
      </c>
      <c r="C144" s="844" t="s">
        <v>727</v>
      </c>
      <c r="D144" s="345" t="s">
        <v>1564</v>
      </c>
      <c r="E144" s="689" t="e">
        <f>HLOOKUP($D$2,'2020 Data(H)'!$C$1:$CR$397,296,FALSE)</f>
        <v>#N/A</v>
      </c>
      <c r="F144" s="300">
        <v>0</v>
      </c>
      <c r="G144" s="768">
        <f>IF(F144&gt;F140,"Please review account numbers 637&gt;633",)</f>
        <v>0</v>
      </c>
      <c r="H144" s="755"/>
      <c r="I144" s="755"/>
      <c r="Z144" s="313"/>
      <c r="AA144" s="313"/>
      <c r="AB144" s="313"/>
      <c r="AC144" s="313"/>
      <c r="AD144" s="313"/>
      <c r="AE144" s="313"/>
      <c r="AF144" s="313"/>
      <c r="AG144" s="313"/>
      <c r="AH144" s="313"/>
      <c r="AI144" s="313"/>
      <c r="AJ144" s="313"/>
      <c r="AK144" s="313"/>
      <c r="AL144" s="313"/>
      <c r="AM144" s="313"/>
      <c r="AN144" s="313"/>
      <c r="AO144" s="313"/>
      <c r="AP144" s="313"/>
      <c r="AQ144" s="313"/>
      <c r="AR144" s="313"/>
    </row>
    <row r="145" spans="1:44" ht="110.25" customHeight="1" x14ac:dyDescent="0.3">
      <c r="A145" s="313">
        <v>638</v>
      </c>
      <c r="B145" s="845" t="s">
        <v>723</v>
      </c>
      <c r="C145" s="844" t="s">
        <v>727</v>
      </c>
      <c r="D145" s="345" t="s">
        <v>1563</v>
      </c>
      <c r="E145" s="689" t="e">
        <f>HLOOKUP($D$2,'2020 Data(H)'!$C$1:$CR$397,297,FALSE)</f>
        <v>#N/A</v>
      </c>
      <c r="F145" s="300">
        <v>0</v>
      </c>
      <c r="G145" s="768">
        <f>IF(F145&gt;F140,"Please review account numbers 638&gt;633",)</f>
        <v>0</v>
      </c>
      <c r="H145" s="755"/>
      <c r="I145" s="755"/>
      <c r="Z145" s="313"/>
      <c r="AA145" s="313"/>
      <c r="AB145" s="313"/>
      <c r="AC145" s="313"/>
      <c r="AD145" s="313"/>
      <c r="AE145" s="313"/>
      <c r="AF145" s="313"/>
      <c r="AG145" s="313"/>
      <c r="AH145" s="313"/>
      <c r="AI145" s="313"/>
      <c r="AJ145" s="313"/>
      <c r="AK145" s="313"/>
      <c r="AL145" s="313"/>
      <c r="AM145" s="313"/>
      <c r="AN145" s="313"/>
      <c r="AO145" s="313"/>
      <c r="AP145" s="313"/>
      <c r="AQ145" s="313"/>
      <c r="AR145" s="313"/>
    </row>
    <row r="146" spans="1:44" ht="93.75" customHeight="1" x14ac:dyDescent="0.3">
      <c r="A146" s="108">
        <v>383</v>
      </c>
      <c r="B146" s="4" t="s">
        <v>62</v>
      </c>
      <c r="C146" s="4" t="s">
        <v>1475</v>
      </c>
      <c r="D146" s="29" t="s">
        <v>1562</v>
      </c>
      <c r="E146" s="689" t="e">
        <f>HLOOKUP($D$2,'2020 Data(H)'!$C$1:$CR$397,142,FALSE)</f>
        <v>#N/A</v>
      </c>
      <c r="F146" s="300">
        <v>0</v>
      </c>
      <c r="G146" s="769">
        <f>IF(F146&gt;F140,"Error: Please review components of current liabilities above. Account number 383&gt;633",)</f>
        <v>0</v>
      </c>
      <c r="H146" s="770"/>
      <c r="I146" s="79"/>
      <c r="Z146" s="108"/>
      <c r="AA146" s="108"/>
      <c r="AB146" s="108"/>
      <c r="AC146" s="108"/>
      <c r="AD146" s="108"/>
      <c r="AE146" s="108"/>
      <c r="AF146" s="108"/>
      <c r="AG146" s="108"/>
      <c r="AH146" s="108"/>
      <c r="AI146" s="108"/>
      <c r="AJ146" s="108"/>
      <c r="AK146" s="108"/>
      <c r="AL146" s="108"/>
      <c r="AM146" s="108"/>
      <c r="AN146" s="108"/>
      <c r="AO146" s="108"/>
      <c r="AP146" s="108"/>
      <c r="AQ146" s="108"/>
      <c r="AR146" s="108"/>
    </row>
    <row r="147" spans="1:44" ht="61.5" customHeight="1" x14ac:dyDescent="0.3">
      <c r="A147" s="108">
        <v>349</v>
      </c>
      <c r="B147" s="4" t="s">
        <v>62</v>
      </c>
      <c r="C147" s="4" t="s">
        <v>1475</v>
      </c>
      <c r="D147" s="107" t="s">
        <v>153</v>
      </c>
      <c r="E147" s="689" t="e">
        <f>HLOOKUP($D$2,'2020 Data(H)'!$C$1:$CR$397,113,FALSE)</f>
        <v>#N/A</v>
      </c>
      <c r="F147" s="300">
        <v>0</v>
      </c>
      <c r="G147" s="750" t="str">
        <f>IF(F140&gt;F147,"Error: Please review accts 633&gt;349","")</f>
        <v/>
      </c>
      <c r="H147" s="17"/>
      <c r="I147" s="79"/>
      <c r="Z147" s="108"/>
      <c r="AA147" s="108"/>
      <c r="AB147" s="108"/>
      <c r="AC147" s="108"/>
      <c r="AD147" s="108"/>
      <c r="AE147" s="108"/>
      <c r="AF147" s="108"/>
      <c r="AG147" s="108"/>
      <c r="AH147" s="108"/>
      <c r="AI147" s="108"/>
      <c r="AJ147" s="108"/>
      <c r="AK147" s="108"/>
      <c r="AL147" s="108"/>
      <c r="AM147" s="108"/>
      <c r="AN147" s="108"/>
      <c r="AO147" s="108"/>
      <c r="AP147" s="108"/>
      <c r="AQ147" s="108"/>
      <c r="AR147" s="108"/>
    </row>
    <row r="148" spans="1:44" ht="105" customHeight="1" x14ac:dyDescent="0.3">
      <c r="A148" s="108">
        <v>375</v>
      </c>
      <c r="B148" s="4" t="s">
        <v>62</v>
      </c>
      <c r="C148" s="4" t="s">
        <v>1475</v>
      </c>
      <c r="D148" s="728" t="s">
        <v>1481</v>
      </c>
      <c r="E148" s="689" t="e">
        <f>HLOOKUP($D$2,'2020 Data(H)'!$C$1:$CR$397,134,FALSE)</f>
        <v>#N/A</v>
      </c>
      <c r="F148" s="300">
        <v>0</v>
      </c>
      <c r="G148" s="760"/>
      <c r="H148" s="17"/>
      <c r="I148" s="79"/>
      <c r="Z148" s="108"/>
      <c r="AA148" s="108"/>
      <c r="AB148" s="108"/>
      <c r="AC148" s="108"/>
      <c r="AD148" s="108"/>
      <c r="AE148" s="108"/>
      <c r="AF148" s="108"/>
      <c r="AG148" s="108"/>
      <c r="AH148" s="108"/>
      <c r="AI148" s="108"/>
      <c r="AJ148" s="108"/>
      <c r="AK148" s="108"/>
      <c r="AL148" s="108"/>
      <c r="AM148" s="108"/>
      <c r="AN148" s="108"/>
      <c r="AO148" s="108"/>
      <c r="AP148" s="108"/>
      <c r="AQ148" s="108"/>
      <c r="AR148" s="108"/>
    </row>
    <row r="149" spans="1:44" ht="67.5" customHeight="1" x14ac:dyDescent="0.3">
      <c r="A149" s="108">
        <v>83</v>
      </c>
      <c r="B149" s="4" t="s">
        <v>61</v>
      </c>
      <c r="C149" s="4" t="s">
        <v>1475</v>
      </c>
      <c r="D149" s="107" t="s">
        <v>154</v>
      </c>
      <c r="E149" s="689" t="e">
        <f>HLOOKUP($D$2,'2020 Data(H)'!$C$1:$CR$397,47,FALSE)</f>
        <v>#N/A</v>
      </c>
      <c r="F149" s="300">
        <v>0</v>
      </c>
      <c r="G149" s="750">
        <f>IF(F138-F147-F149=0,,"Error: Total assets less total liabilities do not equal total net assets.  Account numbers 381-349-83=0  The amount of the formula is in the cell to the right")</f>
        <v>0</v>
      </c>
      <c r="H149" s="753">
        <f>F138-F147-F149</f>
        <v>0</v>
      </c>
      <c r="I149" s="79"/>
      <c r="Z149" s="108"/>
      <c r="AA149" s="108"/>
      <c r="AB149" s="108"/>
      <c r="AC149" s="108"/>
      <c r="AD149" s="108"/>
      <c r="AE149" s="108"/>
      <c r="AF149" s="108"/>
      <c r="AG149" s="108"/>
      <c r="AH149" s="108"/>
      <c r="AI149" s="108"/>
      <c r="AJ149" s="108"/>
      <c r="AK149" s="108"/>
      <c r="AL149" s="108"/>
      <c r="AM149" s="108"/>
      <c r="AN149" s="108"/>
      <c r="AO149" s="108"/>
      <c r="AP149" s="108"/>
      <c r="AQ149" s="108"/>
      <c r="AR149" s="108"/>
    </row>
    <row r="150" spans="1:44" ht="40.5" customHeight="1" x14ac:dyDescent="0.3">
      <c r="A150" s="108"/>
      <c r="B150" s="884" t="s">
        <v>155</v>
      </c>
      <c r="C150" s="885"/>
      <c r="D150" s="860"/>
      <c r="E150" s="860"/>
      <c r="F150" s="880"/>
      <c r="G150" s="881"/>
      <c r="H150" s="764"/>
      <c r="I150" s="79"/>
      <c r="Z150" s="108"/>
      <c r="AA150" s="108"/>
      <c r="AB150" s="108"/>
      <c r="AC150" s="108"/>
      <c r="AD150" s="108"/>
      <c r="AE150" s="108"/>
      <c r="AF150" s="108"/>
      <c r="AG150" s="108"/>
      <c r="AH150" s="108"/>
      <c r="AI150" s="108"/>
      <c r="AJ150" s="108"/>
      <c r="AK150" s="108"/>
      <c r="AL150" s="108"/>
      <c r="AM150" s="108"/>
      <c r="AN150" s="108"/>
      <c r="AO150" s="108"/>
      <c r="AP150" s="108"/>
      <c r="AQ150" s="108"/>
      <c r="AR150" s="108"/>
    </row>
    <row r="151" spans="1:44" ht="59.25" customHeight="1" x14ac:dyDescent="0.3">
      <c r="A151" s="108">
        <v>90</v>
      </c>
      <c r="B151" s="4" t="s">
        <v>63</v>
      </c>
      <c r="C151" s="4" t="s">
        <v>1482</v>
      </c>
      <c r="D151" s="24" t="s">
        <v>1483</v>
      </c>
      <c r="E151" s="689" t="e">
        <f>HLOOKUP($D$2,'2020 Data(H)'!$C$1:$CR$397,52,FALSE)</f>
        <v>#N/A</v>
      </c>
      <c r="F151" s="300">
        <v>0</v>
      </c>
      <c r="G151" s="750">
        <f>IF(F151&lt;0,"Note: Number is normally positive.",)</f>
        <v>0</v>
      </c>
      <c r="H151" s="771"/>
      <c r="I151" s="79"/>
      <c r="Z151" s="108"/>
      <c r="AA151" s="108"/>
      <c r="AB151" s="108"/>
      <c r="AC151" s="108"/>
      <c r="AD151" s="108"/>
      <c r="AE151" s="108"/>
      <c r="AF151" s="108"/>
      <c r="AG151" s="108"/>
      <c r="AH151" s="108"/>
      <c r="AI151" s="108"/>
      <c r="AJ151" s="108"/>
      <c r="AK151" s="108"/>
      <c r="AL151" s="108"/>
      <c r="AM151" s="108"/>
      <c r="AN151" s="108"/>
      <c r="AO151" s="108"/>
      <c r="AP151" s="108"/>
      <c r="AQ151" s="108"/>
      <c r="AR151" s="108"/>
    </row>
    <row r="152" spans="1:44" ht="75" customHeight="1" x14ac:dyDescent="0.3">
      <c r="A152" s="108">
        <v>91</v>
      </c>
      <c r="B152" s="4" t="s">
        <v>58</v>
      </c>
      <c r="C152" s="4" t="s">
        <v>1482</v>
      </c>
      <c r="D152" s="24" t="s">
        <v>1484</v>
      </c>
      <c r="E152" s="689" t="e">
        <f>HLOOKUP($D$2,'2020 Data(H)'!$C$1:$CR$397,53,FALSE)</f>
        <v>#N/A</v>
      </c>
      <c r="F152" s="300">
        <v>0</v>
      </c>
      <c r="G152" s="750">
        <f>IF(F152&lt;0,"Note: Number is normally positive.",)</f>
        <v>0</v>
      </c>
      <c r="H152" s="17"/>
      <c r="I152" s="79"/>
      <c r="Z152" s="108"/>
      <c r="AA152" s="108"/>
      <c r="AB152" s="108"/>
      <c r="AC152" s="108"/>
      <c r="AD152" s="108"/>
      <c r="AE152" s="108"/>
      <c r="AF152" s="108"/>
      <c r="AG152" s="108"/>
      <c r="AH152" s="108"/>
      <c r="AI152" s="108"/>
      <c r="AJ152" s="108"/>
      <c r="AK152" s="108"/>
      <c r="AL152" s="108"/>
      <c r="AM152" s="108"/>
      <c r="AN152" s="108"/>
      <c r="AO152" s="108"/>
      <c r="AP152" s="108"/>
      <c r="AQ152" s="108"/>
      <c r="AR152" s="108"/>
    </row>
    <row r="153" spans="1:44" ht="66.75" customHeight="1" x14ac:dyDescent="0.3">
      <c r="A153" s="108">
        <v>581</v>
      </c>
      <c r="B153" s="691" t="s">
        <v>560</v>
      </c>
      <c r="C153" s="691" t="s">
        <v>1482</v>
      </c>
      <c r="D153" s="843" t="s">
        <v>1485</v>
      </c>
      <c r="E153" s="689" t="e">
        <f>HLOOKUP($D$2,'2020 Data(H)'!$C$1:$CR$397,231,FALSE)</f>
        <v>#N/A</v>
      </c>
      <c r="F153" s="300">
        <v>0</v>
      </c>
      <c r="G153" s="750"/>
      <c r="H153" s="17"/>
      <c r="I153" s="79"/>
      <c r="Z153" s="108"/>
      <c r="AA153" s="108"/>
      <c r="AB153" s="108"/>
      <c r="AC153" s="108"/>
      <c r="AD153" s="108"/>
      <c r="AE153" s="108"/>
      <c r="AF153" s="108"/>
      <c r="AG153" s="108"/>
      <c r="AH153" s="108"/>
      <c r="AI153" s="108"/>
      <c r="AJ153" s="108"/>
      <c r="AK153" s="108"/>
      <c r="AL153" s="108"/>
      <c r="AM153" s="108"/>
      <c r="AN153" s="108"/>
      <c r="AO153" s="108"/>
      <c r="AP153" s="108"/>
      <c r="AQ153" s="108"/>
      <c r="AR153" s="108"/>
    </row>
    <row r="154" spans="1:44" ht="67.5" customHeight="1" x14ac:dyDescent="0.3">
      <c r="A154" s="108">
        <v>511</v>
      </c>
      <c r="B154" s="4" t="s">
        <v>58</v>
      </c>
      <c r="C154" s="4" t="s">
        <v>1482</v>
      </c>
      <c r="D154" s="25" t="s">
        <v>156</v>
      </c>
      <c r="E154" s="689" t="e">
        <f>HLOOKUP($D$2,'2020 Data(H)'!$C$1:$CR$397,161,FALSE)</f>
        <v>#N/A</v>
      </c>
      <c r="F154" s="300">
        <v>0</v>
      </c>
      <c r="G154" s="750">
        <f>IF(F154&lt;0,"Note: Number is normally positive.",)</f>
        <v>0</v>
      </c>
      <c r="H154" s="17"/>
      <c r="I154" s="79"/>
      <c r="Z154" s="108"/>
      <c r="AA154" s="108"/>
      <c r="AB154" s="108"/>
      <c r="AC154" s="108"/>
      <c r="AD154" s="108"/>
      <c r="AE154" s="108"/>
      <c r="AF154" s="108"/>
      <c r="AG154" s="108"/>
      <c r="AH154" s="108"/>
      <c r="AI154" s="108"/>
      <c r="AJ154" s="108"/>
      <c r="AK154" s="108"/>
      <c r="AL154" s="108"/>
      <c r="AM154" s="108"/>
      <c r="AN154" s="108"/>
      <c r="AO154" s="108"/>
      <c r="AP154" s="108"/>
      <c r="AQ154" s="108"/>
      <c r="AR154" s="108"/>
    </row>
    <row r="155" spans="1:44" ht="72" customHeight="1" x14ac:dyDescent="0.3">
      <c r="A155" s="313">
        <v>657</v>
      </c>
      <c r="B155" s="844" t="s">
        <v>58</v>
      </c>
      <c r="C155" s="844" t="s">
        <v>1482</v>
      </c>
      <c r="D155" s="345" t="s">
        <v>1486</v>
      </c>
      <c r="E155" s="689" t="e">
        <f>HLOOKUP($D$2,'2020 Data(H)'!$C$1:$CR$397,310,FALSE)</f>
        <v>#N/A</v>
      </c>
      <c r="F155" s="300">
        <v>0</v>
      </c>
      <c r="G155" s="772">
        <f>IF((F151+F152+F154)&gt;F155,"Error: Please review components of current assets above.  Account numbers (90+91+511)&gt;657",)</f>
        <v>0</v>
      </c>
      <c r="H155" s="17"/>
      <c r="I155" s="79"/>
      <c r="Z155" s="313"/>
      <c r="AA155" s="313"/>
      <c r="AB155" s="313"/>
      <c r="AC155" s="313"/>
      <c r="AD155" s="313"/>
      <c r="AE155" s="313"/>
      <c r="AF155" s="313"/>
      <c r="AG155" s="313"/>
      <c r="AH155" s="313"/>
      <c r="AI155" s="313"/>
      <c r="AJ155" s="313"/>
      <c r="AK155" s="313"/>
      <c r="AL155" s="313"/>
      <c r="AM155" s="313"/>
      <c r="AN155" s="313"/>
      <c r="AO155" s="313"/>
      <c r="AP155" s="313"/>
      <c r="AQ155" s="313"/>
      <c r="AR155" s="313"/>
    </row>
    <row r="156" spans="1:44" ht="70.5" customHeight="1" x14ac:dyDescent="0.3">
      <c r="A156" s="313">
        <v>658</v>
      </c>
      <c r="B156" s="844" t="s">
        <v>58</v>
      </c>
      <c r="C156" s="844" t="s">
        <v>1482</v>
      </c>
      <c r="D156" s="315" t="s">
        <v>854</v>
      </c>
      <c r="E156" s="689" t="e">
        <f>HLOOKUP($D$2,'2020 Data(H)'!$C$1:$CR$397,311,FALSE)</f>
        <v>#N/A</v>
      </c>
      <c r="F156" s="300">
        <v>0</v>
      </c>
      <c r="G156" s="750"/>
      <c r="H156" s="17"/>
      <c r="I156" s="79"/>
      <c r="Z156" s="313"/>
      <c r="AA156" s="313"/>
      <c r="AB156" s="313"/>
      <c r="AC156" s="313"/>
      <c r="AD156" s="313"/>
      <c r="AE156" s="313"/>
      <c r="AF156" s="313"/>
      <c r="AG156" s="313"/>
      <c r="AH156" s="313"/>
      <c r="AI156" s="313"/>
      <c r="AJ156" s="313"/>
      <c r="AK156" s="313"/>
      <c r="AL156" s="313"/>
      <c r="AM156" s="313"/>
      <c r="AN156" s="313"/>
      <c r="AO156" s="313"/>
      <c r="AP156" s="313"/>
      <c r="AQ156" s="313"/>
      <c r="AR156" s="313"/>
    </row>
    <row r="157" spans="1:44" ht="50.25" customHeight="1" x14ac:dyDescent="0.3">
      <c r="A157" s="108">
        <v>382</v>
      </c>
      <c r="B157" s="4" t="s">
        <v>60</v>
      </c>
      <c r="C157" s="4" t="s">
        <v>1482</v>
      </c>
      <c r="D157" s="106" t="s">
        <v>130</v>
      </c>
      <c r="E157" s="689" t="e">
        <f>HLOOKUP($D$2,'2020 Data(H)'!$C$1:$CR$397,141,FALSE)</f>
        <v>#N/A</v>
      </c>
      <c r="F157" s="300">
        <v>0</v>
      </c>
      <c r="G157" s="772">
        <f>IF(F155&gt;F157,"Error: Please review components of current assets above. Account numbers 657&gt;382",)</f>
        <v>0</v>
      </c>
      <c r="H157" s="17"/>
      <c r="I157" s="79"/>
      <c r="Z157" s="108"/>
      <c r="AA157" s="108"/>
      <c r="AB157" s="108"/>
      <c r="AC157" s="108"/>
      <c r="AD157" s="108"/>
      <c r="AE157" s="108"/>
      <c r="AF157" s="108"/>
      <c r="AG157" s="108"/>
      <c r="AH157" s="108"/>
      <c r="AI157" s="108"/>
      <c r="AJ157" s="108"/>
      <c r="AK157" s="108"/>
      <c r="AL157" s="108"/>
      <c r="AM157" s="108"/>
      <c r="AN157" s="108"/>
      <c r="AO157" s="108"/>
      <c r="AP157" s="108"/>
      <c r="AQ157" s="108"/>
      <c r="AR157" s="108"/>
    </row>
    <row r="158" spans="1:44" ht="57.75" customHeight="1" x14ac:dyDescent="0.3">
      <c r="A158" s="108">
        <v>360</v>
      </c>
      <c r="B158" s="4" t="s">
        <v>56</v>
      </c>
      <c r="C158" s="4" t="s">
        <v>1482</v>
      </c>
      <c r="D158" s="107" t="s">
        <v>157</v>
      </c>
      <c r="E158" s="689" t="e">
        <f>HLOOKUP($D$2,'2020 Data(H)'!$C$1:$CR$397,121,FALSE)</f>
        <v>#N/A</v>
      </c>
      <c r="F158" s="300">
        <v>0</v>
      </c>
      <c r="G158" s="750"/>
      <c r="H158" s="17"/>
      <c r="I158" s="79"/>
      <c r="Z158" s="108"/>
      <c r="AA158" s="108"/>
      <c r="AB158" s="108"/>
      <c r="AC158" s="108"/>
      <c r="AD158" s="108"/>
      <c r="AE158" s="108"/>
      <c r="AF158" s="108"/>
      <c r="AG158" s="108"/>
      <c r="AH158" s="108"/>
      <c r="AI158" s="108"/>
      <c r="AJ158" s="108"/>
      <c r="AK158" s="108"/>
      <c r="AL158" s="108"/>
      <c r="AM158" s="108"/>
      <c r="AN158" s="108"/>
      <c r="AO158" s="108"/>
      <c r="AP158" s="108"/>
      <c r="AQ158" s="108"/>
      <c r="AR158" s="108"/>
    </row>
    <row r="159" spans="1:44" ht="62.25" customHeight="1" x14ac:dyDescent="0.3">
      <c r="A159" s="108">
        <v>580</v>
      </c>
      <c r="B159" s="691" t="s">
        <v>560</v>
      </c>
      <c r="C159" s="691" t="s">
        <v>1482</v>
      </c>
      <c r="D159" s="843" t="s">
        <v>1487</v>
      </c>
      <c r="E159" s="689" t="e">
        <f>HLOOKUP($D$2,'2020 Data(H)'!$C$1:$CR$397,230,FALSE)</f>
        <v>#N/A</v>
      </c>
      <c r="F159" s="300">
        <v>0</v>
      </c>
      <c r="G159" s="750"/>
      <c r="H159" s="17"/>
      <c r="I159" s="79"/>
      <c r="Z159" s="108"/>
      <c r="AA159" s="108"/>
      <c r="AB159" s="108"/>
      <c r="AC159" s="108"/>
      <c r="AD159" s="108"/>
      <c r="AE159" s="108"/>
      <c r="AF159" s="108"/>
      <c r="AG159" s="108"/>
      <c r="AH159" s="108"/>
      <c r="AI159" s="108"/>
      <c r="AJ159" s="108"/>
      <c r="AK159" s="108"/>
      <c r="AL159" s="108"/>
      <c r="AM159" s="108"/>
      <c r="AN159" s="108"/>
      <c r="AO159" s="108"/>
      <c r="AP159" s="108"/>
      <c r="AQ159" s="108"/>
      <c r="AR159" s="108"/>
    </row>
    <row r="160" spans="1:44" ht="114" customHeight="1" x14ac:dyDescent="0.3">
      <c r="A160" s="314">
        <v>639</v>
      </c>
      <c r="B160" s="844" t="s">
        <v>852</v>
      </c>
      <c r="C160" s="844" t="s">
        <v>1482</v>
      </c>
      <c r="D160" s="345" t="s">
        <v>1566</v>
      </c>
      <c r="E160" s="689" t="e">
        <f>HLOOKUP($D$2,'2020 Data(H)'!$C$1:$CR$397,298,FALSE)</f>
        <v>#N/A</v>
      </c>
      <c r="F160" s="300">
        <v>0</v>
      </c>
      <c r="G160" s="767" t="str">
        <f>IF(F160&gt;=(F161+F162+F163+F164+F165+F166),"","Account 639 is less than the total sum of accounts 640 through 644 + 384")</f>
        <v/>
      </c>
      <c r="H160" s="773">
        <f>F160-(F161+F162+F163+F164+F165+F166)</f>
        <v>0</v>
      </c>
      <c r="I160" s="755"/>
      <c r="Z160" s="314"/>
      <c r="AA160" s="314"/>
      <c r="AB160" s="314"/>
      <c r="AC160" s="314"/>
      <c r="AD160" s="314"/>
      <c r="AE160" s="314"/>
      <c r="AF160" s="314"/>
      <c r="AG160" s="314"/>
      <c r="AH160" s="314"/>
      <c r="AI160" s="314"/>
      <c r="AJ160" s="314"/>
      <c r="AK160" s="314"/>
      <c r="AL160" s="314"/>
      <c r="AM160" s="314"/>
      <c r="AN160" s="314"/>
      <c r="AO160" s="314"/>
      <c r="AP160" s="314"/>
      <c r="AQ160" s="314"/>
      <c r="AR160" s="314"/>
    </row>
    <row r="161" spans="1:44" ht="124.5" customHeight="1" x14ac:dyDescent="0.3">
      <c r="A161" s="313">
        <v>640</v>
      </c>
      <c r="B161" s="845" t="s">
        <v>723</v>
      </c>
      <c r="C161" s="844" t="s">
        <v>1482</v>
      </c>
      <c r="D161" s="345" t="s">
        <v>1567</v>
      </c>
      <c r="E161" s="689" t="e">
        <f>HLOOKUP($D$2,'2020 Data(H)'!$C$1:$CR$397,299,FALSE)</f>
        <v>#N/A</v>
      </c>
      <c r="F161" s="300">
        <v>0</v>
      </c>
      <c r="G161" s="772">
        <f>IF(F161&gt;F160,"Error: Please review components of current liabilities above. Account numbers 640&gt;639",)</f>
        <v>0</v>
      </c>
      <c r="H161" s="755"/>
      <c r="I161" s="773"/>
      <c r="Z161" s="313"/>
      <c r="AA161" s="313"/>
      <c r="AB161" s="313"/>
      <c r="AC161" s="313"/>
      <c r="AD161" s="313"/>
      <c r="AE161" s="313"/>
      <c r="AF161" s="313"/>
      <c r="AG161" s="313"/>
      <c r="AH161" s="313"/>
      <c r="AI161" s="313"/>
      <c r="AJ161" s="313"/>
      <c r="AK161" s="313"/>
      <c r="AL161" s="313"/>
      <c r="AM161" s="313"/>
      <c r="AN161" s="313"/>
      <c r="AO161" s="313"/>
      <c r="AP161" s="313"/>
      <c r="AQ161" s="313"/>
      <c r="AR161" s="313"/>
    </row>
    <row r="162" spans="1:44" ht="133.5" customHeight="1" x14ac:dyDescent="0.3">
      <c r="A162" s="313">
        <v>641</v>
      </c>
      <c r="B162" s="845" t="s">
        <v>723</v>
      </c>
      <c r="C162" s="844" t="s">
        <v>1482</v>
      </c>
      <c r="D162" s="345" t="s">
        <v>1568</v>
      </c>
      <c r="E162" s="689" t="e">
        <f>HLOOKUP($D$2,'2020 Data(H)'!$C$1:$CR$397,300,FALSE)</f>
        <v>#N/A</v>
      </c>
      <c r="F162" s="300">
        <v>0</v>
      </c>
      <c r="G162" s="772">
        <f>IF(F162&gt;F160,"Error: Please review components of current liabilities above. Account numbers 641&gt;639",)</f>
        <v>0</v>
      </c>
      <c r="H162" s="755"/>
      <c r="I162" s="755"/>
      <c r="Z162" s="313"/>
      <c r="AA162" s="313"/>
      <c r="AB162" s="313"/>
      <c r="AC162" s="313"/>
      <c r="AD162" s="313"/>
      <c r="AE162" s="313"/>
      <c r="AF162" s="313"/>
      <c r="AG162" s="313"/>
      <c r="AH162" s="313"/>
      <c r="AI162" s="313"/>
      <c r="AJ162" s="313"/>
      <c r="AK162" s="313"/>
      <c r="AL162" s="313"/>
      <c r="AM162" s="313"/>
      <c r="AN162" s="313"/>
      <c r="AO162" s="313"/>
      <c r="AP162" s="313"/>
      <c r="AQ162" s="313"/>
      <c r="AR162" s="313"/>
    </row>
    <row r="163" spans="1:44" ht="118.5" customHeight="1" x14ac:dyDescent="0.3">
      <c r="A163" s="313">
        <v>642</v>
      </c>
      <c r="B163" s="845" t="s">
        <v>723</v>
      </c>
      <c r="C163" s="844" t="s">
        <v>1482</v>
      </c>
      <c r="D163" s="345" t="s">
        <v>1569</v>
      </c>
      <c r="E163" s="689" t="e">
        <f>HLOOKUP($D$2,'2020 Data(H)'!$C$1:$CR$397,301,FALSE)</f>
        <v>#N/A</v>
      </c>
      <c r="F163" s="300">
        <v>0</v>
      </c>
      <c r="G163" s="772">
        <f>IF(F163&gt;F160,"Error: Please review components of current liabilities above. Account numbers  642&gt;639",)</f>
        <v>0</v>
      </c>
      <c r="H163" s="755"/>
      <c r="I163" s="755"/>
      <c r="Z163" s="313"/>
      <c r="AA163" s="313"/>
      <c r="AB163" s="313"/>
      <c r="AC163" s="313"/>
      <c r="AD163" s="313"/>
      <c r="AE163" s="313"/>
      <c r="AF163" s="313"/>
      <c r="AG163" s="313"/>
      <c r="AH163" s="313"/>
      <c r="AI163" s="313"/>
      <c r="AJ163" s="313"/>
      <c r="AK163" s="313"/>
      <c r="AL163" s="313"/>
      <c r="AM163" s="313"/>
      <c r="AN163" s="313"/>
      <c r="AO163" s="313"/>
      <c r="AP163" s="313"/>
      <c r="AQ163" s="313"/>
      <c r="AR163" s="313"/>
    </row>
    <row r="164" spans="1:44" ht="81.75" customHeight="1" x14ac:dyDescent="0.3">
      <c r="A164" s="313">
        <v>643</v>
      </c>
      <c r="B164" s="845" t="s">
        <v>723</v>
      </c>
      <c r="C164" s="844" t="s">
        <v>1482</v>
      </c>
      <c r="D164" s="345" t="s">
        <v>1570</v>
      </c>
      <c r="E164" s="689" t="e">
        <f>HLOOKUP($D$2,'2020 Data(H)'!$C$1:$CR$397,302,FALSE)</f>
        <v>#N/A</v>
      </c>
      <c r="F164" s="300">
        <v>0</v>
      </c>
      <c r="G164" s="772">
        <f>IF(F164&gt;F160,"Error: Please review components of current liabilities above. Account numbers 643&gt;639",)</f>
        <v>0</v>
      </c>
      <c r="H164" s="755"/>
      <c r="I164" s="755"/>
      <c r="Z164" s="313"/>
      <c r="AA164" s="313"/>
      <c r="AB164" s="313"/>
      <c r="AC164" s="313"/>
      <c r="AD164" s="313"/>
      <c r="AE164" s="313"/>
      <c r="AF164" s="313"/>
      <c r="AG164" s="313"/>
      <c r="AH164" s="313"/>
      <c r="AI164" s="313"/>
      <c r="AJ164" s="313"/>
      <c r="AK164" s="313"/>
      <c r="AL164" s="313"/>
      <c r="AM164" s="313"/>
      <c r="AN164" s="313"/>
      <c r="AO164" s="313"/>
      <c r="AP164" s="313"/>
      <c r="AQ164" s="313"/>
      <c r="AR164" s="313"/>
    </row>
    <row r="165" spans="1:44" ht="108" customHeight="1" x14ac:dyDescent="0.3">
      <c r="A165" s="313">
        <v>644</v>
      </c>
      <c r="B165" s="845" t="s">
        <v>723</v>
      </c>
      <c r="C165" s="844" t="s">
        <v>1482</v>
      </c>
      <c r="D165" s="345" t="s">
        <v>1571</v>
      </c>
      <c r="E165" s="689" t="e">
        <f>HLOOKUP($D$2,'2020 Data(H)'!$C$1:$CR$397,303,FALSE)</f>
        <v>#N/A</v>
      </c>
      <c r="F165" s="300">
        <v>0</v>
      </c>
      <c r="G165" s="772">
        <f>IF(F165&gt;F160,"Error: Please review components of current liabilities above. Account number 644&gt;639",)</f>
        <v>0</v>
      </c>
      <c r="H165" s="755"/>
      <c r="I165" s="755"/>
      <c r="Z165" s="313"/>
      <c r="AA165" s="313"/>
      <c r="AB165" s="313"/>
      <c r="AC165" s="313"/>
      <c r="AD165" s="313"/>
      <c r="AE165" s="313"/>
      <c r="AF165" s="313"/>
      <c r="AG165" s="313"/>
      <c r="AH165" s="313"/>
      <c r="AI165" s="313"/>
      <c r="AJ165" s="313"/>
      <c r="AK165" s="313"/>
      <c r="AL165" s="313"/>
      <c r="AM165" s="313"/>
      <c r="AN165" s="313"/>
      <c r="AO165" s="313"/>
      <c r="AP165" s="313"/>
      <c r="AQ165" s="313"/>
      <c r="AR165" s="313"/>
    </row>
    <row r="166" spans="1:44" ht="99.75" customHeight="1" x14ac:dyDescent="0.3">
      <c r="A166" s="108">
        <v>384</v>
      </c>
      <c r="B166" s="4" t="s">
        <v>63</v>
      </c>
      <c r="C166" s="4" t="s">
        <v>1482</v>
      </c>
      <c r="D166" s="29" t="s">
        <v>1572</v>
      </c>
      <c r="E166" s="689" t="e">
        <f>HLOOKUP($D$2,'2020 Data(H)'!$C$1:$CR$397,143,FALSE)</f>
        <v>#N/A</v>
      </c>
      <c r="F166" s="758">
        <v>0</v>
      </c>
      <c r="G166" s="769">
        <f>IF(F166&gt;F160,"Error: Please review components of current liabilities above. Account number 384&gt;639",)</f>
        <v>0</v>
      </c>
      <c r="I166" s="79"/>
      <c r="Z166" s="108"/>
      <c r="AA166" s="108"/>
      <c r="AB166" s="108"/>
      <c r="AC166" s="108"/>
      <c r="AD166" s="108"/>
      <c r="AE166" s="108"/>
      <c r="AF166" s="108"/>
      <c r="AG166" s="108"/>
      <c r="AH166" s="108"/>
      <c r="AI166" s="108"/>
      <c r="AJ166" s="108"/>
      <c r="AK166" s="108"/>
      <c r="AL166" s="108"/>
      <c r="AM166" s="108"/>
      <c r="AN166" s="108"/>
      <c r="AO166" s="108"/>
      <c r="AP166" s="108"/>
      <c r="AQ166" s="108"/>
      <c r="AR166" s="108"/>
    </row>
    <row r="167" spans="1:44" ht="104.25" customHeight="1" x14ac:dyDescent="0.3">
      <c r="A167" s="108">
        <v>361</v>
      </c>
      <c r="B167" s="4" t="s">
        <v>56</v>
      </c>
      <c r="C167" s="4" t="s">
        <v>1482</v>
      </c>
      <c r="D167" s="728" t="s">
        <v>1488</v>
      </c>
      <c r="E167" s="689" t="e">
        <f>HLOOKUP($D$2,'2020 Data(H)'!$C$1:$CR$397,122,FALSE)</f>
        <v>#N/A</v>
      </c>
      <c r="F167" s="300">
        <v>0</v>
      </c>
      <c r="G167" s="760"/>
      <c r="H167" s="17"/>
      <c r="I167" s="79"/>
      <c r="Z167" s="108"/>
      <c r="AA167" s="108"/>
      <c r="AB167" s="108"/>
      <c r="AC167" s="108"/>
      <c r="AD167" s="108"/>
      <c r="AE167" s="108"/>
      <c r="AF167" s="108"/>
      <c r="AG167" s="108"/>
      <c r="AH167" s="108"/>
      <c r="AI167" s="108"/>
      <c r="AJ167" s="108"/>
      <c r="AK167" s="108"/>
      <c r="AL167" s="108"/>
      <c r="AM167" s="108"/>
      <c r="AN167" s="108"/>
      <c r="AO167" s="108"/>
      <c r="AP167" s="108"/>
      <c r="AQ167" s="108"/>
      <c r="AR167" s="108"/>
    </row>
    <row r="168" spans="1:44" ht="54" customHeight="1" x14ac:dyDescent="0.3">
      <c r="A168" s="108">
        <v>362</v>
      </c>
      <c r="B168" s="4" t="s">
        <v>56</v>
      </c>
      <c r="C168" s="4" t="s">
        <v>1482</v>
      </c>
      <c r="D168" s="107" t="s">
        <v>158</v>
      </c>
      <c r="E168" s="689" t="e">
        <f>HLOOKUP($D$2,'2020 Data(H)'!$C$1:$CR$397,123,FALSE)</f>
        <v>#N/A</v>
      </c>
      <c r="F168" s="300">
        <v>0</v>
      </c>
      <c r="G168" s="750">
        <f>IF(H168=0,,"Error: Total assets less total liabilities do not equal total net position. Account numbers 382-360-362=0  The amount of the formula is in the cell to the right")</f>
        <v>0</v>
      </c>
      <c r="H168" s="753">
        <f>F157-F158-F168</f>
        <v>0</v>
      </c>
      <c r="I168" s="79"/>
      <c r="Z168" s="108"/>
      <c r="AA168" s="108"/>
      <c r="AB168" s="108"/>
      <c r="AC168" s="108"/>
      <c r="AD168" s="108"/>
      <c r="AE168" s="108"/>
      <c r="AF168" s="108"/>
      <c r="AG168" s="108"/>
      <c r="AH168" s="108"/>
      <c r="AI168" s="108"/>
      <c r="AJ168" s="108"/>
      <c r="AK168" s="108"/>
      <c r="AL168" s="108"/>
      <c r="AM168" s="108"/>
      <c r="AN168" s="108"/>
      <c r="AO168" s="108"/>
      <c r="AP168" s="108"/>
      <c r="AQ168" s="108"/>
      <c r="AR168" s="108"/>
    </row>
    <row r="169" spans="1:44" ht="26.25" customHeight="1" x14ac:dyDescent="0.3">
      <c r="A169" s="108"/>
      <c r="B169" s="873" t="s">
        <v>182</v>
      </c>
      <c r="C169" s="874"/>
      <c r="D169" s="886"/>
      <c r="E169" s="867"/>
      <c r="F169" s="872"/>
      <c r="G169" s="872"/>
      <c r="H169" s="17"/>
      <c r="I169" s="79"/>
      <c r="Z169" s="108"/>
      <c r="AA169" s="108"/>
      <c r="AB169" s="108"/>
      <c r="AC169" s="108"/>
      <c r="AD169" s="108"/>
      <c r="AE169" s="108"/>
      <c r="AF169" s="108"/>
      <c r="AG169" s="108"/>
      <c r="AH169" s="108"/>
      <c r="AI169" s="108"/>
      <c r="AJ169" s="108"/>
      <c r="AK169" s="108"/>
      <c r="AL169" s="108"/>
      <c r="AM169" s="108"/>
      <c r="AN169" s="108"/>
      <c r="AO169" s="108"/>
      <c r="AP169" s="108"/>
      <c r="AQ169" s="108"/>
      <c r="AR169" s="108"/>
    </row>
    <row r="170" spans="1:44" s="18" customFormat="1" ht="99.75" customHeight="1" x14ac:dyDescent="0.3">
      <c r="A170" s="108"/>
      <c r="B170" s="1214" t="s">
        <v>1589</v>
      </c>
      <c r="C170" s="1214"/>
      <c r="D170" s="1214"/>
      <c r="E170" s="860"/>
      <c r="F170" s="881"/>
      <c r="G170" s="881"/>
      <c r="H170" s="17"/>
      <c r="I170" s="79"/>
      <c r="N170" s="301"/>
      <c r="Z170" s="108"/>
      <c r="AA170" s="108"/>
      <c r="AB170" s="108"/>
      <c r="AC170" s="108"/>
      <c r="AD170" s="108"/>
      <c r="AE170" s="108"/>
      <c r="AF170" s="108"/>
      <c r="AG170" s="108"/>
      <c r="AH170" s="108"/>
      <c r="AI170" s="108"/>
      <c r="AJ170" s="108"/>
      <c r="AK170" s="108"/>
      <c r="AL170" s="108"/>
      <c r="AM170" s="108"/>
      <c r="AN170" s="108"/>
      <c r="AO170" s="108"/>
      <c r="AP170" s="108"/>
      <c r="AQ170" s="108"/>
      <c r="AR170" s="108"/>
    </row>
    <row r="171" spans="1:44" ht="87" customHeight="1" x14ac:dyDescent="0.3">
      <c r="A171" s="108">
        <v>88</v>
      </c>
      <c r="B171" s="4" t="s">
        <v>61</v>
      </c>
      <c r="C171" s="4" t="s">
        <v>1489</v>
      </c>
      <c r="D171" s="24" t="s">
        <v>1490</v>
      </c>
      <c r="E171" s="689" t="e">
        <f>HLOOKUP($D$2,'2020 Data(H)'!$C$1:$CR$397,50,FALSE)</f>
        <v>#N/A</v>
      </c>
      <c r="F171" s="300">
        <v>0</v>
      </c>
      <c r="G171" s="760"/>
      <c r="H171" s="17"/>
      <c r="I171" s="79"/>
      <c r="Z171" s="108"/>
      <c r="AA171" s="108"/>
      <c r="AB171" s="108"/>
      <c r="AC171" s="108"/>
      <c r="AD171" s="108"/>
      <c r="AE171" s="108"/>
      <c r="AF171" s="108"/>
      <c r="AG171" s="108"/>
      <c r="AH171" s="108"/>
      <c r="AI171" s="108"/>
      <c r="AJ171" s="108"/>
      <c r="AK171" s="108"/>
      <c r="AL171" s="108"/>
      <c r="AM171" s="108"/>
      <c r="AN171" s="108"/>
      <c r="AO171" s="108"/>
      <c r="AP171" s="108"/>
      <c r="AQ171" s="108"/>
      <c r="AR171" s="108"/>
    </row>
    <row r="172" spans="1:44" ht="94.5" customHeight="1" x14ac:dyDescent="0.3">
      <c r="A172" s="108">
        <v>84</v>
      </c>
      <c r="B172" s="4" t="s">
        <v>61</v>
      </c>
      <c r="C172" s="4" t="s">
        <v>1489</v>
      </c>
      <c r="D172" s="29" t="s">
        <v>159</v>
      </c>
      <c r="E172" s="689" t="e">
        <f>HLOOKUP($D$2,'2020 Data(H)'!$C$1:$CR$397,48,FALSE)</f>
        <v>#N/A</v>
      </c>
      <c r="F172" s="300">
        <v>0</v>
      </c>
      <c r="G172" s="750">
        <f>IF(F172&gt;=F171,,"Error: Charges for services exceed total operating revenues. Account numbers 84&gt;=88")</f>
        <v>0</v>
      </c>
      <c r="H172" s="17"/>
      <c r="I172" s="79"/>
      <c r="Z172" s="108"/>
      <c r="AA172" s="108"/>
      <c r="AB172" s="108"/>
      <c r="AC172" s="108"/>
      <c r="AD172" s="108"/>
      <c r="AE172" s="108"/>
      <c r="AF172" s="108"/>
      <c r="AG172" s="108"/>
      <c r="AH172" s="108"/>
      <c r="AI172" s="108"/>
      <c r="AJ172" s="108"/>
      <c r="AK172" s="108"/>
      <c r="AL172" s="108"/>
      <c r="AM172" s="108"/>
      <c r="AN172" s="108"/>
      <c r="AO172" s="108"/>
      <c r="AP172" s="108"/>
      <c r="AQ172" s="108"/>
      <c r="AR172" s="108"/>
    </row>
    <row r="173" spans="1:44" ht="90" customHeight="1" x14ac:dyDescent="0.3">
      <c r="A173" s="108">
        <v>49</v>
      </c>
      <c r="B173" s="4" t="s">
        <v>57</v>
      </c>
      <c r="C173" s="4" t="s">
        <v>1489</v>
      </c>
      <c r="D173" s="29" t="s">
        <v>160</v>
      </c>
      <c r="E173" s="689" t="e">
        <f>HLOOKUP($D$2,'2020 Data(H)'!$C$1:$CR$397,36,FALSE)</f>
        <v>#N/A</v>
      </c>
      <c r="F173" s="300">
        <v>0</v>
      </c>
      <c r="G173" s="750">
        <f>IF(F173&lt;0,"Error: Enter as positive.",)</f>
        <v>0</v>
      </c>
      <c r="H173" s="17"/>
      <c r="I173" s="79"/>
      <c r="Z173" s="108"/>
      <c r="AA173" s="108"/>
      <c r="AB173" s="108"/>
      <c r="AC173" s="108"/>
      <c r="AD173" s="108"/>
      <c r="AE173" s="108"/>
      <c r="AF173" s="108"/>
      <c r="AG173" s="108"/>
      <c r="AH173" s="108"/>
      <c r="AI173" s="108"/>
      <c r="AJ173" s="108"/>
      <c r="AK173" s="108"/>
      <c r="AL173" s="108"/>
      <c r="AM173" s="108"/>
      <c r="AN173" s="108"/>
      <c r="AO173" s="108"/>
      <c r="AP173" s="108"/>
      <c r="AQ173" s="108"/>
      <c r="AR173" s="108"/>
    </row>
    <row r="174" spans="1:44" ht="106.5" customHeight="1" x14ac:dyDescent="0.3">
      <c r="A174" s="108">
        <v>85</v>
      </c>
      <c r="B174" s="4" t="s">
        <v>68</v>
      </c>
      <c r="C174" s="4" t="s">
        <v>1489</v>
      </c>
      <c r="D174" s="29" t="s">
        <v>161</v>
      </c>
      <c r="E174" s="689" t="e">
        <f>HLOOKUP($D$2,'2020 Data(H)'!$C$1:$CR$397,49,FALSE)</f>
        <v>#N/A</v>
      </c>
      <c r="F174" s="300">
        <v>0</v>
      </c>
      <c r="G174" s="750">
        <f>IF(F174&lt;0,"Error: Enter as positive.",)</f>
        <v>0</v>
      </c>
      <c r="H174" s="17"/>
      <c r="I174" s="79"/>
      <c r="Z174" s="108"/>
      <c r="AA174" s="108"/>
      <c r="AB174" s="108"/>
      <c r="AC174" s="108"/>
      <c r="AD174" s="108"/>
      <c r="AE174" s="108"/>
      <c r="AF174" s="108"/>
      <c r="AG174" s="108"/>
      <c r="AH174" s="108"/>
      <c r="AI174" s="108"/>
      <c r="AJ174" s="108"/>
      <c r="AK174" s="108"/>
      <c r="AL174" s="108"/>
      <c r="AM174" s="108"/>
      <c r="AN174" s="108"/>
      <c r="AO174" s="108"/>
      <c r="AP174" s="108"/>
      <c r="AQ174" s="108"/>
      <c r="AR174" s="108"/>
    </row>
    <row r="175" spans="1:44" ht="88.5" customHeight="1" x14ac:dyDescent="0.3">
      <c r="A175" s="108">
        <v>89</v>
      </c>
      <c r="B175" s="4" t="s">
        <v>56</v>
      </c>
      <c r="C175" s="4" t="s">
        <v>1489</v>
      </c>
      <c r="D175" s="29" t="s">
        <v>162</v>
      </c>
      <c r="E175" s="689" t="e">
        <f>HLOOKUP($D$2,'2020 Data(H)'!$C$1:$CR$397,51,FALSE)</f>
        <v>#N/A</v>
      </c>
      <c r="F175" s="300">
        <v>0</v>
      </c>
      <c r="G175" s="750">
        <f>IF(F175&lt;0,"Error: Enter as positive.",)</f>
        <v>0</v>
      </c>
      <c r="H175" s="17"/>
      <c r="I175" s="79"/>
      <c r="Z175" s="108"/>
      <c r="AA175" s="108"/>
      <c r="AB175" s="108"/>
      <c r="AC175" s="108"/>
      <c r="AD175" s="108"/>
      <c r="AE175" s="108"/>
      <c r="AF175" s="108"/>
      <c r="AG175" s="108"/>
      <c r="AH175" s="108"/>
      <c r="AI175" s="108"/>
      <c r="AJ175" s="108"/>
      <c r="AK175" s="108"/>
      <c r="AL175" s="108"/>
      <c r="AM175" s="108"/>
      <c r="AN175" s="108"/>
      <c r="AO175" s="108"/>
      <c r="AP175" s="108"/>
      <c r="AQ175" s="108"/>
      <c r="AR175" s="108"/>
    </row>
    <row r="176" spans="1:44" ht="100.5" customHeight="1" x14ac:dyDescent="0.3">
      <c r="A176" s="108">
        <v>350</v>
      </c>
      <c r="B176" s="4" t="s">
        <v>56</v>
      </c>
      <c r="C176" s="4" t="s">
        <v>1489</v>
      </c>
      <c r="D176" s="24" t="s">
        <v>1491</v>
      </c>
      <c r="E176" s="689" t="e">
        <f>HLOOKUP($D$2,'2020 Data(H)'!$C$1:$CR$397,114,FALSE)</f>
        <v>#N/A</v>
      </c>
      <c r="F176" s="300">
        <v>0</v>
      </c>
      <c r="G176" s="760"/>
      <c r="H176" s="17"/>
      <c r="I176" s="79"/>
      <c r="Z176" s="108"/>
      <c r="AA176" s="108"/>
      <c r="AB176" s="108"/>
      <c r="AC176" s="108"/>
      <c r="AD176" s="108"/>
      <c r="AE176" s="108"/>
      <c r="AF176" s="108"/>
      <c r="AG176" s="108"/>
      <c r="AH176" s="108"/>
      <c r="AI176" s="108"/>
      <c r="AJ176" s="108"/>
      <c r="AK176" s="108"/>
      <c r="AL176" s="108"/>
      <c r="AM176" s="108"/>
      <c r="AN176" s="108"/>
      <c r="AO176" s="108"/>
      <c r="AP176" s="108"/>
      <c r="AQ176" s="108"/>
      <c r="AR176" s="108"/>
    </row>
    <row r="177" spans="1:44" ht="66" customHeight="1" x14ac:dyDescent="0.3">
      <c r="A177" s="108">
        <v>351</v>
      </c>
      <c r="B177" s="4" t="s">
        <v>56</v>
      </c>
      <c r="C177" s="4" t="s">
        <v>1489</v>
      </c>
      <c r="D177" s="24" t="s">
        <v>1492</v>
      </c>
      <c r="E177" s="689" t="e">
        <f>HLOOKUP($D$2,'2020 Data(H)'!$C$1:$CR$397,115,FALSE)</f>
        <v>#N/A</v>
      </c>
      <c r="F177" s="300">
        <v>0</v>
      </c>
      <c r="G177" s="750">
        <f>IF(F177&lt;0,"Error: Enter as positive.",)</f>
        <v>0</v>
      </c>
      <c r="H177" s="17"/>
      <c r="I177" s="79"/>
      <c r="Z177" s="108"/>
      <c r="AA177" s="108"/>
      <c r="AB177" s="108"/>
      <c r="AC177" s="108"/>
      <c r="AD177" s="108"/>
      <c r="AE177" s="108"/>
      <c r="AF177" s="108"/>
      <c r="AG177" s="108"/>
      <c r="AH177" s="108"/>
      <c r="AI177" s="108"/>
      <c r="AJ177" s="108"/>
      <c r="AK177" s="108"/>
      <c r="AL177" s="108"/>
      <c r="AM177" s="108"/>
      <c r="AN177" s="108"/>
      <c r="AO177" s="108"/>
      <c r="AP177" s="108"/>
      <c r="AQ177" s="108"/>
      <c r="AR177" s="108"/>
    </row>
    <row r="178" spans="1:44" ht="93.75" customHeight="1" x14ac:dyDescent="0.3">
      <c r="A178" s="108">
        <v>191</v>
      </c>
      <c r="B178" s="4" t="s">
        <v>57</v>
      </c>
      <c r="C178" s="4" t="s">
        <v>1489</v>
      </c>
      <c r="D178" s="24" t="s">
        <v>1493</v>
      </c>
      <c r="E178" s="689" t="e">
        <f>HLOOKUP($D$2,'2020 Data(H)'!$C$1:$CR$397,72,FALSE)</f>
        <v>#N/A</v>
      </c>
      <c r="F178" s="300">
        <v>0</v>
      </c>
      <c r="G178" s="750">
        <f>IF(F178&lt;0,"Error: Enter as positive.",)</f>
        <v>0</v>
      </c>
      <c r="H178" s="17"/>
      <c r="I178" s="79"/>
      <c r="Z178" s="108"/>
      <c r="AA178" s="108"/>
      <c r="AB178" s="108"/>
      <c r="AC178" s="108"/>
      <c r="AD178" s="108"/>
      <c r="AE178" s="108"/>
      <c r="AF178" s="108"/>
      <c r="AG178" s="108"/>
      <c r="AH178" s="108"/>
      <c r="AI178" s="108"/>
      <c r="AJ178" s="108"/>
      <c r="AK178" s="108"/>
      <c r="AL178" s="108"/>
      <c r="AM178" s="108"/>
      <c r="AN178" s="108"/>
      <c r="AO178" s="108"/>
      <c r="AP178" s="108"/>
      <c r="AQ178" s="108"/>
      <c r="AR178" s="108"/>
    </row>
    <row r="179" spans="1:44" ht="98.25" customHeight="1" x14ac:dyDescent="0.3">
      <c r="A179" s="108">
        <v>352</v>
      </c>
      <c r="B179" s="4" t="s">
        <v>68</v>
      </c>
      <c r="C179" s="4" t="s">
        <v>1489</v>
      </c>
      <c r="D179" s="29" t="s">
        <v>1334</v>
      </c>
      <c r="E179" s="689" t="e">
        <f>HLOOKUP($D$2,'2020 Data(H)'!$C$1:$CR$397,116,FALSE)</f>
        <v>#N/A</v>
      </c>
      <c r="F179" s="300">
        <v>0</v>
      </c>
      <c r="G179" s="750">
        <f>IF(F179&lt;0,"Error: Enter as positive.",)</f>
        <v>0</v>
      </c>
      <c r="H179" s="729"/>
      <c r="I179" s="17"/>
      <c r="Z179" s="108"/>
      <c r="AA179" s="108"/>
      <c r="AB179" s="108"/>
      <c r="AC179" s="108"/>
      <c r="AD179" s="108"/>
      <c r="AE179" s="108"/>
      <c r="AF179" s="108"/>
      <c r="AG179" s="108"/>
      <c r="AH179" s="108"/>
      <c r="AI179" s="108"/>
      <c r="AJ179" s="108"/>
      <c r="AK179" s="108"/>
      <c r="AL179" s="108"/>
      <c r="AM179" s="108"/>
      <c r="AN179" s="108"/>
      <c r="AO179" s="108"/>
      <c r="AP179" s="108"/>
      <c r="AQ179" s="108"/>
      <c r="AR179" s="108"/>
    </row>
    <row r="180" spans="1:44" ht="91.5" customHeight="1" x14ac:dyDescent="0.3">
      <c r="A180" s="108">
        <v>986</v>
      </c>
      <c r="B180" s="848" t="s">
        <v>1052</v>
      </c>
      <c r="C180" s="848" t="s">
        <v>1489</v>
      </c>
      <c r="D180" s="319" t="s">
        <v>1081</v>
      </c>
      <c r="E180" s="689" t="s">
        <v>1053</v>
      </c>
      <c r="F180" s="300">
        <v>0</v>
      </c>
      <c r="G180" s="750">
        <f>IF(F180&lt;0,"Error: Enter as positive.",)</f>
        <v>0</v>
      </c>
      <c r="H180" s="17"/>
      <c r="I180" s="79"/>
      <c r="Z180" s="108"/>
      <c r="AA180" s="108"/>
      <c r="AB180" s="108"/>
      <c r="AC180" s="108"/>
      <c r="AD180" s="108"/>
      <c r="AE180" s="108"/>
      <c r="AF180" s="108"/>
      <c r="AG180" s="108"/>
      <c r="AH180" s="108"/>
      <c r="AI180" s="108"/>
      <c r="AJ180" s="108"/>
      <c r="AK180" s="108"/>
      <c r="AL180" s="108"/>
      <c r="AM180" s="108"/>
      <c r="AN180" s="108"/>
      <c r="AO180" s="108"/>
      <c r="AP180" s="108"/>
      <c r="AQ180" s="108"/>
      <c r="AR180" s="108"/>
    </row>
    <row r="181" spans="1:44" ht="90" customHeight="1" x14ac:dyDescent="0.3">
      <c r="A181" s="108">
        <v>353</v>
      </c>
      <c r="B181" s="4" t="s">
        <v>68</v>
      </c>
      <c r="C181" s="4" t="s">
        <v>1489</v>
      </c>
      <c r="D181" s="29" t="s">
        <v>143</v>
      </c>
      <c r="E181" s="689" t="e">
        <f>HLOOKUP($D$2,'2020 Data(H)'!$C$1:$CR$397,117,FALSE)</f>
        <v>#N/A</v>
      </c>
      <c r="F181" s="300">
        <v>0</v>
      </c>
      <c r="G181" s="750">
        <f>IF(F181&lt;0,"Error: Enter as positive.",)</f>
        <v>0</v>
      </c>
      <c r="H181" s="17"/>
      <c r="I181" s="79"/>
      <c r="Z181" s="108"/>
      <c r="AA181" s="108"/>
      <c r="AB181" s="108"/>
      <c r="AC181" s="108"/>
      <c r="AD181" s="108"/>
      <c r="AE181" s="108"/>
      <c r="AF181" s="108"/>
      <c r="AG181" s="108"/>
      <c r="AH181" s="108"/>
      <c r="AI181" s="108"/>
      <c r="AJ181" s="108"/>
      <c r="AK181" s="108"/>
      <c r="AL181" s="108"/>
      <c r="AM181" s="108"/>
      <c r="AN181" s="108"/>
      <c r="AO181" s="108"/>
      <c r="AP181" s="108"/>
      <c r="AQ181" s="108"/>
      <c r="AR181" s="108"/>
    </row>
    <row r="182" spans="1:44" ht="102.75" customHeight="1" x14ac:dyDescent="0.3">
      <c r="A182" s="108">
        <v>50</v>
      </c>
      <c r="B182" s="4" t="s">
        <v>64</v>
      </c>
      <c r="C182" s="4" t="s">
        <v>1489</v>
      </c>
      <c r="D182" s="728" t="s">
        <v>1494</v>
      </c>
      <c r="E182" s="689" t="e">
        <f>HLOOKUP($D$2,'2020 Data(H)'!$C$1:$CR$397,37,FALSE)</f>
        <v>#N/A</v>
      </c>
      <c r="F182" s="298">
        <v>0</v>
      </c>
      <c r="G182" s="750">
        <f>IF(H182=0,,"Error: Total revenues less total expenses do not equal total change in net position. Account number 84-85+350-351+191+352-353-50=0  The amount of the formula is in the cell to the right")</f>
        <v>0</v>
      </c>
      <c r="H182" s="753">
        <f>F172-F174+F176-F177+F178+F179-F181-F182</f>
        <v>0</v>
      </c>
      <c r="I182" s="79"/>
      <c r="Z182" s="108"/>
      <c r="AA182" s="108"/>
      <c r="AB182" s="108"/>
      <c r="AC182" s="108"/>
      <c r="AD182" s="108"/>
      <c r="AE182" s="108"/>
      <c r="AF182" s="108"/>
      <c r="AG182" s="108"/>
      <c r="AH182" s="108"/>
      <c r="AI182" s="108"/>
      <c r="AJ182" s="108"/>
      <c r="AK182" s="108"/>
      <c r="AL182" s="108"/>
      <c r="AM182" s="108"/>
      <c r="AN182" s="108"/>
      <c r="AO182" s="108"/>
      <c r="AP182" s="108"/>
      <c r="AQ182" s="108"/>
      <c r="AR182" s="108"/>
    </row>
    <row r="183" spans="1:44" ht="121.5" customHeight="1" x14ac:dyDescent="0.3">
      <c r="A183" s="108">
        <v>377</v>
      </c>
      <c r="B183" s="4" t="s">
        <v>68</v>
      </c>
      <c r="C183" s="4" t="s">
        <v>1489</v>
      </c>
      <c r="D183" s="728" t="s">
        <v>1495</v>
      </c>
      <c r="E183" s="689" t="e">
        <f>HLOOKUP($D$2,'2020 Data(H)'!$C$1:$CR$397,136,FALSE)</f>
        <v>#N/A</v>
      </c>
      <c r="F183" s="298">
        <v>0</v>
      </c>
      <c r="G183" s="750" t="e">
        <f>IF(F149-F182-F183=E149,,"Error: Beginning Balance does not agree with our records.  Acct #s (83-50-377)=prior year 83 The amount of the formula is in the cell to the right")</f>
        <v>#N/A</v>
      </c>
      <c r="H183" s="753" t="e">
        <f>+F149-F182-F183-E149</f>
        <v>#N/A</v>
      </c>
      <c r="I183" s="1174" t="s">
        <v>1803</v>
      </c>
      <c r="Z183" s="108"/>
      <c r="AA183" s="108"/>
      <c r="AB183" s="108"/>
      <c r="AC183" s="108"/>
      <c r="AD183" s="108"/>
      <c r="AE183" s="108"/>
      <c r="AF183" s="108"/>
      <c r="AG183" s="108"/>
      <c r="AH183" s="108"/>
      <c r="AI183" s="108"/>
      <c r="AJ183" s="108"/>
      <c r="AK183" s="108"/>
      <c r="AL183" s="108"/>
      <c r="AM183" s="108"/>
      <c r="AN183" s="108"/>
      <c r="AO183" s="108"/>
      <c r="AP183" s="108"/>
      <c r="AQ183" s="108"/>
      <c r="AR183" s="108"/>
    </row>
    <row r="184" spans="1:44" ht="97.5" customHeight="1" x14ac:dyDescent="0.3">
      <c r="A184" s="108">
        <v>537</v>
      </c>
      <c r="B184" s="691" t="s">
        <v>59</v>
      </c>
      <c r="C184" s="691" t="s">
        <v>1489</v>
      </c>
      <c r="D184" s="688" t="s">
        <v>1496</v>
      </c>
      <c r="E184" s="59" t="e">
        <f>HLOOKUP($D$2,'2020 Data(H)'!$C$1:$CR$397,250,FALSE)</f>
        <v>#N/A</v>
      </c>
      <c r="F184" s="300"/>
      <c r="G184" s="750"/>
      <c r="H184" s="751"/>
      <c r="I184" s="752"/>
      <c r="Z184" s="108"/>
      <c r="AA184" s="108"/>
      <c r="AB184" s="108"/>
      <c r="AC184" s="108"/>
      <c r="AD184" s="108"/>
      <c r="AE184" s="108"/>
      <c r="AF184" s="108"/>
      <c r="AG184" s="108"/>
      <c r="AH184" s="108"/>
      <c r="AI184" s="108"/>
      <c r="AJ184" s="108"/>
      <c r="AK184" s="108"/>
      <c r="AL184" s="108"/>
      <c r="AM184" s="108"/>
      <c r="AN184" s="108"/>
      <c r="AO184" s="108"/>
      <c r="AP184" s="108"/>
      <c r="AQ184" s="108"/>
      <c r="AR184" s="108"/>
    </row>
    <row r="185" spans="1:44" ht="96.75" customHeight="1" x14ac:dyDescent="0.3">
      <c r="A185" s="108">
        <v>538</v>
      </c>
      <c r="B185" s="691" t="s">
        <v>59</v>
      </c>
      <c r="C185" s="691" t="s">
        <v>1489</v>
      </c>
      <c r="D185" s="688" t="s">
        <v>1497</v>
      </c>
      <c r="E185" s="689" t="e">
        <f>HLOOKUP($D$2,'2020 Data(H)'!$C$1:$CR$397,251,FALSE)</f>
        <v>#N/A</v>
      </c>
      <c r="F185" s="300"/>
      <c r="G185" s="750"/>
      <c r="H185" s="751"/>
      <c r="I185" s="752"/>
      <c r="Z185" s="108"/>
      <c r="AA185" s="108"/>
      <c r="AB185" s="108"/>
      <c r="AC185" s="108"/>
      <c r="AD185" s="108"/>
      <c r="AE185" s="108"/>
      <c r="AF185" s="108"/>
      <c r="AG185" s="108"/>
      <c r="AH185" s="108"/>
      <c r="AI185" s="108"/>
      <c r="AJ185" s="108"/>
      <c r="AK185" s="108"/>
      <c r="AL185" s="108"/>
      <c r="AM185" s="108"/>
      <c r="AN185" s="108"/>
      <c r="AO185" s="108"/>
      <c r="AP185" s="108"/>
      <c r="AQ185" s="108"/>
      <c r="AR185" s="108"/>
    </row>
    <row r="186" spans="1:44" ht="26.25" customHeight="1" x14ac:dyDescent="0.3">
      <c r="A186" s="108"/>
      <c r="B186" s="884" t="s">
        <v>6</v>
      </c>
      <c r="C186" s="885"/>
      <c r="D186" s="860"/>
      <c r="E186" s="860"/>
      <c r="F186" s="880"/>
      <c r="G186" s="881"/>
      <c r="H186" s="17"/>
      <c r="I186" s="79"/>
      <c r="Z186" s="108"/>
      <c r="AA186" s="108"/>
      <c r="AB186" s="108"/>
      <c r="AC186" s="108"/>
      <c r="AD186" s="108"/>
      <c r="AE186" s="108"/>
      <c r="AF186" s="108"/>
      <c r="AG186" s="108"/>
      <c r="AH186" s="108"/>
      <c r="AI186" s="108"/>
      <c r="AJ186" s="108"/>
      <c r="AK186" s="108"/>
      <c r="AL186" s="108"/>
      <c r="AM186" s="108"/>
      <c r="AN186" s="108"/>
      <c r="AO186" s="108"/>
      <c r="AP186" s="108"/>
      <c r="AQ186" s="108"/>
      <c r="AR186" s="108"/>
    </row>
    <row r="187" spans="1:44" ht="112.5" customHeight="1" x14ac:dyDescent="0.3">
      <c r="A187" s="108">
        <v>97</v>
      </c>
      <c r="B187" s="4" t="s">
        <v>68</v>
      </c>
      <c r="C187" s="4" t="s">
        <v>1498</v>
      </c>
      <c r="D187" s="29" t="s">
        <v>163</v>
      </c>
      <c r="E187" s="689" t="e">
        <f>HLOOKUP($D$2,'2020 Data(H)'!$C$1:$CR$397,57,FALSE)</f>
        <v>#N/A</v>
      </c>
      <c r="F187" s="298">
        <v>0</v>
      </c>
      <c r="G187" s="760"/>
      <c r="H187" s="17"/>
      <c r="I187" s="79"/>
      <c r="Z187" s="108"/>
      <c r="AA187" s="108"/>
      <c r="AB187" s="108"/>
      <c r="AC187" s="108"/>
      <c r="AD187" s="108"/>
      <c r="AE187" s="108"/>
      <c r="AF187" s="108"/>
      <c r="AG187" s="108"/>
      <c r="AH187" s="108"/>
      <c r="AI187" s="108"/>
      <c r="AJ187" s="108"/>
      <c r="AK187" s="108"/>
      <c r="AL187" s="108"/>
      <c r="AM187" s="108"/>
      <c r="AN187" s="108"/>
      <c r="AO187" s="108"/>
      <c r="AP187" s="108"/>
      <c r="AQ187" s="108"/>
      <c r="AR187" s="108"/>
    </row>
    <row r="188" spans="1:44" ht="87.75" customHeight="1" x14ac:dyDescent="0.3">
      <c r="A188" s="108">
        <v>93</v>
      </c>
      <c r="B188" s="4" t="s">
        <v>66</v>
      </c>
      <c r="C188" s="4" t="s">
        <v>1498</v>
      </c>
      <c r="D188" s="29" t="s">
        <v>159</v>
      </c>
      <c r="E188" s="689" t="e">
        <f>HLOOKUP($D$2,'2020 Data(H)'!$C$1:$CR$397,55,FALSE)</f>
        <v>#N/A</v>
      </c>
      <c r="F188" s="299">
        <v>0</v>
      </c>
      <c r="G188" s="750">
        <f>IF(F187&gt;F188,"Error: Charges for services exceed total operating revenues. Account number 97&gt;93",)</f>
        <v>0</v>
      </c>
      <c r="H188" s="17"/>
      <c r="I188" s="79"/>
      <c r="Z188" s="108"/>
      <c r="AA188" s="108"/>
      <c r="AB188" s="108"/>
      <c r="AC188" s="108"/>
      <c r="AD188" s="108"/>
      <c r="AE188" s="108"/>
      <c r="AF188" s="108"/>
      <c r="AG188" s="108"/>
      <c r="AH188" s="108"/>
      <c r="AI188" s="108"/>
      <c r="AJ188" s="108"/>
      <c r="AK188" s="108"/>
      <c r="AL188" s="108"/>
      <c r="AM188" s="108"/>
      <c r="AN188" s="108"/>
      <c r="AO188" s="108"/>
      <c r="AP188" s="108"/>
      <c r="AQ188" s="108"/>
      <c r="AR188" s="108"/>
    </row>
    <row r="189" spans="1:44" ht="96" customHeight="1" x14ac:dyDescent="0.3">
      <c r="A189" s="108">
        <v>99</v>
      </c>
      <c r="B189" s="4" t="s">
        <v>58</v>
      </c>
      <c r="C189" s="4" t="s">
        <v>1498</v>
      </c>
      <c r="D189" s="29" t="s">
        <v>164</v>
      </c>
      <c r="E189" s="689" t="e">
        <f>HLOOKUP($D$2,'2020 Data(H)'!$C$1:$CR$397,59,FALSE)</f>
        <v>#N/A</v>
      </c>
      <c r="F189" s="299">
        <v>0</v>
      </c>
      <c r="G189" s="750">
        <f t="shared" ref="G189:G197" si="2">IF(F189&lt;0,"Error: Enter as positive.",)</f>
        <v>0</v>
      </c>
      <c r="H189" s="17"/>
      <c r="I189" s="79"/>
      <c r="Z189" s="108"/>
      <c r="AA189" s="108"/>
      <c r="AB189" s="108"/>
      <c r="AC189" s="108"/>
      <c r="AD189" s="108"/>
      <c r="AE189" s="108"/>
      <c r="AF189" s="108"/>
      <c r="AG189" s="108"/>
      <c r="AH189" s="108"/>
      <c r="AI189" s="108"/>
      <c r="AJ189" s="108"/>
      <c r="AK189" s="108"/>
      <c r="AL189" s="108"/>
      <c r="AM189" s="108"/>
      <c r="AN189" s="108"/>
      <c r="AO189" s="108"/>
      <c r="AP189" s="108"/>
      <c r="AQ189" s="108"/>
      <c r="AR189" s="108"/>
    </row>
    <row r="190" spans="1:44" ht="79.5" customHeight="1" x14ac:dyDescent="0.3">
      <c r="A190" s="108">
        <v>52</v>
      </c>
      <c r="B190" s="4" t="s">
        <v>58</v>
      </c>
      <c r="C190" s="4" t="s">
        <v>1498</v>
      </c>
      <c r="D190" s="29" t="s">
        <v>160</v>
      </c>
      <c r="E190" s="689" t="e">
        <f>HLOOKUP($D$2,'2020 Data(H)'!$C$1:$CR$397,39,FALSE)</f>
        <v>#N/A</v>
      </c>
      <c r="F190" s="299">
        <v>0</v>
      </c>
      <c r="G190" s="750">
        <f t="shared" si="2"/>
        <v>0</v>
      </c>
      <c r="H190" s="17"/>
      <c r="I190" s="79"/>
      <c r="Z190" s="108"/>
      <c r="AA190" s="108"/>
      <c r="AB190" s="108"/>
      <c r="AC190" s="108"/>
      <c r="AD190" s="108"/>
      <c r="AE190" s="108"/>
      <c r="AF190" s="108"/>
      <c r="AG190" s="108"/>
      <c r="AH190" s="108"/>
      <c r="AI190" s="108"/>
      <c r="AJ190" s="108"/>
      <c r="AK190" s="108"/>
      <c r="AL190" s="108"/>
      <c r="AM190" s="108"/>
      <c r="AN190" s="108"/>
      <c r="AO190" s="108"/>
      <c r="AP190" s="108"/>
      <c r="AQ190" s="108"/>
      <c r="AR190" s="108"/>
    </row>
    <row r="191" spans="1:44" ht="95.25" customHeight="1" x14ac:dyDescent="0.3">
      <c r="A191" s="108">
        <v>94</v>
      </c>
      <c r="B191" s="4" t="s">
        <v>66</v>
      </c>
      <c r="C191" s="4" t="s">
        <v>1498</v>
      </c>
      <c r="D191" s="29" t="s">
        <v>161</v>
      </c>
      <c r="E191" s="689" t="e">
        <f>HLOOKUP($D$2,'2020 Data(H)'!$C$1:$CR$397,56,FALSE)</f>
        <v>#N/A</v>
      </c>
      <c r="F191" s="299">
        <v>0</v>
      </c>
      <c r="G191" s="750">
        <f t="shared" si="2"/>
        <v>0</v>
      </c>
      <c r="H191" s="17"/>
      <c r="I191" s="79"/>
      <c r="Z191" s="108"/>
      <c r="AA191" s="108"/>
      <c r="AB191" s="108"/>
      <c r="AC191" s="108"/>
      <c r="AD191" s="108"/>
      <c r="AE191" s="108"/>
      <c r="AF191" s="108"/>
      <c r="AG191" s="108"/>
      <c r="AH191" s="108"/>
      <c r="AI191" s="108"/>
      <c r="AJ191" s="108"/>
      <c r="AK191" s="108"/>
      <c r="AL191" s="108"/>
      <c r="AM191" s="108"/>
      <c r="AN191" s="108"/>
      <c r="AO191" s="108"/>
      <c r="AP191" s="108"/>
      <c r="AQ191" s="108"/>
      <c r="AR191" s="108"/>
    </row>
    <row r="192" spans="1:44" ht="100.5" customHeight="1" x14ac:dyDescent="0.3">
      <c r="A192" s="108">
        <v>98</v>
      </c>
      <c r="B192" s="4" t="s">
        <v>66</v>
      </c>
      <c r="C192" s="4" t="s">
        <v>1498</v>
      </c>
      <c r="D192" s="29" t="s">
        <v>162</v>
      </c>
      <c r="E192" s="689" t="e">
        <f>HLOOKUP($D$2,'2020 Data(H)'!$C$1:$CR$397,58,FALSE)</f>
        <v>#N/A</v>
      </c>
      <c r="F192" s="299">
        <v>0</v>
      </c>
      <c r="G192" s="750">
        <f t="shared" si="2"/>
        <v>0</v>
      </c>
      <c r="H192" s="17"/>
      <c r="I192" s="79"/>
      <c r="Z192" s="108"/>
      <c r="AA192" s="108"/>
      <c r="AB192" s="108"/>
      <c r="AC192" s="108"/>
      <c r="AD192" s="108"/>
      <c r="AE192" s="108"/>
      <c r="AF192" s="108"/>
      <c r="AG192" s="108"/>
      <c r="AH192" s="108"/>
      <c r="AI192" s="108"/>
      <c r="AJ192" s="108"/>
      <c r="AK192" s="108"/>
      <c r="AL192" s="108"/>
      <c r="AM192" s="108"/>
      <c r="AN192" s="108"/>
      <c r="AO192" s="108"/>
      <c r="AP192" s="108"/>
      <c r="AQ192" s="108"/>
      <c r="AR192" s="108"/>
    </row>
    <row r="193" spans="1:44" ht="95.25" customHeight="1" x14ac:dyDescent="0.3">
      <c r="A193" s="108">
        <v>363</v>
      </c>
      <c r="B193" s="4" t="s">
        <v>56</v>
      </c>
      <c r="C193" s="4" t="s">
        <v>1498</v>
      </c>
      <c r="D193" s="24" t="s">
        <v>1499</v>
      </c>
      <c r="E193" s="689" t="e">
        <f>HLOOKUP($D$2,'2020 Data(H)'!$C$1:$CR$397,124,FALSE)</f>
        <v>#N/A</v>
      </c>
      <c r="F193" s="299">
        <v>0</v>
      </c>
      <c r="G193" s="750">
        <f t="shared" si="2"/>
        <v>0</v>
      </c>
      <c r="H193" s="17"/>
      <c r="I193" s="79"/>
      <c r="Z193" s="108"/>
      <c r="AA193" s="108"/>
      <c r="AB193" s="108"/>
      <c r="AC193" s="108"/>
      <c r="AD193" s="108"/>
      <c r="AE193" s="108"/>
      <c r="AF193" s="108"/>
      <c r="AG193" s="108"/>
      <c r="AH193" s="108"/>
      <c r="AI193" s="108"/>
      <c r="AJ193" s="108"/>
      <c r="AK193" s="108"/>
      <c r="AL193" s="108"/>
      <c r="AM193" s="108"/>
      <c r="AN193" s="108"/>
      <c r="AO193" s="108"/>
      <c r="AP193" s="108"/>
      <c r="AQ193" s="108"/>
      <c r="AR193" s="108"/>
    </row>
    <row r="194" spans="1:44" ht="83.25" customHeight="1" x14ac:dyDescent="0.3">
      <c r="A194" s="108">
        <v>364</v>
      </c>
      <c r="B194" s="4" t="s">
        <v>56</v>
      </c>
      <c r="C194" s="4" t="s">
        <v>1498</v>
      </c>
      <c r="D194" s="24" t="s">
        <v>1500</v>
      </c>
      <c r="E194" s="689" t="e">
        <f>HLOOKUP($D$2,'2020 Data(H)'!$C$1:$CR$397,125,FALSE)</f>
        <v>#N/A</v>
      </c>
      <c r="F194" s="299">
        <v>0</v>
      </c>
      <c r="G194" s="750">
        <f t="shared" si="2"/>
        <v>0</v>
      </c>
      <c r="H194" s="17"/>
      <c r="I194" s="79"/>
      <c r="Z194" s="108"/>
      <c r="AA194" s="108"/>
      <c r="AB194" s="108"/>
      <c r="AC194" s="108"/>
      <c r="AD194" s="108"/>
      <c r="AE194" s="108"/>
      <c r="AF194" s="108"/>
      <c r="AG194" s="108"/>
      <c r="AH194" s="108"/>
      <c r="AI194" s="108"/>
      <c r="AJ194" s="108"/>
      <c r="AK194" s="108"/>
      <c r="AL194" s="108"/>
      <c r="AM194" s="108"/>
      <c r="AN194" s="108"/>
      <c r="AO194" s="108"/>
      <c r="AP194" s="108"/>
      <c r="AQ194" s="108"/>
      <c r="AR194" s="108"/>
    </row>
    <row r="195" spans="1:44" ht="93" customHeight="1" x14ac:dyDescent="0.3">
      <c r="A195" s="108">
        <v>192</v>
      </c>
      <c r="B195" s="4" t="s">
        <v>58</v>
      </c>
      <c r="C195" s="4" t="s">
        <v>1498</v>
      </c>
      <c r="D195" s="24" t="s">
        <v>1501</v>
      </c>
      <c r="E195" s="689" t="e">
        <f>HLOOKUP($D$2,'2020 Data(H)'!$C$1:$CR$397,73,FALSE)</f>
        <v>#N/A</v>
      </c>
      <c r="F195" s="299">
        <v>0</v>
      </c>
      <c r="G195" s="750">
        <f t="shared" si="2"/>
        <v>0</v>
      </c>
      <c r="H195" s="17"/>
      <c r="I195" s="79"/>
      <c r="Z195" s="108"/>
      <c r="AA195" s="108"/>
      <c r="AB195" s="108"/>
      <c r="AC195" s="108"/>
      <c r="AD195" s="108"/>
      <c r="AE195" s="108"/>
      <c r="AF195" s="108"/>
      <c r="AG195" s="108"/>
      <c r="AH195" s="108"/>
      <c r="AI195" s="108"/>
      <c r="AJ195" s="108"/>
      <c r="AK195" s="108"/>
      <c r="AL195" s="108"/>
      <c r="AM195" s="108"/>
      <c r="AN195" s="108"/>
      <c r="AO195" s="108"/>
      <c r="AP195" s="108"/>
      <c r="AQ195" s="108"/>
      <c r="AR195" s="108"/>
    </row>
    <row r="196" spans="1:44" ht="108" customHeight="1" x14ac:dyDescent="0.3">
      <c r="A196" s="108">
        <v>365</v>
      </c>
      <c r="B196" s="4" t="s">
        <v>66</v>
      </c>
      <c r="C196" s="4" t="s">
        <v>1498</v>
      </c>
      <c r="D196" s="24" t="s">
        <v>1502</v>
      </c>
      <c r="E196" s="689" t="e">
        <f>HLOOKUP($D$2,'2020 Data(H)'!$C$1:$CR$397,126,FALSE)</f>
        <v>#N/A</v>
      </c>
      <c r="F196" s="299">
        <v>0</v>
      </c>
      <c r="G196" s="750">
        <f t="shared" si="2"/>
        <v>0</v>
      </c>
      <c r="H196" s="17"/>
      <c r="I196" s="79"/>
      <c r="Z196" s="108"/>
      <c r="AA196" s="108"/>
      <c r="AB196" s="108"/>
      <c r="AC196" s="108"/>
      <c r="AD196" s="108"/>
      <c r="AE196" s="108"/>
      <c r="AF196" s="108"/>
      <c r="AG196" s="108"/>
      <c r="AH196" s="108"/>
      <c r="AI196" s="108"/>
      <c r="AJ196" s="108"/>
      <c r="AK196" s="108"/>
      <c r="AL196" s="108"/>
      <c r="AM196" s="108"/>
      <c r="AN196" s="108"/>
      <c r="AO196" s="108"/>
      <c r="AP196" s="108"/>
      <c r="AQ196" s="108"/>
      <c r="AR196" s="108"/>
    </row>
    <row r="197" spans="1:44" ht="84.75" customHeight="1" x14ac:dyDescent="0.3">
      <c r="A197" s="108">
        <v>366</v>
      </c>
      <c r="B197" s="4" t="s">
        <v>66</v>
      </c>
      <c r="C197" s="4" t="s">
        <v>1498</v>
      </c>
      <c r="D197" s="24" t="s">
        <v>1503</v>
      </c>
      <c r="E197" s="689" t="e">
        <f>HLOOKUP($D$2,'2020 Data(H)'!$C$1:$CR$397,127,FALSE)</f>
        <v>#N/A</v>
      </c>
      <c r="F197" s="299">
        <v>0</v>
      </c>
      <c r="G197" s="750">
        <f t="shared" si="2"/>
        <v>0</v>
      </c>
      <c r="H197" s="17"/>
      <c r="I197" s="79"/>
      <c r="Z197" s="108"/>
      <c r="AA197" s="108"/>
      <c r="AB197" s="108"/>
      <c r="AC197" s="108"/>
      <c r="AD197" s="108"/>
      <c r="AE197" s="108"/>
      <c r="AF197" s="108"/>
      <c r="AG197" s="108"/>
      <c r="AH197" s="108"/>
      <c r="AI197" s="108"/>
      <c r="AJ197" s="108"/>
      <c r="AK197" s="108"/>
      <c r="AL197" s="108"/>
      <c r="AM197" s="108"/>
      <c r="AN197" s="108"/>
      <c r="AO197" s="108"/>
      <c r="AP197" s="108"/>
      <c r="AQ197" s="108"/>
      <c r="AR197" s="108"/>
    </row>
    <row r="198" spans="1:44" s="18" customFormat="1" ht="93.75" customHeight="1" x14ac:dyDescent="0.3">
      <c r="A198" s="108">
        <v>53</v>
      </c>
      <c r="B198" s="691" t="s">
        <v>66</v>
      </c>
      <c r="C198" s="691" t="s">
        <v>1498</v>
      </c>
      <c r="D198" s="728" t="s">
        <v>1504</v>
      </c>
      <c r="E198" s="689" t="e">
        <f>HLOOKUP($D$2,'2020 Data(H)'!$C$1:$CR$397,40,FALSE)</f>
        <v>#N/A</v>
      </c>
      <c r="F198" s="299">
        <v>0</v>
      </c>
      <c r="G198" s="750">
        <f>IF(H198=0,,"Error: Total revenues less total expenses do not equal total change in net position. Account number 93-94+363-364+192+365-366-53=0  The amount of the formula is in the cell to the right")</f>
        <v>0</v>
      </c>
      <c r="H198" s="753">
        <f>+F188-F191+F193-F194+F195+F196-F197-F198</f>
        <v>0</v>
      </c>
      <c r="I198" s="79"/>
      <c r="N198" s="301"/>
      <c r="Z198" s="108"/>
      <c r="AA198" s="108"/>
      <c r="AB198" s="108"/>
      <c r="AC198" s="108"/>
      <c r="AD198" s="108"/>
      <c r="AE198" s="108"/>
      <c r="AF198" s="108"/>
      <c r="AG198" s="108"/>
      <c r="AH198" s="108"/>
      <c r="AI198" s="108"/>
      <c r="AJ198" s="108"/>
      <c r="AK198" s="108"/>
      <c r="AL198" s="108"/>
      <c r="AM198" s="108"/>
      <c r="AN198" s="108"/>
      <c r="AO198" s="108"/>
      <c r="AP198" s="108"/>
      <c r="AQ198" s="108"/>
      <c r="AR198" s="108"/>
    </row>
    <row r="199" spans="1:44" s="18" customFormat="1" ht="135" customHeight="1" x14ac:dyDescent="0.3">
      <c r="A199" s="108">
        <v>378</v>
      </c>
      <c r="B199" s="5" t="s">
        <v>56</v>
      </c>
      <c r="C199" s="4" t="s">
        <v>1498</v>
      </c>
      <c r="D199" s="728" t="s">
        <v>1505</v>
      </c>
      <c r="E199" s="689" t="e">
        <f>HLOOKUP($D$2,'2020 Data(H)'!$C$1:$CR$397,137,FALSE)</f>
        <v>#N/A</v>
      </c>
      <c r="F199" s="298">
        <v>0</v>
      </c>
      <c r="G199" s="750" t="e">
        <f>IF(F168-F198-F199=E168,,"Error: Beginning Balance does not agree with our records.  Acct #s (362-53-378)=prior year 362  The amount of the formula is in the cell to the right")</f>
        <v>#N/A</v>
      </c>
      <c r="H199" s="753" t="e">
        <f>+F168-F198-F199-E168</f>
        <v>#N/A</v>
      </c>
      <c r="I199" s="1174" t="s">
        <v>1803</v>
      </c>
      <c r="N199" s="301"/>
      <c r="Z199" s="108"/>
      <c r="AA199" s="108"/>
      <c r="AB199" s="108"/>
      <c r="AC199" s="108"/>
      <c r="AD199" s="108"/>
      <c r="AE199" s="108"/>
      <c r="AF199" s="108"/>
      <c r="AG199" s="108"/>
      <c r="AH199" s="108"/>
      <c r="AI199" s="108"/>
      <c r="AJ199" s="108"/>
      <c r="AK199" s="108"/>
      <c r="AL199" s="108"/>
      <c r="AM199" s="108"/>
      <c r="AN199" s="108"/>
      <c r="AO199" s="108"/>
      <c r="AP199" s="108"/>
      <c r="AQ199" s="108"/>
      <c r="AR199" s="108"/>
    </row>
    <row r="200" spans="1:44" ht="30.75" customHeight="1" x14ac:dyDescent="0.3">
      <c r="A200" s="108"/>
      <c r="B200" s="884" t="s">
        <v>829</v>
      </c>
      <c r="C200" s="884"/>
      <c r="D200" s="887"/>
      <c r="E200" s="867"/>
      <c r="F200" s="888"/>
      <c r="G200" s="869"/>
      <c r="H200" s="17"/>
      <c r="I200" s="79"/>
      <c r="Z200" s="108"/>
      <c r="AA200" s="108"/>
      <c r="AB200" s="108"/>
      <c r="AC200" s="108"/>
      <c r="AD200" s="108"/>
      <c r="AE200" s="108"/>
      <c r="AF200" s="108"/>
      <c r="AG200" s="108"/>
      <c r="AH200" s="108"/>
      <c r="AI200" s="108"/>
      <c r="AJ200" s="108"/>
      <c r="AK200" s="108"/>
      <c r="AL200" s="108"/>
      <c r="AM200" s="108"/>
      <c r="AN200" s="108"/>
      <c r="AO200" s="108"/>
      <c r="AP200" s="108"/>
      <c r="AQ200" s="108"/>
      <c r="AR200" s="108"/>
    </row>
    <row r="201" spans="1:44" ht="13.5" customHeight="1" x14ac:dyDescent="0.3">
      <c r="A201" s="108"/>
      <c r="B201" s="889" t="s">
        <v>1506</v>
      </c>
      <c r="C201" s="885"/>
      <c r="D201" s="860"/>
      <c r="E201" s="860"/>
      <c r="F201" s="890"/>
      <c r="G201" s="881"/>
      <c r="H201" s="17"/>
      <c r="I201" s="79"/>
      <c r="Z201" s="108"/>
      <c r="AA201" s="108"/>
      <c r="AB201" s="108"/>
      <c r="AC201" s="108"/>
      <c r="AD201" s="108"/>
      <c r="AE201" s="108"/>
      <c r="AF201" s="108"/>
      <c r="AG201" s="108"/>
      <c r="AH201" s="108"/>
      <c r="AI201" s="108"/>
      <c r="AJ201" s="108"/>
      <c r="AK201" s="108"/>
      <c r="AL201" s="108"/>
      <c r="AM201" s="108"/>
      <c r="AN201" s="108"/>
      <c r="AO201" s="108"/>
      <c r="AP201" s="108"/>
      <c r="AQ201" s="108"/>
      <c r="AR201" s="108"/>
    </row>
    <row r="202" spans="1:44" ht="17.25" customHeight="1" x14ac:dyDescent="0.3">
      <c r="A202" s="108"/>
      <c r="B202" s="885" t="s">
        <v>1507</v>
      </c>
      <c r="C202" s="885"/>
      <c r="D202" s="876"/>
      <c r="E202" s="858"/>
      <c r="F202" s="891"/>
      <c r="G202" s="883"/>
      <c r="H202" s="17"/>
      <c r="I202" s="79"/>
      <c r="Z202" s="108"/>
      <c r="AA202" s="108"/>
      <c r="AB202" s="108"/>
      <c r="AC202" s="108"/>
      <c r="AD202" s="108"/>
      <c r="AE202" s="108"/>
      <c r="AF202" s="108"/>
      <c r="AG202" s="108"/>
      <c r="AH202" s="108"/>
      <c r="AI202" s="108"/>
      <c r="AJ202" s="108"/>
      <c r="AK202" s="108"/>
      <c r="AL202" s="108"/>
      <c r="AM202" s="108"/>
      <c r="AN202" s="108"/>
      <c r="AO202" s="108"/>
      <c r="AP202" s="108"/>
      <c r="AQ202" s="108"/>
      <c r="AR202" s="108"/>
    </row>
    <row r="203" spans="1:44" ht="13.5" customHeight="1" x14ac:dyDescent="0.3">
      <c r="A203" s="108"/>
      <c r="B203" s="885" t="s">
        <v>23</v>
      </c>
      <c r="C203" s="885"/>
      <c r="D203" s="876"/>
      <c r="E203" s="858"/>
      <c r="F203" s="891"/>
      <c r="G203" s="883"/>
      <c r="H203" s="17"/>
      <c r="I203" s="79"/>
      <c r="Z203" s="108"/>
      <c r="AA203" s="108"/>
      <c r="AB203" s="108"/>
      <c r="AC203" s="108"/>
      <c r="AD203" s="108"/>
      <c r="AE203" s="108"/>
      <c r="AF203" s="108"/>
      <c r="AG203" s="108"/>
      <c r="AH203" s="108"/>
      <c r="AI203" s="108"/>
      <c r="AJ203" s="108"/>
      <c r="AK203" s="108"/>
      <c r="AL203" s="108"/>
      <c r="AM203" s="108"/>
      <c r="AN203" s="108"/>
      <c r="AO203" s="108"/>
      <c r="AP203" s="108"/>
      <c r="AQ203" s="108"/>
      <c r="AR203" s="108"/>
    </row>
    <row r="204" spans="1:44" ht="59.25" customHeight="1" x14ac:dyDescent="0.3">
      <c r="A204" s="108">
        <v>51</v>
      </c>
      <c r="B204" s="4" t="s">
        <v>527</v>
      </c>
      <c r="C204" s="849" t="s">
        <v>1508</v>
      </c>
      <c r="D204" s="24" t="s">
        <v>1509</v>
      </c>
      <c r="E204" s="689" t="e">
        <f>HLOOKUP($D$2,'2020 Data(H)'!$C$1:$CR$397,38,FALSE)</f>
        <v>#N/A</v>
      </c>
      <c r="F204" s="299">
        <v>0</v>
      </c>
      <c r="G204" s="760"/>
      <c r="H204" s="17"/>
      <c r="I204" s="79"/>
      <c r="Z204" s="108"/>
      <c r="AA204" s="108"/>
      <c r="AB204" s="108"/>
      <c r="AC204" s="108"/>
      <c r="AD204" s="108"/>
      <c r="AE204" s="108"/>
      <c r="AF204" s="108"/>
      <c r="AG204" s="108"/>
      <c r="AH204" s="108"/>
      <c r="AI204" s="108"/>
      <c r="AJ204" s="108"/>
      <c r="AK204" s="108"/>
      <c r="AL204" s="108"/>
      <c r="AM204" s="108"/>
      <c r="AN204" s="108"/>
      <c r="AO204" s="108"/>
      <c r="AP204" s="108"/>
      <c r="AQ204" s="108"/>
      <c r="AR204" s="108"/>
    </row>
    <row r="205" spans="1:44" ht="45" customHeight="1" x14ac:dyDescent="0.3">
      <c r="A205" s="108">
        <v>332</v>
      </c>
      <c r="B205" s="4" t="s">
        <v>37</v>
      </c>
      <c r="C205" s="849" t="s">
        <v>1508</v>
      </c>
      <c r="D205" s="24" t="s">
        <v>1510</v>
      </c>
      <c r="E205" s="689" t="e">
        <f>HLOOKUP($D$2,'2020 Data(H)'!$C$1:$CR$397,98,FALSE)</f>
        <v>#N/A</v>
      </c>
      <c r="F205" s="299">
        <v>0</v>
      </c>
      <c r="G205" s="750">
        <f>IF(F205&lt;0,"Error: Enter as positive.",)</f>
        <v>0</v>
      </c>
      <c r="H205" s="17"/>
      <c r="I205" s="79"/>
      <c r="Z205" s="108"/>
      <c r="AA205" s="108"/>
      <c r="AB205" s="108"/>
      <c r="AC205" s="108"/>
      <c r="AD205" s="108"/>
      <c r="AE205" s="108"/>
      <c r="AF205" s="108"/>
      <c r="AG205" s="108"/>
      <c r="AH205" s="108"/>
      <c r="AI205" s="108"/>
      <c r="AJ205" s="108"/>
      <c r="AK205" s="108"/>
      <c r="AL205" s="108"/>
      <c r="AM205" s="108"/>
      <c r="AN205" s="108"/>
      <c r="AO205" s="108"/>
      <c r="AP205" s="108"/>
      <c r="AQ205" s="108"/>
      <c r="AR205" s="108"/>
    </row>
    <row r="206" spans="1:44" ht="63" customHeight="1" x14ac:dyDescent="0.3">
      <c r="A206" s="108">
        <v>331</v>
      </c>
      <c r="B206" s="4" t="s">
        <v>527</v>
      </c>
      <c r="C206" s="849" t="s">
        <v>1508</v>
      </c>
      <c r="D206" s="24" t="s">
        <v>1511</v>
      </c>
      <c r="E206" s="689" t="e">
        <f>HLOOKUP($D$2,'2020 Data(H)'!$C$1:$CR$397,97,FALSE)</f>
        <v>#N/A</v>
      </c>
      <c r="F206" s="299">
        <v>0</v>
      </c>
      <c r="G206" s="750">
        <f>IF(F206&lt;0,"Error: Enter as positive.",)</f>
        <v>0</v>
      </c>
      <c r="H206" s="17"/>
      <c r="I206" s="79"/>
      <c r="Z206" s="108"/>
      <c r="AA206" s="108"/>
      <c r="AB206" s="108"/>
      <c r="AC206" s="108"/>
      <c r="AD206" s="108"/>
      <c r="AE206" s="108"/>
      <c r="AF206" s="108"/>
      <c r="AG206" s="108"/>
      <c r="AH206" s="108"/>
      <c r="AI206" s="108"/>
      <c r="AJ206" s="108"/>
      <c r="AK206" s="108"/>
      <c r="AL206" s="108"/>
      <c r="AM206" s="108"/>
      <c r="AN206" s="108"/>
      <c r="AO206" s="108"/>
      <c r="AP206" s="108"/>
      <c r="AQ206" s="108"/>
      <c r="AR206" s="108"/>
    </row>
    <row r="207" spans="1:44" x14ac:dyDescent="0.3">
      <c r="A207" s="108"/>
      <c r="B207" s="884" t="s">
        <v>6</v>
      </c>
      <c r="C207" s="885"/>
      <c r="D207" s="885"/>
      <c r="E207" s="860"/>
      <c r="F207" s="890"/>
      <c r="G207" s="892"/>
      <c r="H207" s="17"/>
      <c r="I207" s="79"/>
      <c r="Z207" s="108"/>
      <c r="AA207" s="108"/>
      <c r="AB207" s="108"/>
      <c r="AC207" s="108"/>
      <c r="AD207" s="108"/>
      <c r="AE207" s="108"/>
      <c r="AF207" s="108"/>
      <c r="AG207" s="108"/>
      <c r="AH207" s="108"/>
      <c r="AI207" s="108"/>
      <c r="AJ207" s="108"/>
      <c r="AK207" s="108"/>
      <c r="AL207" s="108"/>
      <c r="AM207" s="108"/>
      <c r="AN207" s="108"/>
      <c r="AO207" s="108"/>
      <c r="AP207" s="108"/>
      <c r="AQ207" s="108"/>
      <c r="AR207" s="108"/>
    </row>
    <row r="208" spans="1:44" ht="48" customHeight="1" x14ac:dyDescent="0.3">
      <c r="A208" s="108">
        <v>55</v>
      </c>
      <c r="B208" s="4" t="s">
        <v>59</v>
      </c>
      <c r="C208" s="849" t="s">
        <v>1512</v>
      </c>
      <c r="D208" s="24" t="s">
        <v>1513</v>
      </c>
      <c r="E208" s="689" t="e">
        <f>HLOOKUP($D$2,'2020 Data(H)'!$C$1:$CR$397,42,FALSE)</f>
        <v>#N/A</v>
      </c>
      <c r="F208" s="299">
        <v>0</v>
      </c>
      <c r="G208" s="760"/>
      <c r="H208" s="17"/>
      <c r="I208" s="79"/>
      <c r="Z208" s="108"/>
      <c r="AA208" s="108"/>
      <c r="AB208" s="108"/>
      <c r="AC208" s="108"/>
      <c r="AD208" s="108"/>
      <c r="AE208" s="108"/>
      <c r="AF208" s="108"/>
      <c r="AG208" s="108"/>
      <c r="AH208" s="108"/>
      <c r="AI208" s="108"/>
      <c r="AJ208" s="108"/>
      <c r="AK208" s="108"/>
      <c r="AL208" s="108"/>
      <c r="AM208" s="108"/>
      <c r="AN208" s="108"/>
      <c r="AO208" s="108"/>
      <c r="AP208" s="108"/>
      <c r="AQ208" s="108"/>
      <c r="AR208" s="108"/>
    </row>
    <row r="209" spans="1:44" ht="60" customHeight="1" x14ac:dyDescent="0.3">
      <c r="A209" s="108">
        <v>101</v>
      </c>
      <c r="B209" s="4" t="s">
        <v>65</v>
      </c>
      <c r="C209" s="849" t="s">
        <v>1512</v>
      </c>
      <c r="D209" s="24" t="s">
        <v>1514</v>
      </c>
      <c r="E209" s="689" t="e">
        <f>HLOOKUP($D$2,'2020 Data(H)'!$C$1:$CR$397,61,FALSE)</f>
        <v>#N/A</v>
      </c>
      <c r="F209" s="299">
        <v>0</v>
      </c>
      <c r="G209" s="750">
        <f>IF(F209&lt;0,"Error: Enter as positive.",)</f>
        <v>0</v>
      </c>
      <c r="H209" s="17"/>
      <c r="I209" s="79"/>
      <c r="Z209" s="108"/>
      <c r="AA209" s="108"/>
      <c r="AB209" s="108"/>
      <c r="AC209" s="108"/>
      <c r="AD209" s="108"/>
      <c r="AE209" s="108"/>
      <c r="AF209" s="108"/>
      <c r="AG209" s="108"/>
      <c r="AH209" s="108"/>
      <c r="AI209" s="108"/>
      <c r="AJ209" s="108"/>
      <c r="AK209" s="108"/>
      <c r="AL209" s="108"/>
      <c r="AM209" s="108"/>
      <c r="AN209" s="108"/>
      <c r="AO209" s="108"/>
      <c r="AP209" s="108"/>
      <c r="AQ209" s="108"/>
      <c r="AR209" s="108"/>
    </row>
    <row r="210" spans="1:44" ht="71.25" customHeight="1" x14ac:dyDescent="0.3">
      <c r="A210" s="108">
        <v>100</v>
      </c>
      <c r="B210" s="4" t="s">
        <v>66</v>
      </c>
      <c r="C210" s="849" t="s">
        <v>1512</v>
      </c>
      <c r="D210" s="24" t="s">
        <v>1511</v>
      </c>
      <c r="E210" s="689" t="e">
        <f>HLOOKUP($D$2,'2020 Data(H)'!$C$1:$CR$397,60,FALSE)</f>
        <v>#N/A</v>
      </c>
      <c r="F210" s="299">
        <v>0</v>
      </c>
      <c r="G210" s="750">
        <f>IF(F210&lt;0,"Error: Enter as positive.",)</f>
        <v>0</v>
      </c>
      <c r="H210" s="17"/>
      <c r="I210" s="79"/>
      <c r="Z210" s="108"/>
      <c r="AA210" s="108"/>
      <c r="AB210" s="108"/>
      <c r="AC210" s="108"/>
      <c r="AD210" s="108"/>
      <c r="AE210" s="108"/>
      <c r="AF210" s="108"/>
      <c r="AG210" s="108"/>
      <c r="AH210" s="108"/>
      <c r="AI210" s="108"/>
      <c r="AJ210" s="108"/>
      <c r="AK210" s="108"/>
      <c r="AL210" s="108"/>
      <c r="AM210" s="108"/>
      <c r="AN210" s="108"/>
      <c r="AO210" s="108"/>
      <c r="AP210" s="108"/>
      <c r="AQ210" s="108"/>
      <c r="AR210" s="108"/>
    </row>
    <row r="211" spans="1:44" x14ac:dyDescent="0.3">
      <c r="A211" s="108"/>
      <c r="B211" s="860" t="s">
        <v>71</v>
      </c>
      <c r="C211" s="876"/>
      <c r="D211" s="860"/>
      <c r="E211" s="860"/>
      <c r="F211" s="893"/>
      <c r="G211" s="879"/>
      <c r="H211" s="17"/>
      <c r="I211" s="79"/>
      <c r="J211" s="595"/>
      <c r="Z211" s="108"/>
      <c r="AA211" s="108"/>
      <c r="AB211" s="108"/>
      <c r="AC211" s="108"/>
      <c r="AD211" s="108"/>
      <c r="AE211" s="108"/>
      <c r="AF211" s="108"/>
      <c r="AG211" s="108"/>
      <c r="AH211" s="108"/>
      <c r="AI211" s="108"/>
      <c r="AJ211" s="108"/>
      <c r="AK211" s="108"/>
      <c r="AL211" s="108"/>
      <c r="AM211" s="108"/>
      <c r="AN211" s="108"/>
      <c r="AO211" s="108"/>
      <c r="AP211" s="108"/>
      <c r="AQ211" s="108"/>
      <c r="AR211" s="108"/>
    </row>
    <row r="212" spans="1:44" ht="106.5" customHeight="1" x14ac:dyDescent="0.3">
      <c r="A212" s="108">
        <v>512</v>
      </c>
      <c r="B212" s="579"/>
      <c r="C212" s="849" t="s">
        <v>165</v>
      </c>
      <c r="D212" s="24" t="s">
        <v>1515</v>
      </c>
      <c r="E212" s="689" t="e">
        <f>HLOOKUP($D$2,'2020 Data(H)'!$C$1:$CR$397,162,FALSE)</f>
        <v>#N/A</v>
      </c>
      <c r="F212" s="299">
        <v>0</v>
      </c>
      <c r="G212" s="750">
        <f>IF(F212&lt;0,"Error: Enter as positive.",)</f>
        <v>0</v>
      </c>
      <c r="H212" s="17"/>
      <c r="I212" s="79"/>
      <c r="J212" s="595"/>
      <c r="Z212" s="108"/>
      <c r="AA212" s="108"/>
      <c r="AB212" s="108"/>
      <c r="AC212" s="108"/>
      <c r="AD212" s="108"/>
      <c r="AE212" s="108"/>
      <c r="AF212" s="108"/>
      <c r="AG212" s="108"/>
      <c r="AH212" s="108"/>
      <c r="AI212" s="108"/>
      <c r="AJ212" s="108"/>
      <c r="AK212" s="108"/>
      <c r="AL212" s="108"/>
      <c r="AM212" s="108"/>
      <c r="AN212" s="108"/>
      <c r="AO212" s="108"/>
      <c r="AP212" s="108"/>
      <c r="AQ212" s="108"/>
      <c r="AR212" s="108"/>
    </row>
    <row r="213" spans="1:44" x14ac:dyDescent="0.3">
      <c r="A213" s="108"/>
      <c r="B213" s="884" t="s">
        <v>815</v>
      </c>
      <c r="C213" s="885"/>
      <c r="D213" s="887"/>
      <c r="E213" s="894"/>
      <c r="F213" s="893"/>
      <c r="G213" s="879"/>
      <c r="H213" s="751"/>
      <c r="I213" s="752"/>
      <c r="Z213" s="108"/>
      <c r="AA213" s="108"/>
      <c r="AB213" s="108"/>
      <c r="AC213" s="108"/>
      <c r="AD213" s="108"/>
      <c r="AE213" s="108"/>
      <c r="AF213" s="108"/>
      <c r="AG213" s="108"/>
      <c r="AH213" s="108"/>
      <c r="AI213" s="108"/>
      <c r="AJ213" s="108"/>
      <c r="AK213" s="108"/>
      <c r="AL213" s="108"/>
      <c r="AM213" s="108"/>
      <c r="AN213" s="108"/>
      <c r="AO213" s="108"/>
      <c r="AP213" s="108"/>
      <c r="AQ213" s="108"/>
      <c r="AR213" s="108"/>
    </row>
    <row r="214" spans="1:44" ht="59.25" customHeight="1" x14ac:dyDescent="0.3">
      <c r="A214" s="313">
        <v>656</v>
      </c>
      <c r="B214" s="313"/>
      <c r="C214" s="313"/>
      <c r="D214" s="775" t="s">
        <v>816</v>
      </c>
      <c r="E214" s="689" t="e">
        <f>HLOOKUP($D$2,'2020 Data(H)'!$C$1:$CR$397,309,FALSE)</f>
        <v>#N/A</v>
      </c>
      <c r="F214" s="299">
        <v>0</v>
      </c>
      <c r="G214" s="750"/>
      <c r="H214" s="17"/>
      <c r="I214" s="79"/>
      <c r="J214" s="595"/>
      <c r="Z214" s="313"/>
      <c r="AA214" s="313"/>
      <c r="AB214" s="313"/>
      <c r="AC214" s="313"/>
      <c r="AD214" s="313"/>
      <c r="AE214" s="313"/>
      <c r="AF214" s="313"/>
      <c r="AG214" s="313"/>
      <c r="AH214" s="313"/>
      <c r="AI214" s="313"/>
      <c r="AJ214" s="313"/>
      <c r="AK214" s="313"/>
      <c r="AL214" s="313"/>
      <c r="AM214" s="313"/>
      <c r="AN214" s="313"/>
      <c r="AO214" s="313"/>
      <c r="AP214" s="313"/>
      <c r="AQ214" s="313"/>
      <c r="AR214" s="313"/>
    </row>
    <row r="215" spans="1:44" x14ac:dyDescent="0.3">
      <c r="A215" s="108"/>
      <c r="B215" s="884" t="s">
        <v>530</v>
      </c>
      <c r="C215" s="885"/>
      <c r="D215" s="887"/>
      <c r="E215" s="894"/>
      <c r="F215" s="893"/>
      <c r="G215" s="879"/>
      <c r="H215" s="751"/>
      <c r="I215" s="752"/>
      <c r="Z215" s="108"/>
      <c r="AA215" s="108"/>
      <c r="AB215" s="108"/>
      <c r="AC215" s="108"/>
      <c r="AD215" s="108"/>
      <c r="AE215" s="108"/>
      <c r="AF215" s="108"/>
      <c r="AG215" s="108"/>
      <c r="AH215" s="108"/>
      <c r="AI215" s="108"/>
      <c r="AJ215" s="108"/>
      <c r="AK215" s="108"/>
      <c r="AL215" s="108"/>
      <c r="AM215" s="108"/>
      <c r="AN215" s="108"/>
      <c r="AO215" s="108"/>
      <c r="AP215" s="108"/>
      <c r="AQ215" s="108"/>
      <c r="AR215" s="108"/>
    </row>
    <row r="216" spans="1:44" ht="121.5" customHeight="1" x14ac:dyDescent="0.3">
      <c r="A216" s="108">
        <v>535</v>
      </c>
      <c r="B216" s="691" t="s">
        <v>55</v>
      </c>
      <c r="C216" s="691" t="s">
        <v>166</v>
      </c>
      <c r="D216" s="24" t="s">
        <v>1516</v>
      </c>
      <c r="E216" s="689" t="e">
        <f>HLOOKUP($D$2,'2020 Data(H)'!$C$1:$CR$397,185,FALSE)</f>
        <v>#N/A</v>
      </c>
      <c r="F216" s="299">
        <v>0</v>
      </c>
      <c r="G216" s="750" t="str">
        <f>IF(F216&lt;1,"Reminder: Please make sure you have entered all cash and investments from bond/Debt proceeds, if applicable.",)</f>
        <v>Reminder: Please make sure you have entered all cash and investments from bond/Debt proceeds, if applicable.</v>
      </c>
      <c r="H216" s="751"/>
      <c r="I216" s="752"/>
      <c r="Z216" s="108"/>
      <c r="AA216" s="108"/>
      <c r="AB216" s="108"/>
      <c r="AC216" s="108"/>
      <c r="AD216" s="108"/>
      <c r="AE216" s="108"/>
      <c r="AF216" s="108"/>
      <c r="AG216" s="108"/>
      <c r="AH216" s="108"/>
      <c r="AI216" s="108"/>
      <c r="AJ216" s="108"/>
      <c r="AK216" s="108"/>
      <c r="AL216" s="108"/>
      <c r="AM216" s="108"/>
      <c r="AN216" s="108"/>
      <c r="AO216" s="108"/>
      <c r="AP216" s="108"/>
      <c r="AQ216" s="108"/>
      <c r="AR216" s="108"/>
    </row>
    <row r="217" spans="1:44" x14ac:dyDescent="0.3">
      <c r="A217" s="108"/>
      <c r="B217" s="884" t="s">
        <v>29</v>
      </c>
      <c r="C217" s="885"/>
      <c r="D217" s="861"/>
      <c r="E217" s="861"/>
      <c r="F217" s="890"/>
      <c r="G217" s="881"/>
      <c r="H217" s="17"/>
      <c r="I217" s="79"/>
      <c r="Z217" s="108"/>
      <c r="AA217" s="108"/>
      <c r="AB217" s="108"/>
      <c r="AC217" s="108"/>
      <c r="AD217" s="108"/>
      <c r="AE217" s="108"/>
      <c r="AF217" s="108"/>
      <c r="AG217" s="108"/>
      <c r="AH217" s="108"/>
      <c r="AI217" s="108"/>
      <c r="AJ217" s="108"/>
      <c r="AK217" s="108"/>
      <c r="AL217" s="108"/>
      <c r="AM217" s="108"/>
      <c r="AN217" s="108"/>
      <c r="AO217" s="108"/>
      <c r="AP217" s="108"/>
      <c r="AQ217" s="108"/>
      <c r="AR217" s="108"/>
    </row>
    <row r="218" spans="1:44" x14ac:dyDescent="0.3">
      <c r="A218" s="108"/>
      <c r="B218" s="579"/>
      <c r="C218" s="579"/>
      <c r="D218" s="776" t="s">
        <v>2</v>
      </c>
      <c r="E218" s="1"/>
      <c r="F218" s="164"/>
      <c r="G218" s="760"/>
      <c r="H218" s="17"/>
      <c r="I218" s="79"/>
      <c r="Z218" s="108"/>
      <c r="AA218" s="108"/>
      <c r="AB218" s="108"/>
      <c r="AC218" s="108"/>
      <c r="AD218" s="108"/>
      <c r="AE218" s="108"/>
      <c r="AF218" s="108"/>
      <c r="AG218" s="108"/>
      <c r="AH218" s="108"/>
      <c r="AI218" s="108"/>
      <c r="AJ218" s="108"/>
      <c r="AK218" s="108"/>
      <c r="AL218" s="108"/>
      <c r="AM218" s="108"/>
      <c r="AN218" s="108"/>
      <c r="AO218" s="108"/>
      <c r="AP218" s="108"/>
      <c r="AQ218" s="108"/>
      <c r="AR218" s="108"/>
    </row>
    <row r="219" spans="1:44" ht="36" customHeight="1" x14ac:dyDescent="0.3">
      <c r="A219" s="108"/>
      <c r="B219" s="579"/>
      <c r="C219" s="579"/>
      <c r="D219" s="690" t="s">
        <v>1517</v>
      </c>
      <c r="E219" s="1"/>
      <c r="F219" s="164"/>
      <c r="G219" s="760"/>
      <c r="H219" s="17"/>
      <c r="I219" s="79"/>
      <c r="Z219" s="108"/>
      <c r="AA219" s="108"/>
      <c r="AB219" s="108"/>
      <c r="AC219" s="108"/>
      <c r="AD219" s="108"/>
      <c r="AE219" s="108"/>
      <c r="AF219" s="108"/>
      <c r="AG219" s="108"/>
      <c r="AH219" s="108"/>
      <c r="AI219" s="108"/>
      <c r="AJ219" s="108"/>
      <c r="AK219" s="108"/>
      <c r="AL219" s="108"/>
      <c r="AM219" s="108"/>
      <c r="AN219" s="108"/>
      <c r="AO219" s="108"/>
      <c r="AP219" s="108"/>
      <c r="AQ219" s="108"/>
      <c r="AR219" s="108"/>
    </row>
    <row r="220" spans="1:44" ht="45.6" customHeight="1" x14ac:dyDescent="0.3">
      <c r="A220" s="108">
        <v>334</v>
      </c>
      <c r="B220" s="4" t="s">
        <v>56</v>
      </c>
      <c r="C220" s="4" t="s">
        <v>173</v>
      </c>
      <c r="D220" s="24" t="s">
        <v>1518</v>
      </c>
      <c r="E220" s="689" t="e">
        <f>HLOOKUP($D$2,'2020 Data(H)'!$C$1:$CR$397,100,FALSE)</f>
        <v>#N/A</v>
      </c>
      <c r="F220" s="299">
        <v>0</v>
      </c>
      <c r="G220" s="760"/>
      <c r="H220" s="17"/>
      <c r="I220" s="79"/>
      <c r="Z220" s="108"/>
      <c r="AA220" s="108"/>
      <c r="AB220" s="108"/>
      <c r="AC220" s="108"/>
      <c r="AD220" s="108"/>
      <c r="AE220" s="108"/>
      <c r="AF220" s="108"/>
      <c r="AG220" s="108"/>
      <c r="AH220" s="108"/>
      <c r="AI220" s="108"/>
      <c r="AJ220" s="108"/>
      <c r="AK220" s="108"/>
      <c r="AL220" s="108"/>
      <c r="AM220" s="108"/>
      <c r="AN220" s="108"/>
      <c r="AO220" s="108"/>
      <c r="AP220" s="108"/>
      <c r="AQ220" s="108"/>
      <c r="AR220" s="108"/>
    </row>
    <row r="221" spans="1:44" ht="45.6" customHeight="1" x14ac:dyDescent="0.3">
      <c r="A221" s="108">
        <v>373</v>
      </c>
      <c r="B221" s="4" t="s">
        <v>56</v>
      </c>
      <c r="C221" s="4" t="s">
        <v>173</v>
      </c>
      <c r="D221" s="29" t="s">
        <v>172</v>
      </c>
      <c r="E221" s="689" t="e">
        <f>HLOOKUP($D$2,'2020 Data(H)'!$C$1:$CR$397,133,FALSE)</f>
        <v>#N/A</v>
      </c>
      <c r="F221" s="299">
        <v>0</v>
      </c>
      <c r="G221" s="750">
        <f>IF(F221&lt;0,"Error: Enter as positive.",)</f>
        <v>0</v>
      </c>
      <c r="H221" s="17"/>
      <c r="I221" s="79"/>
      <c r="Z221" s="108"/>
      <c r="AA221" s="108"/>
      <c r="AB221" s="108"/>
      <c r="AC221" s="108"/>
      <c r="AD221" s="108"/>
      <c r="AE221" s="108"/>
      <c r="AF221" s="108"/>
      <c r="AG221" s="108"/>
      <c r="AH221" s="108"/>
      <c r="AI221" s="108"/>
      <c r="AJ221" s="108"/>
      <c r="AK221" s="108"/>
      <c r="AL221" s="108"/>
      <c r="AM221" s="108"/>
      <c r="AN221" s="108"/>
      <c r="AO221" s="108"/>
      <c r="AP221" s="108"/>
      <c r="AQ221" s="108"/>
      <c r="AR221" s="108"/>
    </row>
    <row r="222" spans="1:44" ht="92.25" customHeight="1" x14ac:dyDescent="0.3">
      <c r="A222" s="108">
        <v>987</v>
      </c>
      <c r="B222" s="848" t="s">
        <v>1052</v>
      </c>
      <c r="C222" s="848"/>
      <c r="D222" s="777" t="s">
        <v>1319</v>
      </c>
      <c r="E222" s="689" t="s">
        <v>1053</v>
      </c>
      <c r="F222" s="299">
        <v>0</v>
      </c>
      <c r="G222" s="778" t="str">
        <f>IF(F222="","If this question is not applicable please place a zero in the cell to the left","")</f>
        <v/>
      </c>
      <c r="H222" s="729"/>
      <c r="I222" s="79"/>
      <c r="Z222" s="108"/>
      <c r="AA222" s="108"/>
      <c r="AB222" s="108"/>
      <c r="AC222" s="108"/>
      <c r="AD222" s="108"/>
      <c r="AE222" s="108"/>
      <c r="AF222" s="108"/>
      <c r="AG222" s="108"/>
      <c r="AH222" s="108"/>
      <c r="AI222" s="108"/>
      <c r="AJ222" s="108"/>
      <c r="AK222" s="108"/>
      <c r="AL222" s="108"/>
      <c r="AM222" s="108"/>
      <c r="AN222" s="108"/>
      <c r="AO222" s="108"/>
      <c r="AP222" s="108"/>
      <c r="AQ222" s="108"/>
      <c r="AR222" s="108"/>
    </row>
    <row r="223" spans="1:44" ht="66.75" customHeight="1" x14ac:dyDescent="0.3">
      <c r="A223" s="108">
        <v>988</v>
      </c>
      <c r="B223" s="848" t="s">
        <v>1052</v>
      </c>
      <c r="C223" s="848"/>
      <c r="D223" s="777" t="s">
        <v>1316</v>
      </c>
      <c r="E223" s="689" t="s">
        <v>1053</v>
      </c>
      <c r="F223" s="299"/>
      <c r="G223" s="750"/>
      <c r="H223" s="17"/>
      <c r="I223" s="79"/>
      <c r="Z223" s="108"/>
      <c r="AA223" s="108"/>
      <c r="AB223" s="108"/>
      <c r="AC223" s="108"/>
      <c r="AD223" s="108"/>
      <c r="AE223" s="108"/>
      <c r="AF223" s="108"/>
      <c r="AG223" s="108"/>
      <c r="AH223" s="108"/>
      <c r="AI223" s="108"/>
      <c r="AJ223" s="108"/>
      <c r="AK223" s="108"/>
      <c r="AL223" s="108"/>
      <c r="AM223" s="108"/>
      <c r="AN223" s="108"/>
      <c r="AO223" s="108"/>
      <c r="AP223" s="108"/>
      <c r="AQ223" s="108"/>
      <c r="AR223" s="108"/>
    </row>
    <row r="224" spans="1:44" ht="90" customHeight="1" x14ac:dyDescent="0.3">
      <c r="A224" s="108">
        <v>989</v>
      </c>
      <c r="B224" s="848" t="s">
        <v>1052</v>
      </c>
      <c r="C224" s="848"/>
      <c r="D224" s="777" t="s">
        <v>1573</v>
      </c>
      <c r="E224" s="689" t="s">
        <v>1082</v>
      </c>
      <c r="F224" s="299"/>
      <c r="G224" s="750"/>
      <c r="H224" s="17"/>
      <c r="I224" s="79"/>
      <c r="Z224" s="108"/>
      <c r="AA224" s="108"/>
      <c r="AB224" s="108"/>
      <c r="AC224" s="108"/>
      <c r="AD224" s="108"/>
      <c r="AE224" s="108"/>
      <c r="AF224" s="108"/>
      <c r="AG224" s="108"/>
      <c r="AH224" s="108"/>
      <c r="AI224" s="108"/>
      <c r="AJ224" s="108"/>
      <c r="AK224" s="108"/>
      <c r="AL224" s="108"/>
      <c r="AM224" s="108"/>
      <c r="AN224" s="108"/>
      <c r="AO224" s="108"/>
      <c r="AP224" s="108"/>
      <c r="AQ224" s="108"/>
      <c r="AR224" s="108"/>
    </row>
    <row r="225" spans="1:44" x14ac:dyDescent="0.3">
      <c r="A225" s="108"/>
      <c r="B225" s="895"/>
      <c r="C225" s="895"/>
      <c r="D225" s="896"/>
      <c r="E225" s="897"/>
      <c r="F225" s="898"/>
      <c r="G225" s="899"/>
      <c r="H225" s="17"/>
      <c r="I225" s="79"/>
      <c r="Z225" s="108"/>
      <c r="AA225" s="108"/>
      <c r="AB225" s="108"/>
      <c r="AC225" s="108"/>
      <c r="AD225" s="108"/>
      <c r="AE225" s="108"/>
      <c r="AF225" s="108"/>
      <c r="AG225" s="108"/>
      <c r="AH225" s="108"/>
      <c r="AI225" s="108"/>
      <c r="AJ225" s="108"/>
      <c r="AK225" s="108"/>
      <c r="AL225" s="108"/>
      <c r="AM225" s="108"/>
      <c r="AN225" s="108"/>
      <c r="AO225" s="108"/>
      <c r="AP225" s="108"/>
      <c r="AQ225" s="108"/>
      <c r="AR225" s="108"/>
    </row>
    <row r="226" spans="1:44" ht="108" customHeight="1" x14ac:dyDescent="0.3">
      <c r="A226" s="108"/>
      <c r="B226" s="579"/>
      <c r="C226" s="579"/>
      <c r="D226" s="779" t="s">
        <v>1519</v>
      </c>
      <c r="E226" s="1"/>
      <c r="F226" s="381"/>
      <c r="G226" s="760"/>
      <c r="H226" s="17"/>
      <c r="I226" s="79"/>
      <c r="Z226" s="108"/>
      <c r="AA226" s="108"/>
      <c r="AB226" s="108"/>
      <c r="AC226" s="108"/>
      <c r="AD226" s="108"/>
      <c r="AE226" s="108"/>
      <c r="AF226" s="108"/>
      <c r="AG226" s="108"/>
      <c r="AH226" s="108"/>
      <c r="AI226" s="108"/>
      <c r="AJ226" s="108"/>
      <c r="AK226" s="108"/>
      <c r="AL226" s="108"/>
      <c r="AM226" s="108"/>
      <c r="AN226" s="108"/>
      <c r="AO226" s="108"/>
      <c r="AP226" s="108"/>
      <c r="AQ226" s="108"/>
      <c r="AR226" s="108"/>
    </row>
    <row r="227" spans="1:44" ht="48.75" customHeight="1" x14ac:dyDescent="0.3">
      <c r="A227" s="108"/>
      <c r="B227" s="579"/>
      <c r="C227" s="579"/>
      <c r="D227" s="24" t="s">
        <v>1520</v>
      </c>
      <c r="E227" s="1"/>
      <c r="F227" s="381"/>
      <c r="G227" s="760"/>
      <c r="H227" s="17"/>
      <c r="I227" s="79"/>
      <c r="Z227" s="108"/>
      <c r="AA227" s="108"/>
      <c r="AB227" s="108"/>
      <c r="AC227" s="108"/>
      <c r="AD227" s="108"/>
      <c r="AE227" s="108"/>
      <c r="AF227" s="108"/>
      <c r="AG227" s="108"/>
      <c r="AH227" s="108"/>
      <c r="AI227" s="108"/>
      <c r="AJ227" s="108"/>
      <c r="AK227" s="108"/>
      <c r="AL227" s="108"/>
      <c r="AM227" s="108"/>
      <c r="AN227" s="108"/>
      <c r="AO227" s="108"/>
      <c r="AP227" s="108"/>
      <c r="AQ227" s="108"/>
      <c r="AR227" s="108"/>
    </row>
    <row r="228" spans="1:44" ht="51.75" customHeight="1" x14ac:dyDescent="0.3">
      <c r="A228" s="108">
        <v>327</v>
      </c>
      <c r="B228" s="691" t="s">
        <v>37</v>
      </c>
      <c r="C228" s="691" t="s">
        <v>174</v>
      </c>
      <c r="D228" s="780" t="s">
        <v>1521</v>
      </c>
      <c r="E228" s="689" t="e">
        <f>HLOOKUP($D$2,'2020 Data(H)'!$C$1:$CR$397,94,FALSE)</f>
        <v>#N/A</v>
      </c>
      <c r="F228" s="279">
        <v>0</v>
      </c>
      <c r="G228" s="760"/>
      <c r="H228" s="17"/>
      <c r="I228" s="752"/>
      <c r="Z228" s="108"/>
      <c r="AA228" s="108"/>
      <c r="AB228" s="108"/>
      <c r="AC228" s="108"/>
      <c r="AD228" s="108"/>
      <c r="AE228" s="108"/>
      <c r="AF228" s="108"/>
      <c r="AG228" s="108"/>
      <c r="AH228" s="108"/>
      <c r="AI228" s="108"/>
      <c r="AJ228" s="108"/>
      <c r="AK228" s="108"/>
      <c r="AL228" s="108"/>
      <c r="AM228" s="108"/>
      <c r="AN228" s="108"/>
      <c r="AO228" s="108"/>
      <c r="AP228" s="108"/>
      <c r="AQ228" s="108"/>
      <c r="AR228" s="108"/>
    </row>
    <row r="229" spans="1:44" ht="51.75" customHeight="1" x14ac:dyDescent="0.3">
      <c r="A229" s="108">
        <v>328</v>
      </c>
      <c r="B229" s="691" t="s">
        <v>37</v>
      </c>
      <c r="C229" s="691" t="s">
        <v>174</v>
      </c>
      <c r="D229" s="30" t="s">
        <v>7</v>
      </c>
      <c r="E229" s="689" t="e">
        <f>HLOOKUP($D$2,'2020 Data(H)'!$C$1:$CR$397,95,FALSE)</f>
        <v>#N/A</v>
      </c>
      <c r="F229" s="279">
        <v>0</v>
      </c>
      <c r="G229" s="760"/>
      <c r="H229" s="17"/>
      <c r="I229" s="752"/>
      <c r="Z229" s="108"/>
      <c r="AA229" s="108"/>
      <c r="AB229" s="108"/>
      <c r="AC229" s="108"/>
      <c r="AD229" s="108"/>
      <c r="AE229" s="108"/>
      <c r="AF229" s="108"/>
      <c r="AG229" s="108"/>
      <c r="AH229" s="108"/>
      <c r="AI229" s="108"/>
      <c r="AJ229" s="108"/>
      <c r="AK229" s="108"/>
      <c r="AL229" s="108"/>
      <c r="AM229" s="108"/>
      <c r="AN229" s="108"/>
      <c r="AO229" s="108"/>
      <c r="AP229" s="108"/>
      <c r="AQ229" s="108"/>
      <c r="AR229" s="108"/>
    </row>
    <row r="230" spans="1:44" ht="42" customHeight="1" x14ac:dyDescent="0.3">
      <c r="A230" s="108"/>
      <c r="B230" s="579"/>
      <c r="C230" s="579"/>
      <c r="D230" s="31" t="s">
        <v>1522</v>
      </c>
      <c r="E230" s="101" t="e">
        <f>SUM(E228:E229)</f>
        <v>#N/A</v>
      </c>
      <c r="F230" s="101">
        <f>SUM(F228:F229)</f>
        <v>0</v>
      </c>
      <c r="G230" s="760"/>
      <c r="H230" s="17"/>
      <c r="I230" s="79"/>
      <c r="Z230" s="108"/>
      <c r="AA230" s="108"/>
      <c r="AB230" s="108"/>
      <c r="AC230" s="108"/>
      <c r="AD230" s="108"/>
      <c r="AE230" s="108"/>
      <c r="AF230" s="108"/>
      <c r="AG230" s="108"/>
      <c r="AH230" s="108"/>
      <c r="AI230" s="108"/>
      <c r="AJ230" s="108"/>
      <c r="AK230" s="108"/>
      <c r="AL230" s="108"/>
      <c r="AM230" s="108"/>
      <c r="AN230" s="108"/>
      <c r="AO230" s="108"/>
      <c r="AP230" s="108"/>
      <c r="AQ230" s="108"/>
      <c r="AR230" s="108"/>
    </row>
    <row r="231" spans="1:44" ht="28.8" x14ac:dyDescent="0.3">
      <c r="A231" s="108"/>
      <c r="B231" s="579"/>
      <c r="C231" s="579"/>
      <c r="D231" s="24" t="s">
        <v>1523</v>
      </c>
      <c r="E231" s="1"/>
      <c r="F231" s="381"/>
      <c r="G231" s="760"/>
      <c r="H231" s="17"/>
      <c r="I231" s="79"/>
      <c r="Z231" s="108"/>
      <c r="AA231" s="108"/>
      <c r="AB231" s="108"/>
      <c r="AC231" s="108"/>
      <c r="AD231" s="108"/>
      <c r="AE231" s="108"/>
      <c r="AF231" s="108"/>
      <c r="AG231" s="108"/>
      <c r="AH231" s="108"/>
      <c r="AI231" s="108"/>
      <c r="AJ231" s="108"/>
      <c r="AK231" s="108"/>
      <c r="AL231" s="108"/>
      <c r="AM231" s="108"/>
      <c r="AN231" s="108"/>
      <c r="AO231" s="108"/>
      <c r="AP231" s="108"/>
      <c r="AQ231" s="108"/>
      <c r="AR231" s="108"/>
    </row>
    <row r="232" spans="1:44" ht="24" customHeight="1" x14ac:dyDescent="0.3">
      <c r="A232" s="108"/>
      <c r="B232" s="579"/>
      <c r="C232" s="579"/>
      <c r="D232" s="28" t="s">
        <v>9</v>
      </c>
      <c r="F232" s="781"/>
      <c r="G232" s="760"/>
      <c r="H232" s="17"/>
      <c r="I232" s="79"/>
      <c r="Z232" s="108"/>
      <c r="AA232" s="108"/>
      <c r="AB232" s="108"/>
      <c r="AC232" s="108"/>
      <c r="AD232" s="108"/>
      <c r="AE232" s="108"/>
      <c r="AF232" s="108"/>
      <c r="AG232" s="108"/>
      <c r="AH232" s="108"/>
      <c r="AI232" s="108"/>
      <c r="AJ232" s="108"/>
      <c r="AK232" s="108"/>
      <c r="AL232" s="108"/>
      <c r="AM232" s="108"/>
      <c r="AN232" s="108"/>
      <c r="AO232" s="108"/>
      <c r="AP232" s="108"/>
      <c r="AQ232" s="108"/>
      <c r="AR232" s="108"/>
    </row>
    <row r="233" spans="1:44" ht="52.5" customHeight="1" x14ac:dyDescent="0.3">
      <c r="A233" s="108">
        <v>515</v>
      </c>
      <c r="B233" s="691" t="s">
        <v>526</v>
      </c>
      <c r="C233" s="691" t="s">
        <v>175</v>
      </c>
      <c r="D233" s="32" t="s">
        <v>3</v>
      </c>
      <c r="E233" s="689" t="e">
        <f>HLOOKUP($D$2,'2020 Data(H)'!$C$1:$CR$397,165,FALSE)</f>
        <v>#N/A</v>
      </c>
      <c r="F233" s="299">
        <v>0</v>
      </c>
      <c r="G233" s="750"/>
      <c r="H233" s="17"/>
      <c r="I233" s="79"/>
      <c r="Z233" s="108"/>
      <c r="AA233" s="108"/>
      <c r="AB233" s="108"/>
      <c r="AC233" s="108"/>
      <c r="AD233" s="108"/>
      <c r="AE233" s="108"/>
      <c r="AF233" s="108"/>
      <c r="AG233" s="108"/>
      <c r="AH233" s="108"/>
      <c r="AI233" s="108"/>
      <c r="AJ233" s="108"/>
      <c r="AK233" s="108"/>
      <c r="AL233" s="108"/>
      <c r="AM233" s="108"/>
      <c r="AN233" s="108"/>
      <c r="AO233" s="108"/>
      <c r="AP233" s="108"/>
      <c r="AQ233" s="108"/>
      <c r="AR233" s="108"/>
    </row>
    <row r="234" spans="1:44" ht="57" customHeight="1" x14ac:dyDescent="0.3">
      <c r="A234" s="108">
        <v>516</v>
      </c>
      <c r="B234" s="691" t="s">
        <v>526</v>
      </c>
      <c r="C234" s="691" t="s">
        <v>175</v>
      </c>
      <c r="D234" s="32" t="s">
        <v>4</v>
      </c>
      <c r="E234" s="689" t="e">
        <f>HLOOKUP($D$2,'2020 Data(H)'!$C$1:$CR$397,166,FALSE)</f>
        <v>#N/A</v>
      </c>
      <c r="F234" s="299">
        <v>0</v>
      </c>
      <c r="G234" s="750"/>
      <c r="H234" s="17"/>
      <c r="I234" s="79"/>
      <c r="Z234" s="108"/>
      <c r="AA234" s="108"/>
      <c r="AB234" s="108"/>
      <c r="AC234" s="108"/>
      <c r="AD234" s="108"/>
      <c r="AE234" s="108"/>
      <c r="AF234" s="108"/>
      <c r="AG234" s="108"/>
      <c r="AH234" s="108"/>
      <c r="AI234" s="108"/>
      <c r="AJ234" s="108"/>
      <c r="AK234" s="108"/>
      <c r="AL234" s="108"/>
      <c r="AM234" s="108"/>
      <c r="AN234" s="108"/>
      <c r="AO234" s="108"/>
      <c r="AP234" s="108"/>
      <c r="AQ234" s="108"/>
      <c r="AR234" s="108"/>
    </row>
    <row r="235" spans="1:44" ht="60.75" customHeight="1" x14ac:dyDescent="0.3">
      <c r="A235" s="108">
        <v>517</v>
      </c>
      <c r="B235" s="691" t="s">
        <v>526</v>
      </c>
      <c r="C235" s="691" t="s">
        <v>175</v>
      </c>
      <c r="D235" s="32" t="s">
        <v>5</v>
      </c>
      <c r="E235" s="689" t="e">
        <f>HLOOKUP($D$2,'2020 Data(H)'!$C$1:$CR$397,167,FALSE)</f>
        <v>#N/A</v>
      </c>
      <c r="F235" s="299">
        <v>0</v>
      </c>
      <c r="G235" s="750"/>
      <c r="H235" s="17"/>
      <c r="I235" s="79"/>
      <c r="Z235" s="108"/>
      <c r="AA235" s="108"/>
      <c r="AB235" s="108"/>
      <c r="AC235" s="108"/>
      <c r="AD235" s="108"/>
      <c r="AE235" s="108"/>
      <c r="AF235" s="108"/>
      <c r="AG235" s="108"/>
      <c r="AH235" s="108"/>
      <c r="AI235" s="108"/>
      <c r="AJ235" s="108"/>
      <c r="AK235" s="108"/>
      <c r="AL235" s="108"/>
      <c r="AM235" s="108"/>
      <c r="AN235" s="108"/>
      <c r="AO235" s="108"/>
      <c r="AP235" s="108"/>
      <c r="AQ235" s="108"/>
      <c r="AR235" s="108"/>
    </row>
    <row r="236" spans="1:44" ht="66" customHeight="1" x14ac:dyDescent="0.3">
      <c r="A236" s="108">
        <v>518</v>
      </c>
      <c r="B236" s="691" t="s">
        <v>526</v>
      </c>
      <c r="C236" s="691" t="s">
        <v>175</v>
      </c>
      <c r="D236" s="32" t="s">
        <v>39</v>
      </c>
      <c r="E236" s="689" t="e">
        <f>HLOOKUP($D$2,'2020 Data(H)'!$C$1:$CR$397,168,FALSE)</f>
        <v>#N/A</v>
      </c>
      <c r="F236" s="299">
        <v>0</v>
      </c>
      <c r="G236" s="750"/>
      <c r="H236" s="17"/>
      <c r="I236" s="79"/>
      <c r="Z236" s="108"/>
      <c r="AA236" s="108"/>
      <c r="AB236" s="108"/>
      <c r="AC236" s="108"/>
      <c r="AD236" s="108"/>
      <c r="AE236" s="108"/>
      <c r="AF236" s="108"/>
      <c r="AG236" s="108"/>
      <c r="AH236" s="108"/>
      <c r="AI236" s="108"/>
      <c r="AJ236" s="108"/>
      <c r="AK236" s="108"/>
      <c r="AL236" s="108"/>
      <c r="AM236" s="108"/>
      <c r="AN236" s="108"/>
      <c r="AO236" s="108"/>
      <c r="AP236" s="108"/>
      <c r="AQ236" s="108"/>
      <c r="AR236" s="108"/>
    </row>
    <row r="237" spans="1:44" ht="51" customHeight="1" x14ac:dyDescent="0.3">
      <c r="A237" s="303"/>
      <c r="B237" s="579"/>
      <c r="C237" s="579"/>
      <c r="D237" s="782" t="s">
        <v>1524</v>
      </c>
      <c r="E237" s="101" t="e">
        <f>SUM(E233:E236)</f>
        <v>#N/A</v>
      </c>
      <c r="F237" s="101">
        <f>SUM(F233:F236)</f>
        <v>0</v>
      </c>
      <c r="G237" s="760"/>
      <c r="H237" s="17"/>
      <c r="I237" s="79"/>
      <c r="Z237" s="303"/>
      <c r="AA237" s="303"/>
      <c r="AB237" s="303"/>
      <c r="AC237" s="303"/>
      <c r="AD237" s="303"/>
      <c r="AE237" s="303"/>
      <c r="AF237" s="303"/>
      <c r="AG237" s="303"/>
      <c r="AH237" s="303"/>
      <c r="AI237" s="303"/>
      <c r="AJ237" s="303"/>
      <c r="AK237" s="303"/>
      <c r="AL237" s="303"/>
      <c r="AM237" s="303"/>
      <c r="AN237" s="303"/>
      <c r="AO237" s="303"/>
      <c r="AP237" s="303"/>
      <c r="AQ237" s="303"/>
      <c r="AR237" s="303"/>
    </row>
    <row r="238" spans="1:44" ht="30.75" customHeight="1" x14ac:dyDescent="0.3">
      <c r="A238" s="108"/>
      <c r="B238" s="579"/>
      <c r="C238" s="579"/>
      <c r="D238" s="28" t="s">
        <v>48</v>
      </c>
      <c r="E238" s="1"/>
      <c r="F238" s="381"/>
      <c r="G238" s="760"/>
      <c r="H238" s="17"/>
      <c r="I238" s="79"/>
      <c r="Z238" s="108"/>
      <c r="AA238" s="108"/>
      <c r="AB238" s="108"/>
      <c r="AC238" s="108"/>
      <c r="AD238" s="108"/>
      <c r="AE238" s="108"/>
      <c r="AF238" s="108"/>
      <c r="AG238" s="108"/>
      <c r="AH238" s="108"/>
      <c r="AI238" s="108"/>
      <c r="AJ238" s="108"/>
      <c r="AK238" s="108"/>
      <c r="AL238" s="108"/>
      <c r="AM238" s="108"/>
      <c r="AN238" s="108"/>
      <c r="AO238" s="108"/>
      <c r="AP238" s="108"/>
      <c r="AQ238" s="108"/>
      <c r="AR238" s="108"/>
    </row>
    <row r="239" spans="1:44" ht="63" customHeight="1" x14ac:dyDescent="0.3">
      <c r="A239" s="108">
        <v>519</v>
      </c>
      <c r="B239" s="691" t="s">
        <v>37</v>
      </c>
      <c r="C239" s="691" t="s">
        <v>176</v>
      </c>
      <c r="D239" s="32" t="s">
        <v>14</v>
      </c>
      <c r="E239" s="689" t="e">
        <f>HLOOKUP($D$2,'2020 Data(H)'!$C$1:$CR$397,169,FALSE)</f>
        <v>#N/A</v>
      </c>
      <c r="F239" s="299">
        <v>0</v>
      </c>
      <c r="G239" s="750">
        <f>IF(F239&lt;0,"Error: Enter as positive.",)</f>
        <v>0</v>
      </c>
      <c r="H239" s="17"/>
      <c r="I239" s="79"/>
      <c r="Z239" s="108"/>
      <c r="AA239" s="108"/>
      <c r="AB239" s="108"/>
      <c r="AC239" s="108"/>
      <c r="AD239" s="108"/>
      <c r="AE239" s="108"/>
      <c r="AF239" s="108"/>
      <c r="AG239" s="108"/>
      <c r="AH239" s="108"/>
      <c r="AI239" s="108"/>
      <c r="AJ239" s="108"/>
      <c r="AK239" s="108"/>
      <c r="AL239" s="108"/>
      <c r="AM239" s="108"/>
      <c r="AN239" s="108"/>
      <c r="AO239" s="108"/>
      <c r="AP239" s="108"/>
      <c r="AQ239" s="108"/>
      <c r="AR239" s="108"/>
    </row>
    <row r="240" spans="1:44" ht="69.75" customHeight="1" x14ac:dyDescent="0.3">
      <c r="A240" s="108">
        <v>520</v>
      </c>
      <c r="B240" s="691" t="s">
        <v>37</v>
      </c>
      <c r="C240" s="691" t="s">
        <v>176</v>
      </c>
      <c r="D240" s="32" t="s">
        <v>16</v>
      </c>
      <c r="E240" s="689" t="e">
        <f>HLOOKUP($D$2,'2020 Data(H)'!$C$1:$CR$397,170,FALSE)</f>
        <v>#N/A</v>
      </c>
      <c r="F240" s="299">
        <v>0</v>
      </c>
      <c r="G240" s="750">
        <f>IF(F240&lt;0,"Error: Enter as positive.",)</f>
        <v>0</v>
      </c>
      <c r="H240" s="17"/>
      <c r="I240" s="79"/>
      <c r="Z240" s="108"/>
      <c r="AA240" s="108"/>
      <c r="AB240" s="108"/>
      <c r="AC240" s="108"/>
      <c r="AD240" s="108"/>
      <c r="AE240" s="108"/>
      <c r="AF240" s="108"/>
      <c r="AG240" s="108"/>
      <c r="AH240" s="108"/>
      <c r="AI240" s="108"/>
      <c r="AJ240" s="108"/>
      <c r="AK240" s="108"/>
      <c r="AL240" s="108"/>
      <c r="AM240" s="108"/>
      <c r="AN240" s="108"/>
      <c r="AO240" s="108"/>
      <c r="AP240" s="108"/>
      <c r="AQ240" s="108"/>
      <c r="AR240" s="108"/>
    </row>
    <row r="241" spans="1:44" ht="72" customHeight="1" x14ac:dyDescent="0.3">
      <c r="A241" s="108">
        <v>521</v>
      </c>
      <c r="B241" s="691" t="s">
        <v>37</v>
      </c>
      <c r="C241" s="691" t="s">
        <v>176</v>
      </c>
      <c r="D241" s="32" t="s">
        <v>18</v>
      </c>
      <c r="E241" s="689" t="e">
        <f>HLOOKUP($D$2,'2020 Data(H)'!$C$1:$CR$397,171,FALSE)</f>
        <v>#N/A</v>
      </c>
      <c r="F241" s="299">
        <v>0</v>
      </c>
      <c r="G241" s="750">
        <f>IF(F241&lt;0,"Error: Enter as positive.",)</f>
        <v>0</v>
      </c>
      <c r="H241" s="17"/>
      <c r="I241" s="79"/>
      <c r="Z241" s="108"/>
      <c r="AA241" s="108"/>
      <c r="AB241" s="108"/>
      <c r="AC241" s="108"/>
      <c r="AD241" s="108"/>
      <c r="AE241" s="108"/>
      <c r="AF241" s="108"/>
      <c r="AG241" s="108"/>
      <c r="AH241" s="108"/>
      <c r="AI241" s="108"/>
      <c r="AJ241" s="108"/>
      <c r="AK241" s="108"/>
      <c r="AL241" s="108"/>
      <c r="AM241" s="108"/>
      <c r="AN241" s="108"/>
      <c r="AO241" s="108"/>
      <c r="AP241" s="108"/>
      <c r="AQ241" s="108"/>
      <c r="AR241" s="108"/>
    </row>
    <row r="242" spans="1:44" ht="74.25" customHeight="1" x14ac:dyDescent="0.3">
      <c r="A242" s="108">
        <v>522</v>
      </c>
      <c r="B242" s="691" t="s">
        <v>37</v>
      </c>
      <c r="C242" s="691" t="s">
        <v>176</v>
      </c>
      <c r="D242" s="32" t="s">
        <v>40</v>
      </c>
      <c r="E242" s="689" t="e">
        <f>HLOOKUP($D$2,'2020 Data(H)'!$C$1:$CR$397,172,FALSE)</f>
        <v>#N/A</v>
      </c>
      <c r="F242" s="299">
        <v>0</v>
      </c>
      <c r="G242" s="750">
        <f>IF(F242&lt;0,"Error: Enter as positive.",)</f>
        <v>0</v>
      </c>
      <c r="H242" s="17"/>
      <c r="I242" s="79"/>
      <c r="Z242" s="108"/>
      <c r="AA242" s="108"/>
      <c r="AB242" s="108"/>
      <c r="AC242" s="108"/>
      <c r="AD242" s="108"/>
      <c r="AE242" s="108"/>
      <c r="AF242" s="108"/>
      <c r="AG242" s="108"/>
      <c r="AH242" s="108"/>
      <c r="AI242" s="108"/>
      <c r="AJ242" s="108"/>
      <c r="AK242" s="108"/>
      <c r="AL242" s="108"/>
      <c r="AM242" s="108"/>
      <c r="AN242" s="108"/>
      <c r="AO242" s="108"/>
      <c r="AP242" s="108"/>
      <c r="AQ242" s="108"/>
      <c r="AR242" s="108"/>
    </row>
    <row r="243" spans="1:44" ht="31.5" customHeight="1" x14ac:dyDescent="0.3">
      <c r="A243" s="6"/>
      <c r="B243" s="579"/>
      <c r="C243" s="579"/>
      <c r="D243" s="783" t="s">
        <v>34</v>
      </c>
      <c r="E243" s="101" t="e">
        <f>SUM(E239:E242)</f>
        <v>#N/A</v>
      </c>
      <c r="F243" s="101">
        <f>SUM(F239:F242)</f>
        <v>0</v>
      </c>
      <c r="G243" s="131"/>
      <c r="H243" s="17"/>
      <c r="I243" s="79"/>
      <c r="Z243" s="6"/>
      <c r="AA243" s="6"/>
      <c r="AB243" s="6"/>
      <c r="AC243" s="6"/>
      <c r="AD243" s="6"/>
      <c r="AE243" s="6"/>
      <c r="AF243" s="6"/>
      <c r="AG243" s="6"/>
      <c r="AH243" s="6"/>
      <c r="AI243" s="6"/>
      <c r="AJ243" s="6"/>
      <c r="AK243" s="6"/>
      <c r="AL243" s="6"/>
      <c r="AM243" s="6"/>
      <c r="AN243" s="6"/>
      <c r="AO243" s="6"/>
      <c r="AP243" s="6"/>
      <c r="AQ243" s="6"/>
      <c r="AR243" s="6"/>
    </row>
    <row r="244" spans="1:44" ht="26.25" customHeight="1" x14ac:dyDescent="0.3">
      <c r="A244" s="6"/>
      <c r="B244" s="579"/>
      <c r="C244" s="579"/>
      <c r="D244" s="28" t="s">
        <v>32</v>
      </c>
      <c r="E244" s="6"/>
      <c r="F244" s="784"/>
      <c r="G244" s="131"/>
      <c r="H244" s="17"/>
      <c r="I244" s="79"/>
      <c r="Z244" s="6"/>
      <c r="AA244" s="6"/>
      <c r="AB244" s="6"/>
      <c r="AC244" s="6"/>
      <c r="AD244" s="6"/>
      <c r="AE244" s="6"/>
      <c r="AF244" s="6"/>
      <c r="AG244" s="6"/>
      <c r="AH244" s="6"/>
      <c r="AI244" s="6"/>
      <c r="AJ244" s="6"/>
      <c r="AK244" s="6"/>
      <c r="AL244" s="6"/>
      <c r="AM244" s="6"/>
      <c r="AN244" s="6"/>
      <c r="AO244" s="6"/>
      <c r="AP244" s="6"/>
      <c r="AQ244" s="6"/>
      <c r="AR244" s="6"/>
    </row>
    <row r="245" spans="1:44" ht="89.25" customHeight="1" x14ac:dyDescent="0.3">
      <c r="A245" s="108">
        <v>523</v>
      </c>
      <c r="B245" s="691" t="s">
        <v>526</v>
      </c>
      <c r="C245" s="691" t="s">
        <v>177</v>
      </c>
      <c r="D245" s="32" t="s">
        <v>15</v>
      </c>
      <c r="E245" s="689" t="e">
        <f>HLOOKUP($D$2,'2020 Data(H)'!$C$1:$CR$397,173,FALSE)</f>
        <v>#N/A</v>
      </c>
      <c r="F245" s="299">
        <v>0</v>
      </c>
      <c r="G245" s="750">
        <f>IF(F245&lt;0,"Error: Enter as positive.",)</f>
        <v>0</v>
      </c>
      <c r="H245" s="17"/>
      <c r="I245" s="79"/>
      <c r="Z245" s="108"/>
      <c r="AA245" s="108"/>
      <c r="AB245" s="108"/>
      <c r="AC245" s="108"/>
      <c r="AD245" s="108"/>
      <c r="AE245" s="108"/>
      <c r="AF245" s="108"/>
      <c r="AG245" s="108"/>
      <c r="AH245" s="108"/>
      <c r="AI245" s="108"/>
      <c r="AJ245" s="108"/>
      <c r="AK245" s="108"/>
      <c r="AL245" s="108"/>
      <c r="AM245" s="108"/>
      <c r="AN245" s="108"/>
      <c r="AO245" s="108"/>
      <c r="AP245" s="108"/>
      <c r="AQ245" s="108"/>
      <c r="AR245" s="108"/>
    </row>
    <row r="246" spans="1:44" ht="75" customHeight="1" x14ac:dyDescent="0.3">
      <c r="A246" s="108">
        <v>524</v>
      </c>
      <c r="B246" s="691" t="s">
        <v>526</v>
      </c>
      <c r="C246" s="691" t="s">
        <v>177</v>
      </c>
      <c r="D246" s="32" t="s">
        <v>17</v>
      </c>
      <c r="E246" s="689" t="e">
        <f>HLOOKUP($D$2,'2020 Data(H)'!$C$1:$CR$397,174,FALSE)</f>
        <v>#N/A</v>
      </c>
      <c r="F246" s="299">
        <v>0</v>
      </c>
      <c r="G246" s="750">
        <f>IF(F246&lt;0,"Error: Enter as positive.",)</f>
        <v>0</v>
      </c>
      <c r="H246" s="17"/>
      <c r="I246" s="79"/>
      <c r="Z246" s="108"/>
      <c r="AA246" s="108"/>
      <c r="AB246" s="108"/>
      <c r="AC246" s="108"/>
      <c r="AD246" s="108"/>
      <c r="AE246" s="108"/>
      <c r="AF246" s="108"/>
      <c r="AG246" s="108"/>
      <c r="AH246" s="108"/>
      <c r="AI246" s="108"/>
      <c r="AJ246" s="108"/>
      <c r="AK246" s="108"/>
      <c r="AL246" s="108"/>
      <c r="AM246" s="108"/>
      <c r="AN246" s="108"/>
      <c r="AO246" s="108"/>
      <c r="AP246" s="108"/>
      <c r="AQ246" s="108"/>
      <c r="AR246" s="108"/>
    </row>
    <row r="247" spans="1:44" ht="75" customHeight="1" x14ac:dyDescent="0.3">
      <c r="A247" s="108">
        <v>525</v>
      </c>
      <c r="B247" s="691" t="s">
        <v>526</v>
      </c>
      <c r="C247" s="691" t="s">
        <v>177</v>
      </c>
      <c r="D247" s="32" t="s">
        <v>19</v>
      </c>
      <c r="E247" s="689" t="e">
        <f>HLOOKUP($D$2,'2020 Data(H)'!$C$1:$CR$397,175,FALSE)</f>
        <v>#N/A</v>
      </c>
      <c r="F247" s="299">
        <v>0</v>
      </c>
      <c r="G247" s="750">
        <f>IF(F247&lt;0,"Error: Enter as positive.",)</f>
        <v>0</v>
      </c>
      <c r="H247" s="17"/>
      <c r="I247" s="79"/>
      <c r="Z247" s="108"/>
      <c r="AA247" s="108"/>
      <c r="AB247" s="108"/>
      <c r="AC247" s="108"/>
      <c r="AD247" s="108"/>
      <c r="AE247" s="108"/>
      <c r="AF247" s="108"/>
      <c r="AG247" s="108"/>
      <c r="AH247" s="108"/>
      <c r="AI247" s="108"/>
      <c r="AJ247" s="108"/>
      <c r="AK247" s="108"/>
      <c r="AL247" s="108"/>
      <c r="AM247" s="108"/>
      <c r="AN247" s="108"/>
      <c r="AO247" s="108"/>
      <c r="AP247" s="108"/>
      <c r="AQ247" s="108"/>
      <c r="AR247" s="108"/>
    </row>
    <row r="248" spans="1:44" ht="76.5" customHeight="1" x14ac:dyDescent="0.3">
      <c r="A248" s="108">
        <v>526</v>
      </c>
      <c r="B248" s="691" t="s">
        <v>526</v>
      </c>
      <c r="C248" s="691" t="s">
        <v>177</v>
      </c>
      <c r="D248" s="32" t="s">
        <v>41</v>
      </c>
      <c r="E248" s="689" t="e">
        <f>HLOOKUP($D$2,'2020 Data(H)'!$C$1:$CR$397,176,FALSE)</f>
        <v>#N/A</v>
      </c>
      <c r="F248" s="299">
        <v>0</v>
      </c>
      <c r="G248" s="750">
        <f>IF(F248&lt;0,"Error: Enter as positive.",)</f>
        <v>0</v>
      </c>
      <c r="H248" s="17"/>
      <c r="I248" s="79"/>
      <c r="Z248" s="108"/>
      <c r="AA248" s="108"/>
      <c r="AB248" s="108"/>
      <c r="AC248" s="108"/>
      <c r="AD248" s="108"/>
      <c r="AE248" s="108"/>
      <c r="AF248" s="108"/>
      <c r="AG248" s="108"/>
      <c r="AH248" s="108"/>
      <c r="AI248" s="108"/>
      <c r="AJ248" s="108"/>
      <c r="AK248" s="108"/>
      <c r="AL248" s="108"/>
      <c r="AM248" s="108"/>
      <c r="AN248" s="108"/>
      <c r="AO248" s="108"/>
      <c r="AP248" s="108"/>
      <c r="AQ248" s="108"/>
      <c r="AR248" s="108"/>
    </row>
    <row r="249" spans="1:44" ht="24.75" customHeight="1" x14ac:dyDescent="0.3">
      <c r="A249" s="108"/>
      <c r="B249" s="850"/>
      <c r="C249" s="850"/>
      <c r="D249" s="783" t="s">
        <v>33</v>
      </c>
      <c r="E249" s="101" t="e">
        <f>SUM(E245:E248)</f>
        <v>#N/A</v>
      </c>
      <c r="F249" s="101">
        <f>SUM(F245:F248)</f>
        <v>0</v>
      </c>
      <c r="G249" s="760"/>
      <c r="H249" s="17"/>
      <c r="I249" s="79"/>
      <c r="Z249" s="108"/>
      <c r="AA249" s="108"/>
      <c r="AB249" s="108"/>
      <c r="AC249" s="108"/>
      <c r="AD249" s="108"/>
      <c r="AE249" s="108"/>
      <c r="AF249" s="108"/>
      <c r="AG249" s="108"/>
      <c r="AH249" s="108"/>
      <c r="AI249" s="108"/>
      <c r="AJ249" s="108"/>
      <c r="AK249" s="108"/>
      <c r="AL249" s="108"/>
      <c r="AM249" s="108"/>
      <c r="AN249" s="108"/>
      <c r="AO249" s="108"/>
      <c r="AP249" s="108"/>
      <c r="AQ249" s="108"/>
      <c r="AR249" s="108"/>
    </row>
    <row r="250" spans="1:44" ht="61.5" customHeight="1" x14ac:dyDescent="0.3">
      <c r="A250" s="108"/>
      <c r="B250" s="850"/>
      <c r="C250" s="850"/>
      <c r="D250" s="785" t="s">
        <v>35</v>
      </c>
      <c r="E250" s="101" t="e">
        <f>E230+E237-E249</f>
        <v>#N/A</v>
      </c>
      <c r="F250" s="101">
        <f>F230+F237-F249</f>
        <v>0</v>
      </c>
      <c r="G250" s="760"/>
      <c r="H250" s="17"/>
      <c r="I250" s="79"/>
      <c r="J250" s="595"/>
      <c r="Z250" s="108"/>
      <c r="AA250" s="108"/>
      <c r="AB250" s="108"/>
      <c r="AC250" s="108"/>
      <c r="AD250" s="108"/>
      <c r="AE250" s="108"/>
      <c r="AF250" s="108"/>
      <c r="AG250" s="108"/>
      <c r="AH250" s="108"/>
      <c r="AI250" s="108"/>
      <c r="AJ250" s="108"/>
      <c r="AK250" s="108"/>
      <c r="AL250" s="108"/>
      <c r="AM250" s="108"/>
      <c r="AN250" s="108"/>
      <c r="AO250" s="108"/>
      <c r="AP250" s="108"/>
      <c r="AQ250" s="108"/>
      <c r="AR250" s="108"/>
    </row>
    <row r="251" spans="1:44" ht="21.6" customHeight="1" x14ac:dyDescent="0.3">
      <c r="A251" s="108"/>
      <c r="B251" s="579"/>
      <c r="C251" s="579"/>
      <c r="D251" s="776"/>
      <c r="E251" s="1"/>
      <c r="F251" s="381"/>
      <c r="G251" s="760"/>
      <c r="H251" s="17"/>
      <c r="I251" s="79"/>
      <c r="J251" s="595"/>
      <c r="Z251" s="108"/>
      <c r="AA251" s="108"/>
      <c r="AB251" s="108"/>
      <c r="AC251" s="108"/>
      <c r="AD251" s="108"/>
      <c r="AE251" s="108"/>
      <c r="AF251" s="108"/>
      <c r="AG251" s="108"/>
      <c r="AH251" s="108"/>
      <c r="AI251" s="108"/>
      <c r="AJ251" s="108"/>
      <c r="AK251" s="108"/>
      <c r="AL251" s="108"/>
      <c r="AM251" s="108"/>
      <c r="AN251" s="108"/>
      <c r="AO251" s="108"/>
      <c r="AP251" s="108"/>
      <c r="AQ251" s="108"/>
      <c r="AR251" s="108"/>
    </row>
    <row r="252" spans="1:44" ht="34.5" customHeight="1" x14ac:dyDescent="0.3">
      <c r="A252" s="108"/>
      <c r="B252" s="895"/>
      <c r="C252" s="895"/>
      <c r="D252" s="886" t="s">
        <v>8</v>
      </c>
      <c r="E252" s="897"/>
      <c r="F252" s="898"/>
      <c r="G252" s="899"/>
      <c r="H252" s="17"/>
      <c r="I252" s="79"/>
      <c r="Z252" s="108"/>
      <c r="AA252" s="108"/>
      <c r="AB252" s="108"/>
      <c r="AC252" s="108"/>
      <c r="AD252" s="108"/>
      <c r="AE252" s="108"/>
      <c r="AF252" s="108"/>
      <c r="AG252" s="108"/>
      <c r="AH252" s="108"/>
      <c r="AI252" s="108"/>
      <c r="AJ252" s="108"/>
      <c r="AK252" s="108"/>
      <c r="AL252" s="108"/>
      <c r="AM252" s="108"/>
      <c r="AN252" s="108"/>
      <c r="AO252" s="108"/>
      <c r="AP252" s="108"/>
      <c r="AQ252" s="108"/>
      <c r="AR252" s="108"/>
    </row>
    <row r="253" spans="1:44" ht="55.5" customHeight="1" x14ac:dyDescent="0.3">
      <c r="A253" s="108">
        <v>527</v>
      </c>
      <c r="B253" s="691" t="s">
        <v>58</v>
      </c>
      <c r="C253" s="691" t="s">
        <v>178</v>
      </c>
      <c r="D253" s="29" t="s">
        <v>1525</v>
      </c>
      <c r="E253" s="689" t="e">
        <f>HLOOKUP($D$2,'2020 Data(H)'!$C$1:$CR$397,177,FALSE)</f>
        <v>#N/A</v>
      </c>
      <c r="F253" s="299">
        <v>0</v>
      </c>
      <c r="G253" s="760"/>
      <c r="H253" s="17"/>
      <c r="I253" s="752"/>
      <c r="Z253" s="108"/>
      <c r="AA253" s="108"/>
      <c r="AB253" s="108"/>
      <c r="AC253" s="108"/>
      <c r="AD253" s="108"/>
      <c r="AE253" s="108"/>
      <c r="AF253" s="108"/>
      <c r="AG253" s="108"/>
      <c r="AH253" s="108"/>
      <c r="AI253" s="108"/>
      <c r="AJ253" s="108"/>
      <c r="AK253" s="108"/>
      <c r="AL253" s="108"/>
      <c r="AM253" s="108"/>
      <c r="AN253" s="108"/>
      <c r="AO253" s="108"/>
      <c r="AP253" s="108"/>
      <c r="AQ253" s="108"/>
      <c r="AR253" s="108"/>
    </row>
    <row r="254" spans="1:44" ht="55.5" customHeight="1" x14ac:dyDescent="0.3">
      <c r="A254" s="108">
        <v>356</v>
      </c>
      <c r="B254" s="691" t="s">
        <v>66</v>
      </c>
      <c r="C254" s="691" t="s">
        <v>178</v>
      </c>
      <c r="D254" s="107" t="s">
        <v>20</v>
      </c>
      <c r="E254" s="689" t="e">
        <f>HLOOKUP($D$2,'2020 Data(H)'!$C$1:$CR$397,118,FALSE)</f>
        <v>#N/A</v>
      </c>
      <c r="F254" s="299">
        <v>0</v>
      </c>
      <c r="G254" s="760"/>
      <c r="H254" s="17"/>
      <c r="I254" s="752"/>
      <c r="Z254" s="108"/>
      <c r="AA254" s="108"/>
      <c r="AB254" s="108"/>
      <c r="AC254" s="108"/>
      <c r="AD254" s="108"/>
      <c r="AE254" s="108"/>
      <c r="AF254" s="108"/>
      <c r="AG254" s="108"/>
      <c r="AH254" s="108"/>
      <c r="AI254" s="108"/>
      <c r="AJ254" s="108"/>
      <c r="AK254" s="108"/>
      <c r="AL254" s="108"/>
      <c r="AM254" s="108"/>
      <c r="AN254" s="108"/>
      <c r="AO254" s="108"/>
      <c r="AP254" s="108"/>
      <c r="AQ254" s="108"/>
      <c r="AR254" s="108"/>
    </row>
    <row r="255" spans="1:44" ht="55.5" customHeight="1" x14ac:dyDescent="0.3">
      <c r="A255" s="108">
        <v>357</v>
      </c>
      <c r="B255" s="691" t="s">
        <v>56</v>
      </c>
      <c r="C255" s="691" t="s">
        <v>179</v>
      </c>
      <c r="D255" s="107" t="s">
        <v>21</v>
      </c>
      <c r="E255" s="689" t="e">
        <f>HLOOKUP($D$2,'2020 Data(H)'!$C$1:$CR$397,119,FALSE)</f>
        <v>#N/A</v>
      </c>
      <c r="F255" s="299">
        <v>0</v>
      </c>
      <c r="G255" s="750">
        <f>IF(F255&lt;0,"Error: Enter as positive.",)</f>
        <v>0</v>
      </c>
      <c r="H255" s="17"/>
      <c r="I255" s="752"/>
      <c r="Z255" s="108"/>
      <c r="AA255" s="108"/>
      <c r="AB255" s="108"/>
      <c r="AC255" s="108"/>
      <c r="AD255" s="108"/>
      <c r="AE255" s="108"/>
      <c r="AF255" s="108"/>
      <c r="AG255" s="108"/>
      <c r="AH255" s="108"/>
      <c r="AI255" s="108"/>
      <c r="AJ255" s="108"/>
      <c r="AK255" s="108"/>
      <c r="AL255" s="108"/>
      <c r="AM255" s="108"/>
      <c r="AN255" s="108"/>
      <c r="AO255" s="108"/>
      <c r="AP255" s="108"/>
      <c r="AQ255" s="108"/>
      <c r="AR255" s="108"/>
    </row>
    <row r="256" spans="1:44" s="18" customFormat="1" ht="35.25" customHeight="1" x14ac:dyDescent="0.3">
      <c r="A256" s="108"/>
      <c r="B256" s="884" t="s">
        <v>10</v>
      </c>
      <c r="C256" s="885"/>
      <c r="D256" s="860"/>
      <c r="E256" s="861"/>
      <c r="F256" s="900"/>
      <c r="G256" s="881"/>
      <c r="H256" s="17"/>
      <c r="I256" s="79"/>
      <c r="N256" s="301"/>
      <c r="Z256" s="108"/>
      <c r="AA256" s="108"/>
      <c r="AB256" s="108"/>
      <c r="AC256" s="108"/>
      <c r="AD256" s="108"/>
      <c r="AE256" s="108"/>
      <c r="AF256" s="108"/>
      <c r="AG256" s="108"/>
      <c r="AH256" s="108"/>
      <c r="AI256" s="108"/>
      <c r="AJ256" s="108"/>
      <c r="AK256" s="108"/>
      <c r="AL256" s="108"/>
      <c r="AM256" s="108"/>
      <c r="AN256" s="108"/>
      <c r="AO256" s="108"/>
      <c r="AP256" s="108"/>
      <c r="AQ256" s="108"/>
      <c r="AR256" s="108"/>
    </row>
    <row r="257" spans="1:1881" s="18" customFormat="1" ht="273.75" customHeight="1" x14ac:dyDescent="0.3">
      <c r="A257" s="108">
        <v>337</v>
      </c>
      <c r="B257" s="4" t="s">
        <v>56</v>
      </c>
      <c r="C257" s="4" t="s">
        <v>1526</v>
      </c>
      <c r="D257" s="24" t="s">
        <v>1321</v>
      </c>
      <c r="E257" s="689" t="e">
        <f>HLOOKUP($D$2,'2020 Data(H)'!$C$1:$CR$397,103,FALSE)</f>
        <v>#N/A</v>
      </c>
      <c r="F257" s="299">
        <v>0</v>
      </c>
      <c r="G257" s="750">
        <f>IF(F257&lt;0,"Error: Enter as positive.",)</f>
        <v>0</v>
      </c>
      <c r="H257" s="17"/>
      <c r="I257" s="79"/>
      <c r="N257" s="301"/>
      <c r="Z257" s="108"/>
      <c r="AA257" s="108"/>
      <c r="AB257" s="108"/>
      <c r="AC257" s="108"/>
      <c r="AD257" s="108"/>
      <c r="AE257" s="108"/>
      <c r="AF257" s="108"/>
      <c r="AG257" s="108"/>
      <c r="AH257" s="108"/>
      <c r="AI257" s="108"/>
      <c r="AJ257" s="108"/>
      <c r="AK257" s="108"/>
      <c r="AL257" s="108"/>
      <c r="AM257" s="108"/>
      <c r="AN257" s="108"/>
      <c r="AO257" s="108"/>
      <c r="AP257" s="108"/>
      <c r="AQ257" s="108"/>
      <c r="AR257" s="108"/>
    </row>
    <row r="258" spans="1:1881" s="18" customFormat="1" ht="81.75" customHeight="1" x14ac:dyDescent="0.3">
      <c r="A258" s="108">
        <v>343</v>
      </c>
      <c r="B258" s="4" t="s">
        <v>56</v>
      </c>
      <c r="C258" s="4" t="s">
        <v>677</v>
      </c>
      <c r="D258" s="29" t="s">
        <v>1527</v>
      </c>
      <c r="E258" s="689" t="e">
        <f>HLOOKUP($D$2,'2020 Data(H)'!$C$1:$CR$397,109,FALSE)</f>
        <v>#N/A</v>
      </c>
      <c r="F258" s="299">
        <v>0</v>
      </c>
      <c r="G258" s="750">
        <f>IF(F258&lt;0,"Error: Enter as positive.",)</f>
        <v>0</v>
      </c>
      <c r="H258" s="17"/>
      <c r="I258" s="79"/>
      <c r="M258" s="98"/>
      <c r="N258" s="301"/>
      <c r="Z258" s="108"/>
      <c r="AA258" s="108"/>
      <c r="AB258" s="108"/>
      <c r="AC258" s="108"/>
      <c r="AD258" s="108"/>
      <c r="AE258" s="108"/>
      <c r="AF258" s="108"/>
      <c r="AG258" s="108"/>
      <c r="AH258" s="108"/>
      <c r="AI258" s="108"/>
      <c r="AJ258" s="108"/>
      <c r="AK258" s="108"/>
      <c r="AL258" s="108"/>
      <c r="AM258" s="108"/>
      <c r="AN258" s="108"/>
      <c r="AO258" s="108"/>
      <c r="AP258" s="108"/>
      <c r="AQ258" s="108"/>
      <c r="AR258" s="108"/>
    </row>
    <row r="259" spans="1:1881" ht="274.5" customHeight="1" x14ac:dyDescent="0.3">
      <c r="A259" s="108">
        <v>82</v>
      </c>
      <c r="B259" s="4" t="s">
        <v>61</v>
      </c>
      <c r="C259" s="4" t="s">
        <v>1528</v>
      </c>
      <c r="D259" s="24" t="s">
        <v>862</v>
      </c>
      <c r="E259" s="689" t="e">
        <f>HLOOKUP($D$2,'2020 Data(H)'!$C$1:$CR$397,46,FALSE)</f>
        <v>#N/A</v>
      </c>
      <c r="F259" s="299">
        <v>0</v>
      </c>
      <c r="G259" s="750">
        <f>IF(F259&lt;0,"Error: Enter as positive.",)</f>
        <v>0</v>
      </c>
      <c r="H259" s="17"/>
      <c r="I259" s="786"/>
      <c r="Z259" s="108"/>
      <c r="AA259" s="108"/>
      <c r="AB259" s="108"/>
      <c r="AC259" s="108"/>
      <c r="AD259" s="108"/>
      <c r="AE259" s="108"/>
      <c r="AF259" s="108"/>
      <c r="AG259" s="108"/>
      <c r="AH259" s="108"/>
      <c r="AI259" s="108"/>
      <c r="AJ259" s="108"/>
      <c r="AK259" s="108"/>
      <c r="AL259" s="108"/>
      <c r="AM259" s="108"/>
      <c r="AN259" s="108"/>
      <c r="AO259" s="108"/>
      <c r="AP259" s="108"/>
      <c r="AQ259" s="108"/>
      <c r="AR259" s="108"/>
    </row>
    <row r="260" spans="1:1881" ht="270.75" customHeight="1" x14ac:dyDescent="0.3">
      <c r="A260" s="108">
        <v>359</v>
      </c>
      <c r="B260" s="4" t="s">
        <v>56</v>
      </c>
      <c r="C260" s="4" t="s">
        <v>1529</v>
      </c>
      <c r="D260" s="24" t="s">
        <v>862</v>
      </c>
      <c r="E260" s="689" t="e">
        <f>HLOOKUP($D$2,'2020 Data(H)'!$C$1:$CR$397,120,FALSE)</f>
        <v>#N/A</v>
      </c>
      <c r="F260" s="299">
        <v>0</v>
      </c>
      <c r="G260" s="750">
        <f>IF(F260&lt;0,"Error: Enter as positive.",)</f>
        <v>0</v>
      </c>
      <c r="H260" s="17"/>
      <c r="I260" s="786"/>
      <c r="J260" s="595"/>
      <c r="L260" s="787" t="str">
        <f>IF(ISBLANK(K258),"",IF(ISBLANK(K259),"",IF(K260=M260,"","Please review percentage")))</f>
        <v/>
      </c>
      <c r="Z260" s="108"/>
      <c r="AA260" s="108"/>
      <c r="AB260" s="108"/>
      <c r="AC260" s="108"/>
      <c r="AD260" s="108"/>
      <c r="AE260" s="108"/>
      <c r="AF260" s="108"/>
      <c r="AG260" s="108"/>
      <c r="AH260" s="108"/>
      <c r="AI260" s="108"/>
      <c r="AJ260" s="108"/>
      <c r="AK260" s="108"/>
      <c r="AL260" s="108"/>
      <c r="AM260" s="108"/>
      <c r="AN260" s="108"/>
      <c r="AO260" s="108"/>
      <c r="AP260" s="108"/>
      <c r="AQ260" s="108"/>
      <c r="AR260" s="108"/>
    </row>
    <row r="261" spans="1:1881" s="789" customFormat="1" ht="33" customHeight="1" x14ac:dyDescent="0.3">
      <c r="A261" s="108"/>
      <c r="B261" s="846" t="s">
        <v>716</v>
      </c>
      <c r="C261" s="847"/>
      <c r="D261" s="96"/>
      <c r="E261" s="788"/>
      <c r="F261" s="774"/>
      <c r="G261" s="749"/>
      <c r="H261" s="17"/>
      <c r="I261" s="786"/>
      <c r="J261" s="18"/>
      <c r="K261" s="18"/>
      <c r="L261" s="18"/>
      <c r="M261" s="18"/>
      <c r="N261" s="301"/>
      <c r="O261" s="18"/>
      <c r="P261" s="18"/>
      <c r="Q261" s="18"/>
      <c r="R261" s="18"/>
      <c r="S261" s="18"/>
      <c r="T261" s="18"/>
      <c r="U261" s="18"/>
      <c r="V261" s="18"/>
      <c r="W261" s="18"/>
      <c r="X261" s="18"/>
      <c r="Y261" s="18"/>
      <c r="Z261" s="108"/>
      <c r="AA261" s="108"/>
      <c r="AB261" s="108"/>
      <c r="AC261" s="108"/>
      <c r="AD261" s="108"/>
      <c r="AE261" s="108"/>
      <c r="AF261" s="108"/>
      <c r="AG261" s="108"/>
      <c r="AH261" s="108"/>
      <c r="AI261" s="108"/>
      <c r="AJ261" s="108"/>
      <c r="AK261" s="108"/>
      <c r="AL261" s="108"/>
      <c r="AM261" s="108"/>
      <c r="AN261" s="108"/>
      <c r="AO261" s="108"/>
      <c r="AP261" s="108"/>
      <c r="AQ261" s="108"/>
      <c r="AR261" s="10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c r="WZ261" s="18"/>
      <c r="XA261" s="18"/>
      <c r="XB261" s="18"/>
      <c r="XC261" s="18"/>
      <c r="XD261" s="18"/>
      <c r="XE261" s="18"/>
      <c r="XF261" s="18"/>
      <c r="XG261" s="18"/>
      <c r="XH261" s="18"/>
      <c r="XI261" s="18"/>
      <c r="XJ261" s="18"/>
      <c r="XK261" s="18"/>
      <c r="XL261" s="18"/>
      <c r="XM261" s="18"/>
      <c r="XN261" s="18"/>
      <c r="XO261" s="18"/>
      <c r="XP261" s="18"/>
      <c r="XQ261" s="18"/>
      <c r="XR261" s="18"/>
      <c r="XS261" s="18"/>
      <c r="XT261" s="18"/>
      <c r="XU261" s="18"/>
      <c r="XV261" s="18"/>
      <c r="XW261" s="18"/>
      <c r="XX261" s="18"/>
      <c r="XY261" s="18"/>
      <c r="XZ261" s="18"/>
      <c r="YA261" s="18"/>
      <c r="YB261" s="18"/>
      <c r="YC261" s="18"/>
      <c r="YD261" s="18"/>
      <c r="YE261" s="18"/>
      <c r="YF261" s="18"/>
      <c r="YG261" s="18"/>
      <c r="YH261" s="18"/>
      <c r="YI261" s="18"/>
      <c r="YJ261" s="18"/>
      <c r="YK261" s="18"/>
      <c r="YL261" s="18"/>
      <c r="YM261" s="18"/>
      <c r="YN261" s="18"/>
      <c r="YO261" s="18"/>
      <c r="YP261" s="18"/>
      <c r="YQ261" s="18"/>
      <c r="YR261" s="18"/>
      <c r="YS261" s="18"/>
      <c r="YT261" s="18"/>
      <c r="YU261" s="18"/>
      <c r="YV261" s="18"/>
      <c r="YW261" s="18"/>
      <c r="YX261" s="18"/>
      <c r="YY261" s="18"/>
      <c r="YZ261" s="18"/>
      <c r="ZA261" s="18"/>
      <c r="ZB261" s="18"/>
      <c r="ZC261" s="18"/>
      <c r="ZD261" s="18"/>
      <c r="ZE261" s="18"/>
      <c r="ZF261" s="18"/>
      <c r="ZG261" s="18"/>
      <c r="ZH261" s="18"/>
      <c r="ZI261" s="18"/>
      <c r="ZJ261" s="18"/>
      <c r="ZK261" s="18"/>
      <c r="ZL261" s="18"/>
      <c r="ZM261" s="18"/>
      <c r="ZN261" s="18"/>
      <c r="ZO261" s="18"/>
      <c r="ZP261" s="18"/>
      <c r="ZQ261" s="18"/>
      <c r="ZR261" s="18"/>
      <c r="ZS261" s="18"/>
      <c r="ZT261" s="18"/>
      <c r="ZU261" s="18"/>
      <c r="ZV261" s="18"/>
      <c r="ZW261" s="18"/>
      <c r="ZX261" s="18"/>
      <c r="ZY261" s="18"/>
      <c r="ZZ261" s="18"/>
      <c r="AAA261" s="18"/>
      <c r="AAB261" s="18"/>
      <c r="AAC261" s="18"/>
      <c r="AAD261" s="18"/>
      <c r="AAE261" s="18"/>
      <c r="AAF261" s="18"/>
      <c r="AAG261" s="18"/>
      <c r="AAH261" s="18"/>
      <c r="AAI261" s="18"/>
      <c r="AAJ261" s="18"/>
      <c r="AAK261" s="18"/>
      <c r="AAL261" s="18"/>
      <c r="AAM261" s="18"/>
      <c r="AAN261" s="18"/>
      <c r="AAO261" s="18"/>
      <c r="AAP261" s="18"/>
      <c r="AAQ261" s="18"/>
      <c r="AAR261" s="18"/>
      <c r="AAS261" s="18"/>
      <c r="AAT261" s="18"/>
      <c r="AAU261" s="18"/>
      <c r="AAV261" s="18"/>
      <c r="AAW261" s="18"/>
      <c r="AAX261" s="18"/>
      <c r="AAY261" s="18"/>
      <c r="AAZ261" s="18"/>
      <c r="ABA261" s="18"/>
      <c r="ABB261" s="18"/>
      <c r="ABC261" s="18"/>
      <c r="ABD261" s="18"/>
      <c r="ABE261" s="18"/>
      <c r="ABF261" s="18"/>
      <c r="ABG261" s="18"/>
      <c r="ABH261" s="18"/>
      <c r="ABI261" s="18"/>
      <c r="ABJ261" s="18"/>
      <c r="ABK261" s="18"/>
      <c r="ABL261" s="18"/>
      <c r="ABM261" s="18"/>
      <c r="ABN261" s="18"/>
      <c r="ABO261" s="18"/>
      <c r="ABP261" s="18"/>
      <c r="ABQ261" s="18"/>
      <c r="ABR261" s="18"/>
      <c r="ABS261" s="18"/>
      <c r="ABT261" s="18"/>
      <c r="ABU261" s="18"/>
      <c r="ABV261" s="18"/>
      <c r="ABW261" s="18"/>
      <c r="ABX261" s="18"/>
      <c r="ABY261" s="18"/>
      <c r="ABZ261" s="18"/>
      <c r="ACA261" s="18"/>
      <c r="ACB261" s="18"/>
      <c r="ACC261" s="18"/>
      <c r="ACD261" s="18"/>
      <c r="ACE261" s="18"/>
      <c r="ACF261" s="18"/>
      <c r="ACG261" s="18"/>
      <c r="ACH261" s="18"/>
      <c r="ACI261" s="18"/>
      <c r="ACJ261" s="18"/>
      <c r="ACK261" s="18"/>
      <c r="ACL261" s="18"/>
      <c r="ACM261" s="18"/>
      <c r="ACN261" s="18"/>
      <c r="ACO261" s="18"/>
      <c r="ACP261" s="18"/>
      <c r="ACQ261" s="18"/>
      <c r="ACR261" s="18"/>
      <c r="ACS261" s="18"/>
      <c r="ACT261" s="18"/>
      <c r="ACU261" s="18"/>
      <c r="ACV261" s="18"/>
      <c r="ACW261" s="18"/>
      <c r="ACX261" s="18"/>
      <c r="ACY261" s="18"/>
      <c r="ACZ261" s="18"/>
      <c r="ADA261" s="18"/>
      <c r="ADB261" s="18"/>
      <c r="ADC261" s="18"/>
      <c r="ADD261" s="18"/>
      <c r="ADE261" s="18"/>
      <c r="ADF261" s="18"/>
      <c r="ADG261" s="18"/>
      <c r="ADH261" s="18"/>
      <c r="ADI261" s="18"/>
      <c r="ADJ261" s="18"/>
      <c r="ADK261" s="18"/>
      <c r="ADL261" s="18"/>
      <c r="ADM261" s="18"/>
      <c r="ADN261" s="18"/>
      <c r="ADO261" s="18"/>
      <c r="ADP261" s="18"/>
      <c r="ADQ261" s="18"/>
      <c r="ADR261" s="18"/>
      <c r="ADS261" s="18"/>
      <c r="ADT261" s="18"/>
      <c r="ADU261" s="18"/>
      <c r="ADV261" s="18"/>
      <c r="ADW261" s="18"/>
      <c r="ADX261" s="18"/>
      <c r="ADY261" s="18"/>
      <c r="ADZ261" s="18"/>
      <c r="AEA261" s="18"/>
      <c r="AEB261" s="18"/>
      <c r="AEC261" s="18"/>
      <c r="AED261" s="18"/>
      <c r="AEE261" s="18"/>
      <c r="AEF261" s="18"/>
      <c r="AEG261" s="18"/>
      <c r="AEH261" s="18"/>
      <c r="AEI261" s="18"/>
      <c r="AEJ261" s="18"/>
      <c r="AEK261" s="18"/>
      <c r="AEL261" s="18"/>
      <c r="AEM261" s="18"/>
      <c r="AEN261" s="18"/>
      <c r="AEO261" s="18"/>
      <c r="AEP261" s="18"/>
      <c r="AEQ261" s="18"/>
      <c r="AER261" s="18"/>
      <c r="AES261" s="18"/>
      <c r="AET261" s="18"/>
      <c r="AEU261" s="18"/>
      <c r="AEV261" s="18"/>
      <c r="AEW261" s="18"/>
      <c r="AEX261" s="18"/>
      <c r="AEY261" s="18"/>
      <c r="AEZ261" s="18"/>
      <c r="AFA261" s="18"/>
      <c r="AFB261" s="18"/>
      <c r="AFC261" s="18"/>
      <c r="AFD261" s="18"/>
      <c r="AFE261" s="18"/>
      <c r="AFF261" s="18"/>
      <c r="AFG261" s="18"/>
      <c r="AFH261" s="18"/>
      <c r="AFI261" s="18"/>
      <c r="AFJ261" s="18"/>
      <c r="AFK261" s="18"/>
      <c r="AFL261" s="18"/>
      <c r="AFM261" s="18"/>
      <c r="AFN261" s="18"/>
      <c r="AFO261" s="18"/>
      <c r="AFP261" s="18"/>
      <c r="AFQ261" s="18"/>
      <c r="AFR261" s="18"/>
      <c r="AFS261" s="18"/>
      <c r="AFT261" s="18"/>
      <c r="AFU261" s="18"/>
      <c r="AFV261" s="18"/>
      <c r="AFW261" s="18"/>
      <c r="AFX261" s="18"/>
      <c r="AFY261" s="18"/>
      <c r="AFZ261" s="18"/>
      <c r="AGA261" s="18"/>
      <c r="AGB261" s="18"/>
      <c r="AGC261" s="18"/>
      <c r="AGD261" s="18"/>
      <c r="AGE261" s="18"/>
      <c r="AGF261" s="18"/>
      <c r="AGG261" s="18"/>
      <c r="AGH261" s="18"/>
      <c r="AGI261" s="18"/>
      <c r="AGJ261" s="18"/>
      <c r="AGK261" s="18"/>
      <c r="AGL261" s="18"/>
      <c r="AGM261" s="18"/>
      <c r="AGN261" s="18"/>
      <c r="AGO261" s="18"/>
      <c r="AGP261" s="18"/>
      <c r="AGQ261" s="18"/>
      <c r="AGR261" s="18"/>
      <c r="AGS261" s="18"/>
      <c r="AGT261" s="18"/>
      <c r="AGU261" s="18"/>
      <c r="AGV261" s="18"/>
      <c r="AGW261" s="18"/>
      <c r="AGX261" s="18"/>
      <c r="AGY261" s="18"/>
      <c r="AGZ261" s="18"/>
      <c r="AHA261" s="18"/>
      <c r="AHB261" s="18"/>
      <c r="AHC261" s="18"/>
      <c r="AHD261" s="18"/>
      <c r="AHE261" s="18"/>
      <c r="AHF261" s="18"/>
      <c r="AHG261" s="18"/>
      <c r="AHH261" s="18"/>
      <c r="AHI261" s="18"/>
      <c r="AHJ261" s="18"/>
      <c r="AHK261" s="18"/>
      <c r="AHL261" s="18"/>
      <c r="AHM261" s="18"/>
      <c r="AHN261" s="18"/>
      <c r="AHO261" s="18"/>
      <c r="AHP261" s="18"/>
      <c r="AHQ261" s="18"/>
      <c r="AHR261" s="18"/>
      <c r="AHS261" s="18"/>
      <c r="AHT261" s="18"/>
      <c r="AHU261" s="18"/>
      <c r="AHV261" s="18"/>
      <c r="AHW261" s="18"/>
      <c r="AHX261" s="18"/>
      <c r="AHY261" s="18"/>
      <c r="AHZ261" s="18"/>
      <c r="AIA261" s="18"/>
      <c r="AIB261" s="18"/>
      <c r="AIC261" s="18"/>
      <c r="AID261" s="18"/>
      <c r="AIE261" s="18"/>
      <c r="AIF261" s="18"/>
      <c r="AIG261" s="18"/>
      <c r="AIH261" s="18"/>
      <c r="AII261" s="18"/>
      <c r="AIJ261" s="18"/>
      <c r="AIK261" s="18"/>
      <c r="AIL261" s="18"/>
      <c r="AIM261" s="18"/>
      <c r="AIN261" s="18"/>
      <c r="AIO261" s="18"/>
      <c r="AIP261" s="18"/>
      <c r="AIQ261" s="18"/>
      <c r="AIR261" s="18"/>
      <c r="AIS261" s="18"/>
      <c r="AIT261" s="18"/>
      <c r="AIU261" s="18"/>
      <c r="AIV261" s="18"/>
      <c r="AIW261" s="18"/>
      <c r="AIX261" s="18"/>
      <c r="AIY261" s="18"/>
      <c r="AIZ261" s="18"/>
      <c r="AJA261" s="18"/>
      <c r="AJB261" s="18"/>
      <c r="AJC261" s="18"/>
      <c r="AJD261" s="18"/>
      <c r="AJE261" s="18"/>
      <c r="AJF261" s="18"/>
      <c r="AJG261" s="18"/>
      <c r="AJH261" s="18"/>
      <c r="AJI261" s="18"/>
      <c r="AJJ261" s="18"/>
      <c r="AJK261" s="18"/>
      <c r="AJL261" s="18"/>
      <c r="AJM261" s="18"/>
      <c r="AJN261" s="18"/>
      <c r="AJO261" s="18"/>
      <c r="AJP261" s="18"/>
      <c r="AJQ261" s="18"/>
      <c r="AJR261" s="18"/>
      <c r="AJS261" s="18"/>
      <c r="AJT261" s="18"/>
      <c r="AJU261" s="18"/>
      <c r="AJV261" s="18"/>
      <c r="AJW261" s="18"/>
      <c r="AJX261" s="18"/>
      <c r="AJY261" s="18"/>
      <c r="AJZ261" s="18"/>
      <c r="AKA261" s="18"/>
      <c r="AKB261" s="18"/>
      <c r="AKC261" s="18"/>
      <c r="AKD261" s="18"/>
      <c r="AKE261" s="18"/>
      <c r="AKF261" s="18"/>
      <c r="AKG261" s="18"/>
      <c r="AKH261" s="18"/>
      <c r="AKI261" s="18"/>
      <c r="AKJ261" s="18"/>
      <c r="AKK261" s="18"/>
      <c r="AKL261" s="18"/>
      <c r="AKM261" s="18"/>
      <c r="AKN261" s="18"/>
      <c r="AKO261" s="18"/>
      <c r="AKP261" s="18"/>
      <c r="AKQ261" s="18"/>
      <c r="AKR261" s="18"/>
      <c r="AKS261" s="18"/>
      <c r="AKT261" s="18"/>
      <c r="AKU261" s="18"/>
      <c r="AKV261" s="18"/>
      <c r="AKW261" s="18"/>
      <c r="AKX261" s="18"/>
      <c r="AKY261" s="18"/>
      <c r="AKZ261" s="18"/>
      <c r="ALA261" s="18"/>
      <c r="ALB261" s="18"/>
      <c r="ALC261" s="18"/>
      <c r="ALD261" s="18"/>
      <c r="ALE261" s="18"/>
      <c r="ALF261" s="18"/>
      <c r="ALG261" s="18"/>
      <c r="ALH261" s="18"/>
      <c r="ALI261" s="18"/>
      <c r="ALJ261" s="18"/>
      <c r="ALK261" s="18"/>
      <c r="ALL261" s="18"/>
      <c r="ALM261" s="18"/>
      <c r="ALN261" s="18"/>
      <c r="ALO261" s="18"/>
      <c r="ALP261" s="18"/>
      <c r="ALQ261" s="18"/>
      <c r="ALR261" s="18"/>
      <c r="ALS261" s="18"/>
      <c r="ALT261" s="18"/>
      <c r="ALU261" s="18"/>
      <c r="ALV261" s="18"/>
      <c r="ALW261" s="18"/>
      <c r="ALX261" s="18"/>
      <c r="ALY261" s="18"/>
      <c r="ALZ261" s="18"/>
      <c r="AMA261" s="18"/>
      <c r="AMB261" s="18"/>
      <c r="AMC261" s="18"/>
      <c r="AMD261" s="18"/>
      <c r="AME261" s="18"/>
      <c r="AMF261" s="18"/>
      <c r="AMG261" s="18"/>
      <c r="AMH261" s="18"/>
      <c r="AMI261" s="18"/>
      <c r="AMJ261" s="18"/>
      <c r="AMK261" s="18"/>
      <c r="AML261" s="18"/>
      <c r="AMM261" s="18"/>
      <c r="AMN261" s="18"/>
      <c r="AMO261" s="18"/>
      <c r="AMP261" s="18"/>
      <c r="AMQ261" s="18"/>
      <c r="AMR261" s="18"/>
      <c r="AMS261" s="18"/>
      <c r="AMT261" s="18"/>
      <c r="AMU261" s="18"/>
      <c r="AMV261" s="18"/>
      <c r="AMW261" s="18"/>
      <c r="AMX261" s="18"/>
      <c r="AMY261" s="18"/>
      <c r="AMZ261" s="18"/>
      <c r="ANA261" s="18"/>
      <c r="ANB261" s="18"/>
      <c r="ANC261" s="18"/>
      <c r="AND261" s="18"/>
      <c r="ANE261" s="18"/>
      <c r="ANF261" s="18"/>
      <c r="ANG261" s="18"/>
      <c r="ANH261" s="18"/>
      <c r="ANI261" s="18"/>
      <c r="ANJ261" s="18"/>
      <c r="ANK261" s="18"/>
      <c r="ANL261" s="18"/>
      <c r="ANM261" s="18"/>
      <c r="ANN261" s="18"/>
      <c r="ANO261" s="18"/>
      <c r="ANP261" s="18"/>
      <c r="ANQ261" s="18"/>
      <c r="ANR261" s="18"/>
      <c r="ANS261" s="18"/>
      <c r="ANT261" s="18"/>
      <c r="ANU261" s="18"/>
      <c r="ANV261" s="18"/>
      <c r="ANW261" s="18"/>
      <c r="ANX261" s="18"/>
      <c r="ANY261" s="18"/>
      <c r="ANZ261" s="18"/>
      <c r="AOA261" s="18"/>
      <c r="AOB261" s="18"/>
      <c r="AOC261" s="18"/>
      <c r="AOD261" s="18"/>
      <c r="AOE261" s="18"/>
      <c r="AOF261" s="18"/>
      <c r="AOG261" s="18"/>
      <c r="AOH261" s="18"/>
      <c r="AOI261" s="18"/>
      <c r="AOJ261" s="18"/>
      <c r="AOK261" s="18"/>
      <c r="AOL261" s="18"/>
      <c r="AOM261" s="18"/>
      <c r="AON261" s="18"/>
      <c r="AOO261" s="18"/>
      <c r="AOP261" s="18"/>
      <c r="AOQ261" s="18"/>
      <c r="AOR261" s="18"/>
      <c r="AOS261" s="18"/>
      <c r="AOT261" s="18"/>
      <c r="AOU261" s="18"/>
      <c r="AOV261" s="18"/>
      <c r="AOW261" s="18"/>
      <c r="AOX261" s="18"/>
      <c r="AOY261" s="18"/>
      <c r="AOZ261" s="18"/>
      <c r="APA261" s="18"/>
      <c r="APB261" s="18"/>
      <c r="APC261" s="18"/>
      <c r="APD261" s="18"/>
      <c r="APE261" s="18"/>
      <c r="APF261" s="18"/>
      <c r="APG261" s="18"/>
      <c r="APH261" s="18"/>
      <c r="API261" s="18"/>
      <c r="APJ261" s="18"/>
      <c r="APK261" s="18"/>
      <c r="APL261" s="18"/>
      <c r="APM261" s="18"/>
      <c r="APN261" s="18"/>
      <c r="APO261" s="18"/>
      <c r="APP261" s="18"/>
      <c r="APQ261" s="18"/>
      <c r="APR261" s="18"/>
      <c r="APS261" s="18"/>
      <c r="APT261" s="18"/>
      <c r="APU261" s="18"/>
      <c r="APV261" s="18"/>
      <c r="APW261" s="18"/>
      <c r="APX261" s="18"/>
      <c r="APY261" s="18"/>
      <c r="APZ261" s="18"/>
      <c r="AQA261" s="18"/>
      <c r="AQB261" s="18"/>
      <c r="AQC261" s="18"/>
      <c r="AQD261" s="18"/>
      <c r="AQE261" s="18"/>
      <c r="AQF261" s="18"/>
      <c r="AQG261" s="18"/>
      <c r="AQH261" s="18"/>
      <c r="AQI261" s="18"/>
      <c r="AQJ261" s="18"/>
      <c r="AQK261" s="18"/>
      <c r="AQL261" s="18"/>
      <c r="AQM261" s="18"/>
      <c r="AQN261" s="18"/>
      <c r="AQO261" s="18"/>
      <c r="AQP261" s="18"/>
      <c r="AQQ261" s="18"/>
      <c r="AQR261" s="18"/>
      <c r="AQS261" s="18"/>
      <c r="AQT261" s="18"/>
      <c r="AQU261" s="18"/>
      <c r="AQV261" s="18"/>
      <c r="AQW261" s="18"/>
      <c r="AQX261" s="18"/>
      <c r="AQY261" s="18"/>
      <c r="AQZ261" s="18"/>
      <c r="ARA261" s="18"/>
      <c r="ARB261" s="18"/>
      <c r="ARC261" s="18"/>
      <c r="ARD261" s="18"/>
      <c r="ARE261" s="18"/>
      <c r="ARF261" s="18"/>
      <c r="ARG261" s="18"/>
      <c r="ARH261" s="18"/>
      <c r="ARI261" s="18"/>
      <c r="ARJ261" s="18"/>
      <c r="ARK261" s="18"/>
      <c r="ARL261" s="18"/>
      <c r="ARM261" s="18"/>
      <c r="ARN261" s="18"/>
      <c r="ARO261" s="18"/>
      <c r="ARP261" s="18"/>
      <c r="ARQ261" s="18"/>
      <c r="ARR261" s="18"/>
      <c r="ARS261" s="18"/>
      <c r="ART261" s="18"/>
      <c r="ARU261" s="18"/>
      <c r="ARV261" s="18"/>
      <c r="ARW261" s="18"/>
      <c r="ARX261" s="18"/>
      <c r="ARY261" s="18"/>
      <c r="ARZ261" s="18"/>
      <c r="ASA261" s="18"/>
      <c r="ASB261" s="18"/>
      <c r="ASC261" s="18"/>
      <c r="ASD261" s="18"/>
      <c r="ASE261" s="18"/>
      <c r="ASF261" s="18"/>
      <c r="ASG261" s="18"/>
      <c r="ASH261" s="18"/>
      <c r="ASI261" s="18"/>
      <c r="ASJ261" s="18"/>
      <c r="ASK261" s="18"/>
      <c r="ASL261" s="18"/>
      <c r="ASM261" s="18"/>
      <c r="ASN261" s="18"/>
      <c r="ASO261" s="18"/>
      <c r="ASP261" s="18"/>
      <c r="ASQ261" s="18"/>
      <c r="ASR261" s="18"/>
      <c r="ASS261" s="18"/>
      <c r="AST261" s="18"/>
      <c r="ASU261" s="18"/>
      <c r="ASV261" s="18"/>
      <c r="ASW261" s="18"/>
      <c r="ASX261" s="18"/>
      <c r="ASY261" s="18"/>
      <c r="ASZ261" s="18"/>
      <c r="ATA261" s="18"/>
      <c r="ATB261" s="18"/>
      <c r="ATC261" s="18"/>
      <c r="ATD261" s="18"/>
      <c r="ATE261" s="18"/>
      <c r="ATF261" s="18"/>
      <c r="ATG261" s="18"/>
      <c r="ATH261" s="18"/>
      <c r="ATI261" s="18"/>
      <c r="ATJ261" s="18"/>
      <c r="ATK261" s="18"/>
      <c r="ATL261" s="18"/>
      <c r="ATM261" s="18"/>
      <c r="ATN261" s="18"/>
      <c r="ATO261" s="18"/>
      <c r="ATP261" s="18"/>
      <c r="ATQ261" s="18"/>
      <c r="ATR261" s="18"/>
      <c r="ATS261" s="18"/>
      <c r="ATT261" s="18"/>
      <c r="ATU261" s="18"/>
      <c r="ATV261" s="18"/>
      <c r="ATW261" s="18"/>
      <c r="ATX261" s="18"/>
      <c r="ATY261" s="18"/>
      <c r="ATZ261" s="18"/>
      <c r="AUA261" s="18"/>
      <c r="AUB261" s="18"/>
      <c r="AUC261" s="18"/>
      <c r="AUD261" s="18"/>
      <c r="AUE261" s="18"/>
      <c r="AUF261" s="18"/>
      <c r="AUG261" s="18"/>
      <c r="AUH261" s="18"/>
      <c r="AUI261" s="18"/>
      <c r="AUJ261" s="18"/>
      <c r="AUK261" s="18"/>
      <c r="AUL261" s="18"/>
      <c r="AUM261" s="18"/>
      <c r="AUN261" s="18"/>
      <c r="AUO261" s="18"/>
      <c r="AUP261" s="18"/>
      <c r="AUQ261" s="18"/>
      <c r="AUR261" s="18"/>
      <c r="AUS261" s="18"/>
      <c r="AUT261" s="18"/>
      <c r="AUU261" s="18"/>
      <c r="AUV261" s="18"/>
      <c r="AUW261" s="18"/>
      <c r="AUX261" s="18"/>
      <c r="AUY261" s="18"/>
      <c r="AUZ261" s="18"/>
      <c r="AVA261" s="18"/>
      <c r="AVB261" s="18"/>
      <c r="AVC261" s="18"/>
      <c r="AVD261" s="18"/>
      <c r="AVE261" s="18"/>
      <c r="AVF261" s="18"/>
      <c r="AVG261" s="18"/>
      <c r="AVH261" s="18"/>
      <c r="AVI261" s="18"/>
      <c r="AVJ261" s="18"/>
      <c r="AVK261" s="18"/>
      <c r="AVL261" s="18"/>
      <c r="AVM261" s="18"/>
      <c r="AVN261" s="18"/>
      <c r="AVO261" s="18"/>
      <c r="AVP261" s="18"/>
      <c r="AVQ261" s="18"/>
      <c r="AVR261" s="18"/>
      <c r="AVS261" s="18"/>
      <c r="AVT261" s="18"/>
      <c r="AVU261" s="18"/>
      <c r="AVV261" s="18"/>
      <c r="AVW261" s="18"/>
      <c r="AVX261" s="18"/>
      <c r="AVY261" s="18"/>
      <c r="AVZ261" s="18"/>
      <c r="AWA261" s="18"/>
      <c r="AWB261" s="18"/>
      <c r="AWC261" s="18"/>
      <c r="AWD261" s="18"/>
      <c r="AWE261" s="18"/>
      <c r="AWF261" s="18"/>
      <c r="AWG261" s="18"/>
      <c r="AWH261" s="18"/>
      <c r="AWI261" s="18"/>
      <c r="AWJ261" s="18"/>
      <c r="AWK261" s="18"/>
      <c r="AWL261" s="18"/>
      <c r="AWM261" s="18"/>
      <c r="AWN261" s="18"/>
      <c r="AWO261" s="18"/>
      <c r="AWP261" s="18"/>
      <c r="AWQ261" s="18"/>
      <c r="AWR261" s="18"/>
      <c r="AWS261" s="18"/>
      <c r="AWT261" s="18"/>
      <c r="AWU261" s="18"/>
      <c r="AWV261" s="18"/>
      <c r="AWW261" s="18"/>
      <c r="AWX261" s="18"/>
      <c r="AWY261" s="18"/>
      <c r="AWZ261" s="18"/>
      <c r="AXA261" s="18"/>
      <c r="AXB261" s="18"/>
      <c r="AXC261" s="18"/>
      <c r="AXD261" s="18"/>
      <c r="AXE261" s="18"/>
      <c r="AXF261" s="18"/>
      <c r="AXG261" s="18"/>
      <c r="AXH261" s="18"/>
      <c r="AXI261" s="18"/>
      <c r="AXJ261" s="18"/>
      <c r="AXK261" s="18"/>
      <c r="AXL261" s="18"/>
      <c r="AXM261" s="18"/>
      <c r="AXN261" s="18"/>
      <c r="AXO261" s="18"/>
      <c r="AXP261" s="18"/>
      <c r="AXQ261" s="18"/>
      <c r="AXR261" s="18"/>
      <c r="AXS261" s="18"/>
      <c r="AXT261" s="18"/>
      <c r="AXU261" s="18"/>
      <c r="AXV261" s="18"/>
      <c r="AXW261" s="18"/>
      <c r="AXX261" s="18"/>
      <c r="AXY261" s="18"/>
      <c r="AXZ261" s="18"/>
      <c r="AYA261" s="18"/>
      <c r="AYB261" s="18"/>
      <c r="AYC261" s="18"/>
      <c r="AYD261" s="18"/>
      <c r="AYE261" s="18"/>
      <c r="AYF261" s="18"/>
      <c r="AYG261" s="18"/>
      <c r="AYH261" s="18"/>
      <c r="AYI261" s="18"/>
      <c r="AYJ261" s="18"/>
      <c r="AYK261" s="18"/>
      <c r="AYL261" s="18"/>
      <c r="AYM261" s="18"/>
      <c r="AYN261" s="18"/>
      <c r="AYO261" s="18"/>
      <c r="AYP261" s="18"/>
      <c r="AYQ261" s="18"/>
      <c r="AYR261" s="18"/>
      <c r="AYS261" s="18"/>
      <c r="AYT261" s="18"/>
      <c r="AYU261" s="18"/>
      <c r="AYV261" s="18"/>
      <c r="AYW261" s="18"/>
      <c r="AYX261" s="18"/>
      <c r="AYY261" s="18"/>
      <c r="AYZ261" s="18"/>
      <c r="AZA261" s="18"/>
      <c r="AZB261" s="18"/>
      <c r="AZC261" s="18"/>
      <c r="AZD261" s="18"/>
      <c r="AZE261" s="18"/>
      <c r="AZF261" s="18"/>
      <c r="AZG261" s="18"/>
      <c r="AZH261" s="18"/>
      <c r="AZI261" s="18"/>
      <c r="AZJ261" s="18"/>
      <c r="AZK261" s="18"/>
      <c r="AZL261" s="18"/>
      <c r="AZM261" s="18"/>
      <c r="AZN261" s="18"/>
      <c r="AZO261" s="18"/>
      <c r="AZP261" s="18"/>
      <c r="AZQ261" s="18"/>
      <c r="AZR261" s="18"/>
      <c r="AZS261" s="18"/>
      <c r="AZT261" s="18"/>
      <c r="AZU261" s="18"/>
      <c r="AZV261" s="18"/>
      <c r="AZW261" s="18"/>
      <c r="AZX261" s="18"/>
      <c r="AZY261" s="18"/>
      <c r="AZZ261" s="18"/>
      <c r="BAA261" s="18"/>
      <c r="BAB261" s="18"/>
      <c r="BAC261" s="18"/>
      <c r="BAD261" s="18"/>
      <c r="BAE261" s="18"/>
      <c r="BAF261" s="18"/>
      <c r="BAG261" s="18"/>
      <c r="BAH261" s="18"/>
      <c r="BAI261" s="18"/>
      <c r="BAJ261" s="18"/>
      <c r="BAK261" s="18"/>
      <c r="BAL261" s="18"/>
      <c r="BAM261" s="18"/>
      <c r="BAN261" s="18"/>
      <c r="BAO261" s="18"/>
      <c r="BAP261" s="18"/>
      <c r="BAQ261" s="18"/>
      <c r="BAR261" s="18"/>
      <c r="BAS261" s="18"/>
      <c r="BAT261" s="18"/>
      <c r="BAU261" s="18"/>
      <c r="BAV261" s="18"/>
      <c r="BAW261" s="18"/>
      <c r="BAX261" s="18"/>
      <c r="BAY261" s="18"/>
      <c r="BAZ261" s="18"/>
      <c r="BBA261" s="18"/>
      <c r="BBB261" s="18"/>
      <c r="BBC261" s="18"/>
      <c r="BBD261" s="18"/>
      <c r="BBE261" s="18"/>
      <c r="BBF261" s="18"/>
      <c r="BBG261" s="18"/>
      <c r="BBH261" s="18"/>
      <c r="BBI261" s="18"/>
      <c r="BBJ261" s="18"/>
      <c r="BBK261" s="18"/>
      <c r="BBL261" s="18"/>
      <c r="BBM261" s="18"/>
      <c r="BBN261" s="18"/>
      <c r="BBO261" s="18"/>
      <c r="BBP261" s="18"/>
      <c r="BBQ261" s="18"/>
      <c r="BBR261" s="18"/>
      <c r="BBS261" s="18"/>
      <c r="BBT261" s="18"/>
      <c r="BBU261" s="18"/>
      <c r="BBV261" s="18"/>
      <c r="BBW261" s="18"/>
      <c r="BBX261" s="18"/>
      <c r="BBY261" s="18"/>
      <c r="BBZ261" s="18"/>
      <c r="BCA261" s="18"/>
      <c r="BCB261" s="18"/>
      <c r="BCC261" s="18"/>
      <c r="BCD261" s="18"/>
      <c r="BCE261" s="18"/>
      <c r="BCF261" s="18"/>
      <c r="BCG261" s="18"/>
      <c r="BCH261" s="18"/>
      <c r="BCI261" s="18"/>
      <c r="BCJ261" s="18"/>
      <c r="BCK261" s="18"/>
      <c r="BCL261" s="18"/>
      <c r="BCM261" s="18"/>
      <c r="BCN261" s="18"/>
      <c r="BCO261" s="18"/>
      <c r="BCP261" s="18"/>
      <c r="BCQ261" s="18"/>
      <c r="BCR261" s="18"/>
      <c r="BCS261" s="18"/>
      <c r="BCT261" s="18"/>
      <c r="BCU261" s="18"/>
      <c r="BCV261" s="18"/>
      <c r="BCW261" s="18"/>
      <c r="BCX261" s="18"/>
      <c r="BCY261" s="18"/>
      <c r="BCZ261" s="18"/>
      <c r="BDA261" s="18"/>
      <c r="BDB261" s="18"/>
      <c r="BDC261" s="18"/>
      <c r="BDD261" s="18"/>
      <c r="BDE261" s="18"/>
      <c r="BDF261" s="18"/>
      <c r="BDG261" s="18"/>
      <c r="BDH261" s="18"/>
      <c r="BDI261" s="18"/>
      <c r="BDJ261" s="18"/>
      <c r="BDK261" s="18"/>
      <c r="BDL261" s="18"/>
      <c r="BDM261" s="18"/>
      <c r="BDN261" s="18"/>
      <c r="BDO261" s="18"/>
      <c r="BDP261" s="18"/>
      <c r="BDQ261" s="18"/>
      <c r="BDR261" s="18"/>
      <c r="BDS261" s="18"/>
      <c r="BDT261" s="18"/>
      <c r="BDU261" s="18"/>
      <c r="BDV261" s="18"/>
      <c r="BDW261" s="18"/>
      <c r="BDX261" s="18"/>
      <c r="BDY261" s="18"/>
      <c r="BDZ261" s="18"/>
      <c r="BEA261" s="18"/>
      <c r="BEB261" s="18"/>
      <c r="BEC261" s="18"/>
      <c r="BED261" s="18"/>
      <c r="BEE261" s="18"/>
      <c r="BEF261" s="18"/>
      <c r="BEG261" s="18"/>
      <c r="BEH261" s="18"/>
      <c r="BEI261" s="18"/>
      <c r="BEJ261" s="18"/>
      <c r="BEK261" s="18"/>
      <c r="BEL261" s="18"/>
      <c r="BEM261" s="18"/>
      <c r="BEN261" s="18"/>
      <c r="BEO261" s="18"/>
      <c r="BEP261" s="18"/>
      <c r="BEQ261" s="18"/>
      <c r="BER261" s="18"/>
      <c r="BES261" s="18"/>
      <c r="BET261" s="18"/>
      <c r="BEU261" s="18"/>
      <c r="BEV261" s="18"/>
      <c r="BEW261" s="18"/>
      <c r="BEX261" s="18"/>
      <c r="BEY261" s="18"/>
      <c r="BEZ261" s="18"/>
      <c r="BFA261" s="18"/>
      <c r="BFB261" s="18"/>
      <c r="BFC261" s="18"/>
      <c r="BFD261" s="18"/>
      <c r="BFE261" s="18"/>
      <c r="BFF261" s="18"/>
      <c r="BFG261" s="18"/>
      <c r="BFH261" s="18"/>
      <c r="BFI261" s="18"/>
      <c r="BFJ261" s="18"/>
      <c r="BFK261" s="18"/>
      <c r="BFL261" s="18"/>
      <c r="BFM261" s="18"/>
      <c r="BFN261" s="18"/>
      <c r="BFO261" s="18"/>
      <c r="BFP261" s="18"/>
      <c r="BFQ261" s="18"/>
      <c r="BFR261" s="18"/>
      <c r="BFS261" s="18"/>
      <c r="BFT261" s="18"/>
      <c r="BFU261" s="18"/>
      <c r="BFV261" s="18"/>
      <c r="BFW261" s="18"/>
      <c r="BFX261" s="18"/>
      <c r="BFY261" s="18"/>
      <c r="BFZ261" s="18"/>
      <c r="BGA261" s="18"/>
      <c r="BGB261" s="18"/>
      <c r="BGC261" s="18"/>
      <c r="BGD261" s="18"/>
      <c r="BGE261" s="18"/>
      <c r="BGF261" s="18"/>
      <c r="BGG261" s="18"/>
      <c r="BGH261" s="18"/>
      <c r="BGI261" s="18"/>
      <c r="BGJ261" s="18"/>
      <c r="BGK261" s="18"/>
      <c r="BGL261" s="18"/>
      <c r="BGM261" s="18"/>
      <c r="BGN261" s="18"/>
      <c r="BGO261" s="18"/>
      <c r="BGP261" s="18"/>
      <c r="BGQ261" s="18"/>
      <c r="BGR261" s="18"/>
      <c r="BGS261" s="18"/>
      <c r="BGT261" s="18"/>
      <c r="BGU261" s="18"/>
      <c r="BGV261" s="18"/>
      <c r="BGW261" s="18"/>
      <c r="BGX261" s="18"/>
      <c r="BGY261" s="18"/>
      <c r="BGZ261" s="18"/>
      <c r="BHA261" s="18"/>
      <c r="BHB261" s="18"/>
      <c r="BHC261" s="18"/>
      <c r="BHD261" s="18"/>
      <c r="BHE261" s="18"/>
      <c r="BHF261" s="18"/>
      <c r="BHG261" s="18"/>
      <c r="BHH261" s="18"/>
      <c r="BHI261" s="18"/>
      <c r="BHJ261" s="18"/>
      <c r="BHK261" s="18"/>
      <c r="BHL261" s="18"/>
      <c r="BHM261" s="18"/>
      <c r="BHN261" s="18"/>
      <c r="BHO261" s="18"/>
      <c r="BHP261" s="18"/>
      <c r="BHQ261" s="18"/>
      <c r="BHR261" s="18"/>
      <c r="BHS261" s="18"/>
      <c r="BHT261" s="18"/>
      <c r="BHU261" s="18"/>
      <c r="BHV261" s="18"/>
      <c r="BHW261" s="18"/>
      <c r="BHX261" s="18"/>
      <c r="BHY261" s="18"/>
      <c r="BHZ261" s="18"/>
      <c r="BIA261" s="18"/>
      <c r="BIB261" s="18"/>
      <c r="BIC261" s="18"/>
      <c r="BID261" s="18"/>
      <c r="BIE261" s="18"/>
      <c r="BIF261" s="18"/>
      <c r="BIG261" s="18"/>
      <c r="BIH261" s="18"/>
      <c r="BII261" s="18"/>
      <c r="BIJ261" s="18"/>
      <c r="BIK261" s="18"/>
      <c r="BIL261" s="18"/>
      <c r="BIM261" s="18"/>
      <c r="BIN261" s="18"/>
      <c r="BIO261" s="18"/>
      <c r="BIP261" s="18"/>
      <c r="BIQ261" s="18"/>
      <c r="BIR261" s="18"/>
      <c r="BIS261" s="18"/>
      <c r="BIT261" s="18"/>
      <c r="BIU261" s="18"/>
      <c r="BIV261" s="18"/>
      <c r="BIW261" s="18"/>
      <c r="BIX261" s="18"/>
      <c r="BIY261" s="18"/>
      <c r="BIZ261" s="18"/>
      <c r="BJA261" s="18"/>
      <c r="BJB261" s="18"/>
      <c r="BJC261" s="18"/>
      <c r="BJD261" s="18"/>
      <c r="BJE261" s="18"/>
      <c r="BJF261" s="18"/>
      <c r="BJG261" s="18"/>
      <c r="BJH261" s="18"/>
      <c r="BJI261" s="18"/>
      <c r="BJJ261" s="18"/>
      <c r="BJK261" s="18"/>
      <c r="BJL261" s="18"/>
      <c r="BJM261" s="18"/>
      <c r="BJN261" s="18"/>
      <c r="BJO261" s="18"/>
      <c r="BJP261" s="18"/>
      <c r="BJQ261" s="18"/>
      <c r="BJR261" s="18"/>
      <c r="BJS261" s="18"/>
      <c r="BJT261" s="18"/>
      <c r="BJU261" s="18"/>
      <c r="BJV261" s="18"/>
      <c r="BJW261" s="18"/>
      <c r="BJX261" s="18"/>
      <c r="BJY261" s="18"/>
      <c r="BJZ261" s="18"/>
      <c r="BKA261" s="18"/>
      <c r="BKB261" s="18"/>
      <c r="BKC261" s="18"/>
      <c r="BKD261" s="18"/>
      <c r="BKE261" s="18"/>
      <c r="BKF261" s="18"/>
      <c r="BKG261" s="18"/>
      <c r="BKH261" s="18"/>
      <c r="BKI261" s="18"/>
      <c r="BKJ261" s="18"/>
      <c r="BKK261" s="18"/>
      <c r="BKL261" s="18"/>
      <c r="BKM261" s="18"/>
      <c r="BKN261" s="18"/>
      <c r="BKO261" s="18"/>
      <c r="BKP261" s="18"/>
      <c r="BKQ261" s="18"/>
      <c r="BKR261" s="18"/>
      <c r="BKS261" s="18"/>
      <c r="BKT261" s="18"/>
      <c r="BKU261" s="18"/>
      <c r="BKV261" s="18"/>
      <c r="BKW261" s="18"/>
      <c r="BKX261" s="18"/>
      <c r="BKY261" s="18"/>
      <c r="BKZ261" s="18"/>
      <c r="BLA261" s="18"/>
      <c r="BLB261" s="18"/>
      <c r="BLC261" s="18"/>
      <c r="BLD261" s="18"/>
      <c r="BLE261" s="18"/>
      <c r="BLF261" s="18"/>
      <c r="BLG261" s="18"/>
      <c r="BLH261" s="18"/>
      <c r="BLI261" s="18"/>
      <c r="BLJ261" s="18"/>
      <c r="BLK261" s="18"/>
      <c r="BLL261" s="18"/>
      <c r="BLM261" s="18"/>
      <c r="BLN261" s="18"/>
      <c r="BLO261" s="18"/>
      <c r="BLP261" s="18"/>
      <c r="BLQ261" s="18"/>
      <c r="BLR261" s="18"/>
      <c r="BLS261" s="18"/>
      <c r="BLT261" s="18"/>
      <c r="BLU261" s="18"/>
      <c r="BLV261" s="18"/>
      <c r="BLW261" s="18"/>
      <c r="BLX261" s="18"/>
      <c r="BLY261" s="18"/>
      <c r="BLZ261" s="18"/>
      <c r="BMA261" s="18"/>
      <c r="BMB261" s="18"/>
      <c r="BMC261" s="18"/>
      <c r="BMD261" s="18"/>
      <c r="BME261" s="18"/>
      <c r="BMF261" s="18"/>
      <c r="BMG261" s="18"/>
      <c r="BMH261" s="18"/>
      <c r="BMI261" s="18"/>
      <c r="BMJ261" s="18"/>
      <c r="BMK261" s="18"/>
      <c r="BML261" s="18"/>
      <c r="BMM261" s="18"/>
      <c r="BMN261" s="18"/>
      <c r="BMO261" s="18"/>
      <c r="BMP261" s="18"/>
      <c r="BMQ261" s="18"/>
      <c r="BMR261" s="18"/>
      <c r="BMS261" s="18"/>
      <c r="BMT261" s="18"/>
      <c r="BMU261" s="18"/>
      <c r="BMV261" s="18"/>
      <c r="BMW261" s="18"/>
      <c r="BMX261" s="18"/>
      <c r="BMY261" s="18"/>
      <c r="BMZ261" s="18"/>
      <c r="BNA261" s="18"/>
      <c r="BNB261" s="18"/>
      <c r="BNC261" s="18"/>
      <c r="BND261" s="18"/>
      <c r="BNE261" s="18"/>
      <c r="BNF261" s="18"/>
      <c r="BNG261" s="18"/>
      <c r="BNH261" s="18"/>
      <c r="BNI261" s="18"/>
      <c r="BNJ261" s="18"/>
      <c r="BNK261" s="18"/>
      <c r="BNL261" s="18"/>
      <c r="BNM261" s="18"/>
      <c r="BNN261" s="18"/>
      <c r="BNO261" s="18"/>
      <c r="BNP261" s="18"/>
      <c r="BNQ261" s="18"/>
      <c r="BNR261" s="18"/>
      <c r="BNS261" s="18"/>
      <c r="BNT261" s="18"/>
      <c r="BNU261" s="18"/>
      <c r="BNV261" s="18"/>
      <c r="BNW261" s="18"/>
      <c r="BNX261" s="18"/>
      <c r="BNY261" s="18"/>
      <c r="BNZ261" s="18"/>
      <c r="BOA261" s="18"/>
      <c r="BOB261" s="18"/>
      <c r="BOC261" s="18"/>
      <c r="BOD261" s="18"/>
      <c r="BOE261" s="18"/>
      <c r="BOF261" s="18"/>
      <c r="BOG261" s="18"/>
      <c r="BOH261" s="18"/>
      <c r="BOI261" s="18"/>
      <c r="BOJ261" s="18"/>
      <c r="BOK261" s="18"/>
      <c r="BOL261" s="18"/>
      <c r="BOM261" s="18"/>
      <c r="BON261" s="18"/>
      <c r="BOO261" s="18"/>
      <c r="BOP261" s="18"/>
      <c r="BOQ261" s="18"/>
      <c r="BOR261" s="18"/>
      <c r="BOS261" s="18"/>
      <c r="BOT261" s="18"/>
      <c r="BOU261" s="18"/>
      <c r="BOV261" s="18"/>
      <c r="BOW261" s="18"/>
      <c r="BOX261" s="18"/>
      <c r="BOY261" s="18"/>
      <c r="BOZ261" s="18"/>
      <c r="BPA261" s="18"/>
      <c r="BPB261" s="18"/>
      <c r="BPC261" s="18"/>
      <c r="BPD261" s="18"/>
      <c r="BPE261" s="18"/>
      <c r="BPF261" s="18"/>
      <c r="BPG261" s="18"/>
      <c r="BPH261" s="18"/>
      <c r="BPI261" s="18"/>
      <c r="BPJ261" s="18"/>
      <c r="BPK261" s="18"/>
      <c r="BPL261" s="18"/>
      <c r="BPM261" s="18"/>
      <c r="BPN261" s="18"/>
      <c r="BPO261" s="18"/>
      <c r="BPP261" s="18"/>
      <c r="BPQ261" s="18"/>
      <c r="BPR261" s="18"/>
      <c r="BPS261" s="18"/>
      <c r="BPT261" s="18"/>
      <c r="BPU261" s="18"/>
      <c r="BPV261" s="18"/>
      <c r="BPW261" s="18"/>
      <c r="BPX261" s="18"/>
      <c r="BPY261" s="18"/>
      <c r="BPZ261" s="18"/>
      <c r="BQA261" s="18"/>
      <c r="BQB261" s="18"/>
      <c r="BQC261" s="18"/>
      <c r="BQD261" s="18"/>
      <c r="BQE261" s="18"/>
      <c r="BQF261" s="18"/>
      <c r="BQG261" s="18"/>
      <c r="BQH261" s="18"/>
      <c r="BQI261" s="18"/>
      <c r="BQJ261" s="18"/>
      <c r="BQK261" s="18"/>
      <c r="BQL261" s="18"/>
      <c r="BQM261" s="18"/>
      <c r="BQN261" s="18"/>
      <c r="BQO261" s="18"/>
      <c r="BQP261" s="18"/>
      <c r="BQQ261" s="18"/>
      <c r="BQR261" s="18"/>
      <c r="BQS261" s="18"/>
      <c r="BQT261" s="18"/>
      <c r="BQU261" s="18"/>
      <c r="BQV261" s="18"/>
      <c r="BQW261" s="18"/>
      <c r="BQX261" s="18"/>
      <c r="BQY261" s="18"/>
      <c r="BQZ261" s="18"/>
      <c r="BRA261" s="18"/>
      <c r="BRB261" s="18"/>
      <c r="BRC261" s="18"/>
      <c r="BRD261" s="18"/>
      <c r="BRE261" s="18"/>
      <c r="BRF261" s="18"/>
      <c r="BRG261" s="18"/>
      <c r="BRH261" s="18"/>
      <c r="BRI261" s="18"/>
      <c r="BRJ261" s="18"/>
      <c r="BRK261" s="18"/>
      <c r="BRL261" s="18"/>
      <c r="BRM261" s="18"/>
      <c r="BRN261" s="18"/>
      <c r="BRO261" s="18"/>
      <c r="BRP261" s="18"/>
      <c r="BRQ261" s="18"/>
      <c r="BRR261" s="18"/>
      <c r="BRS261" s="18"/>
      <c r="BRT261" s="18"/>
      <c r="BRU261" s="18"/>
      <c r="BRV261" s="18"/>
      <c r="BRW261" s="18"/>
      <c r="BRX261" s="18"/>
      <c r="BRY261" s="18"/>
      <c r="BRZ261" s="18"/>
      <c r="BSA261" s="18"/>
      <c r="BSB261" s="18"/>
      <c r="BSC261" s="18"/>
      <c r="BSD261" s="18"/>
      <c r="BSE261" s="18"/>
      <c r="BSF261" s="18"/>
      <c r="BSG261" s="18"/>
      <c r="BSH261" s="18"/>
      <c r="BSI261" s="18"/>
      <c r="BSJ261" s="18"/>
      <c r="BSK261" s="18"/>
      <c r="BSL261" s="18"/>
      <c r="BSM261" s="18"/>
      <c r="BSN261" s="18"/>
      <c r="BSO261" s="18"/>
      <c r="BSP261" s="18"/>
      <c r="BSQ261" s="18"/>
      <c r="BSR261" s="18"/>
      <c r="BSS261" s="18"/>
      <c r="BST261" s="18"/>
      <c r="BSU261" s="18"/>
      <c r="BSV261" s="18"/>
      <c r="BSW261" s="18"/>
      <c r="BSX261" s="18"/>
      <c r="BSY261" s="18"/>
      <c r="BSZ261" s="18"/>
      <c r="BTA261" s="18"/>
      <c r="BTB261" s="18"/>
      <c r="BTC261" s="18"/>
      <c r="BTD261" s="18"/>
      <c r="BTE261" s="18"/>
      <c r="BTF261" s="18"/>
      <c r="BTG261" s="18"/>
      <c r="BTH261" s="18"/>
      <c r="BTI261" s="18"/>
    </row>
    <row r="262" spans="1:1881" s="789" customFormat="1" ht="110.25" customHeight="1" x14ac:dyDescent="0.3">
      <c r="A262" s="124">
        <v>622</v>
      </c>
      <c r="B262" s="790" t="s">
        <v>607</v>
      </c>
      <c r="C262" s="124" t="s">
        <v>715</v>
      </c>
      <c r="D262" s="124" t="s">
        <v>1422</v>
      </c>
      <c r="E262" s="689" t="e">
        <f>HLOOKUP($D$2,'2020 Data(H)'!$C$1:$CR$397,282,FALSE)</f>
        <v>#N/A</v>
      </c>
      <c r="F262" s="299">
        <v>0</v>
      </c>
      <c r="G262" s="750"/>
      <c r="H262" s="17"/>
      <c r="I262" s="786"/>
      <c r="J262" s="18"/>
      <c r="K262" s="18"/>
      <c r="L262" s="18"/>
      <c r="M262" s="18"/>
      <c r="N262" s="301"/>
      <c r="O262" s="18"/>
      <c r="P262" s="18"/>
      <c r="Q262" s="18"/>
      <c r="R262" s="18"/>
      <c r="S262" s="18"/>
      <c r="T262" s="18"/>
      <c r="U262" s="18"/>
      <c r="V262" s="18"/>
      <c r="W262" s="18"/>
      <c r="X262" s="18"/>
      <c r="Y262" s="18"/>
      <c r="Z262" s="124"/>
      <c r="AA262" s="124"/>
      <c r="AB262" s="124"/>
      <c r="AC262" s="124"/>
      <c r="AD262" s="124"/>
      <c r="AE262" s="124"/>
      <c r="AF262" s="124"/>
      <c r="AG262" s="124"/>
      <c r="AH262" s="124"/>
      <c r="AI262" s="124"/>
      <c r="AJ262" s="124"/>
      <c r="AK262" s="124"/>
      <c r="AL262" s="124"/>
      <c r="AM262" s="124"/>
      <c r="AN262" s="124"/>
      <c r="AO262" s="124"/>
      <c r="AP262" s="124"/>
      <c r="AQ262" s="124"/>
      <c r="AR262" s="124"/>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c r="WZ262" s="18"/>
      <c r="XA262" s="18"/>
      <c r="XB262" s="18"/>
      <c r="XC262" s="18"/>
      <c r="XD262" s="18"/>
      <c r="XE262" s="18"/>
      <c r="XF262" s="18"/>
      <c r="XG262" s="18"/>
      <c r="XH262" s="18"/>
      <c r="XI262" s="18"/>
      <c r="XJ262" s="18"/>
      <c r="XK262" s="18"/>
      <c r="XL262" s="18"/>
      <c r="XM262" s="18"/>
      <c r="XN262" s="18"/>
      <c r="XO262" s="18"/>
      <c r="XP262" s="18"/>
      <c r="XQ262" s="18"/>
      <c r="XR262" s="18"/>
      <c r="XS262" s="18"/>
      <c r="XT262" s="18"/>
      <c r="XU262" s="18"/>
      <c r="XV262" s="18"/>
      <c r="XW262" s="18"/>
      <c r="XX262" s="18"/>
      <c r="XY262" s="18"/>
      <c r="XZ262" s="18"/>
      <c r="YA262" s="18"/>
      <c r="YB262" s="18"/>
      <c r="YC262" s="18"/>
      <c r="YD262" s="18"/>
      <c r="YE262" s="18"/>
      <c r="YF262" s="18"/>
      <c r="YG262" s="18"/>
      <c r="YH262" s="18"/>
      <c r="YI262" s="18"/>
      <c r="YJ262" s="18"/>
      <c r="YK262" s="18"/>
      <c r="YL262" s="18"/>
      <c r="YM262" s="18"/>
      <c r="YN262" s="18"/>
      <c r="YO262" s="18"/>
      <c r="YP262" s="18"/>
      <c r="YQ262" s="18"/>
      <c r="YR262" s="18"/>
      <c r="YS262" s="18"/>
      <c r="YT262" s="18"/>
      <c r="YU262" s="18"/>
      <c r="YV262" s="18"/>
      <c r="YW262" s="18"/>
      <c r="YX262" s="18"/>
      <c r="YY262" s="18"/>
      <c r="YZ262" s="18"/>
      <c r="ZA262" s="18"/>
      <c r="ZB262" s="18"/>
      <c r="ZC262" s="18"/>
      <c r="ZD262" s="18"/>
      <c r="ZE262" s="18"/>
      <c r="ZF262" s="18"/>
      <c r="ZG262" s="18"/>
      <c r="ZH262" s="18"/>
      <c r="ZI262" s="18"/>
      <c r="ZJ262" s="18"/>
      <c r="ZK262" s="18"/>
      <c r="ZL262" s="18"/>
      <c r="ZM262" s="18"/>
      <c r="ZN262" s="18"/>
      <c r="ZO262" s="18"/>
      <c r="ZP262" s="18"/>
      <c r="ZQ262" s="18"/>
      <c r="ZR262" s="18"/>
      <c r="ZS262" s="18"/>
      <c r="ZT262" s="18"/>
      <c r="ZU262" s="18"/>
      <c r="ZV262" s="18"/>
      <c r="ZW262" s="18"/>
      <c r="ZX262" s="18"/>
      <c r="ZY262" s="18"/>
      <c r="ZZ262" s="18"/>
      <c r="AAA262" s="18"/>
      <c r="AAB262" s="18"/>
      <c r="AAC262" s="18"/>
      <c r="AAD262" s="18"/>
      <c r="AAE262" s="18"/>
      <c r="AAF262" s="18"/>
      <c r="AAG262" s="18"/>
      <c r="AAH262" s="18"/>
      <c r="AAI262" s="18"/>
      <c r="AAJ262" s="18"/>
      <c r="AAK262" s="18"/>
      <c r="AAL262" s="18"/>
      <c r="AAM262" s="18"/>
      <c r="AAN262" s="18"/>
      <c r="AAO262" s="18"/>
      <c r="AAP262" s="18"/>
      <c r="AAQ262" s="18"/>
      <c r="AAR262" s="18"/>
      <c r="AAS262" s="18"/>
      <c r="AAT262" s="18"/>
      <c r="AAU262" s="18"/>
      <c r="AAV262" s="18"/>
      <c r="AAW262" s="18"/>
      <c r="AAX262" s="18"/>
      <c r="AAY262" s="18"/>
      <c r="AAZ262" s="18"/>
      <c r="ABA262" s="18"/>
      <c r="ABB262" s="18"/>
      <c r="ABC262" s="18"/>
      <c r="ABD262" s="18"/>
      <c r="ABE262" s="18"/>
      <c r="ABF262" s="18"/>
      <c r="ABG262" s="18"/>
      <c r="ABH262" s="18"/>
      <c r="ABI262" s="18"/>
      <c r="ABJ262" s="18"/>
      <c r="ABK262" s="18"/>
      <c r="ABL262" s="18"/>
      <c r="ABM262" s="18"/>
      <c r="ABN262" s="18"/>
      <c r="ABO262" s="18"/>
      <c r="ABP262" s="18"/>
      <c r="ABQ262" s="18"/>
      <c r="ABR262" s="18"/>
      <c r="ABS262" s="18"/>
      <c r="ABT262" s="18"/>
      <c r="ABU262" s="18"/>
      <c r="ABV262" s="18"/>
      <c r="ABW262" s="18"/>
      <c r="ABX262" s="18"/>
      <c r="ABY262" s="18"/>
      <c r="ABZ262" s="18"/>
      <c r="ACA262" s="18"/>
      <c r="ACB262" s="18"/>
      <c r="ACC262" s="18"/>
      <c r="ACD262" s="18"/>
      <c r="ACE262" s="18"/>
      <c r="ACF262" s="18"/>
      <c r="ACG262" s="18"/>
      <c r="ACH262" s="18"/>
      <c r="ACI262" s="18"/>
      <c r="ACJ262" s="18"/>
      <c r="ACK262" s="18"/>
      <c r="ACL262" s="18"/>
      <c r="ACM262" s="18"/>
      <c r="ACN262" s="18"/>
      <c r="ACO262" s="18"/>
      <c r="ACP262" s="18"/>
      <c r="ACQ262" s="18"/>
      <c r="ACR262" s="18"/>
      <c r="ACS262" s="18"/>
      <c r="ACT262" s="18"/>
      <c r="ACU262" s="18"/>
      <c r="ACV262" s="18"/>
      <c r="ACW262" s="18"/>
      <c r="ACX262" s="18"/>
      <c r="ACY262" s="18"/>
      <c r="ACZ262" s="18"/>
      <c r="ADA262" s="18"/>
      <c r="ADB262" s="18"/>
      <c r="ADC262" s="18"/>
      <c r="ADD262" s="18"/>
      <c r="ADE262" s="18"/>
      <c r="ADF262" s="18"/>
      <c r="ADG262" s="18"/>
      <c r="ADH262" s="18"/>
      <c r="ADI262" s="18"/>
      <c r="ADJ262" s="18"/>
      <c r="ADK262" s="18"/>
      <c r="ADL262" s="18"/>
      <c r="ADM262" s="18"/>
      <c r="ADN262" s="18"/>
      <c r="ADO262" s="18"/>
      <c r="ADP262" s="18"/>
      <c r="ADQ262" s="18"/>
      <c r="ADR262" s="18"/>
      <c r="ADS262" s="18"/>
      <c r="ADT262" s="18"/>
      <c r="ADU262" s="18"/>
      <c r="ADV262" s="18"/>
      <c r="ADW262" s="18"/>
      <c r="ADX262" s="18"/>
      <c r="ADY262" s="18"/>
      <c r="ADZ262" s="18"/>
      <c r="AEA262" s="18"/>
      <c r="AEB262" s="18"/>
      <c r="AEC262" s="18"/>
      <c r="AED262" s="18"/>
      <c r="AEE262" s="18"/>
      <c r="AEF262" s="18"/>
      <c r="AEG262" s="18"/>
      <c r="AEH262" s="18"/>
      <c r="AEI262" s="18"/>
      <c r="AEJ262" s="18"/>
      <c r="AEK262" s="18"/>
      <c r="AEL262" s="18"/>
      <c r="AEM262" s="18"/>
      <c r="AEN262" s="18"/>
      <c r="AEO262" s="18"/>
      <c r="AEP262" s="18"/>
      <c r="AEQ262" s="18"/>
      <c r="AER262" s="18"/>
      <c r="AES262" s="18"/>
      <c r="AET262" s="18"/>
      <c r="AEU262" s="18"/>
      <c r="AEV262" s="18"/>
      <c r="AEW262" s="18"/>
      <c r="AEX262" s="18"/>
      <c r="AEY262" s="18"/>
      <c r="AEZ262" s="18"/>
      <c r="AFA262" s="18"/>
      <c r="AFB262" s="18"/>
      <c r="AFC262" s="18"/>
      <c r="AFD262" s="18"/>
      <c r="AFE262" s="18"/>
      <c r="AFF262" s="18"/>
      <c r="AFG262" s="18"/>
      <c r="AFH262" s="18"/>
      <c r="AFI262" s="18"/>
      <c r="AFJ262" s="18"/>
      <c r="AFK262" s="18"/>
      <c r="AFL262" s="18"/>
      <c r="AFM262" s="18"/>
      <c r="AFN262" s="18"/>
      <c r="AFO262" s="18"/>
      <c r="AFP262" s="18"/>
      <c r="AFQ262" s="18"/>
      <c r="AFR262" s="18"/>
      <c r="AFS262" s="18"/>
      <c r="AFT262" s="18"/>
      <c r="AFU262" s="18"/>
      <c r="AFV262" s="18"/>
      <c r="AFW262" s="18"/>
      <c r="AFX262" s="18"/>
      <c r="AFY262" s="18"/>
      <c r="AFZ262" s="18"/>
      <c r="AGA262" s="18"/>
      <c r="AGB262" s="18"/>
      <c r="AGC262" s="18"/>
      <c r="AGD262" s="18"/>
      <c r="AGE262" s="18"/>
      <c r="AGF262" s="18"/>
      <c r="AGG262" s="18"/>
      <c r="AGH262" s="18"/>
      <c r="AGI262" s="18"/>
      <c r="AGJ262" s="18"/>
      <c r="AGK262" s="18"/>
      <c r="AGL262" s="18"/>
      <c r="AGM262" s="18"/>
      <c r="AGN262" s="18"/>
      <c r="AGO262" s="18"/>
      <c r="AGP262" s="18"/>
      <c r="AGQ262" s="18"/>
      <c r="AGR262" s="18"/>
      <c r="AGS262" s="18"/>
      <c r="AGT262" s="18"/>
      <c r="AGU262" s="18"/>
      <c r="AGV262" s="18"/>
      <c r="AGW262" s="18"/>
      <c r="AGX262" s="18"/>
      <c r="AGY262" s="18"/>
      <c r="AGZ262" s="18"/>
      <c r="AHA262" s="18"/>
      <c r="AHB262" s="18"/>
      <c r="AHC262" s="18"/>
      <c r="AHD262" s="18"/>
      <c r="AHE262" s="18"/>
      <c r="AHF262" s="18"/>
      <c r="AHG262" s="18"/>
      <c r="AHH262" s="18"/>
      <c r="AHI262" s="18"/>
      <c r="AHJ262" s="18"/>
      <c r="AHK262" s="18"/>
      <c r="AHL262" s="18"/>
      <c r="AHM262" s="18"/>
      <c r="AHN262" s="18"/>
      <c r="AHO262" s="18"/>
      <c r="AHP262" s="18"/>
      <c r="AHQ262" s="18"/>
      <c r="AHR262" s="18"/>
      <c r="AHS262" s="18"/>
      <c r="AHT262" s="18"/>
      <c r="AHU262" s="18"/>
      <c r="AHV262" s="18"/>
      <c r="AHW262" s="18"/>
      <c r="AHX262" s="18"/>
      <c r="AHY262" s="18"/>
      <c r="AHZ262" s="18"/>
      <c r="AIA262" s="18"/>
      <c r="AIB262" s="18"/>
      <c r="AIC262" s="18"/>
      <c r="AID262" s="18"/>
      <c r="AIE262" s="18"/>
      <c r="AIF262" s="18"/>
      <c r="AIG262" s="18"/>
      <c r="AIH262" s="18"/>
      <c r="AII262" s="18"/>
      <c r="AIJ262" s="18"/>
      <c r="AIK262" s="18"/>
      <c r="AIL262" s="18"/>
      <c r="AIM262" s="18"/>
      <c r="AIN262" s="18"/>
      <c r="AIO262" s="18"/>
      <c r="AIP262" s="18"/>
      <c r="AIQ262" s="18"/>
      <c r="AIR262" s="18"/>
      <c r="AIS262" s="18"/>
      <c r="AIT262" s="18"/>
      <c r="AIU262" s="18"/>
      <c r="AIV262" s="18"/>
      <c r="AIW262" s="18"/>
      <c r="AIX262" s="18"/>
      <c r="AIY262" s="18"/>
      <c r="AIZ262" s="18"/>
      <c r="AJA262" s="18"/>
      <c r="AJB262" s="18"/>
      <c r="AJC262" s="18"/>
      <c r="AJD262" s="18"/>
      <c r="AJE262" s="18"/>
      <c r="AJF262" s="18"/>
      <c r="AJG262" s="18"/>
      <c r="AJH262" s="18"/>
      <c r="AJI262" s="18"/>
      <c r="AJJ262" s="18"/>
      <c r="AJK262" s="18"/>
      <c r="AJL262" s="18"/>
      <c r="AJM262" s="18"/>
      <c r="AJN262" s="18"/>
      <c r="AJO262" s="18"/>
      <c r="AJP262" s="18"/>
      <c r="AJQ262" s="18"/>
      <c r="AJR262" s="18"/>
      <c r="AJS262" s="18"/>
      <c r="AJT262" s="18"/>
      <c r="AJU262" s="18"/>
      <c r="AJV262" s="18"/>
      <c r="AJW262" s="18"/>
      <c r="AJX262" s="18"/>
      <c r="AJY262" s="18"/>
      <c r="AJZ262" s="18"/>
      <c r="AKA262" s="18"/>
      <c r="AKB262" s="18"/>
      <c r="AKC262" s="18"/>
      <c r="AKD262" s="18"/>
      <c r="AKE262" s="18"/>
      <c r="AKF262" s="18"/>
      <c r="AKG262" s="18"/>
      <c r="AKH262" s="18"/>
      <c r="AKI262" s="18"/>
      <c r="AKJ262" s="18"/>
      <c r="AKK262" s="18"/>
      <c r="AKL262" s="18"/>
      <c r="AKM262" s="18"/>
      <c r="AKN262" s="18"/>
      <c r="AKO262" s="18"/>
      <c r="AKP262" s="18"/>
      <c r="AKQ262" s="18"/>
      <c r="AKR262" s="18"/>
      <c r="AKS262" s="18"/>
      <c r="AKT262" s="18"/>
      <c r="AKU262" s="18"/>
      <c r="AKV262" s="18"/>
      <c r="AKW262" s="18"/>
      <c r="AKX262" s="18"/>
      <c r="AKY262" s="18"/>
      <c r="AKZ262" s="18"/>
      <c r="ALA262" s="18"/>
      <c r="ALB262" s="18"/>
      <c r="ALC262" s="18"/>
      <c r="ALD262" s="18"/>
      <c r="ALE262" s="18"/>
      <c r="ALF262" s="18"/>
      <c r="ALG262" s="18"/>
      <c r="ALH262" s="18"/>
      <c r="ALI262" s="18"/>
      <c r="ALJ262" s="18"/>
      <c r="ALK262" s="18"/>
      <c r="ALL262" s="18"/>
      <c r="ALM262" s="18"/>
      <c r="ALN262" s="18"/>
      <c r="ALO262" s="18"/>
      <c r="ALP262" s="18"/>
      <c r="ALQ262" s="18"/>
      <c r="ALR262" s="18"/>
      <c r="ALS262" s="18"/>
      <c r="ALT262" s="18"/>
      <c r="ALU262" s="18"/>
      <c r="ALV262" s="18"/>
      <c r="ALW262" s="18"/>
      <c r="ALX262" s="18"/>
      <c r="ALY262" s="18"/>
      <c r="ALZ262" s="18"/>
      <c r="AMA262" s="18"/>
      <c r="AMB262" s="18"/>
      <c r="AMC262" s="18"/>
      <c r="AMD262" s="18"/>
      <c r="AME262" s="18"/>
      <c r="AMF262" s="18"/>
      <c r="AMG262" s="18"/>
      <c r="AMH262" s="18"/>
      <c r="AMI262" s="18"/>
      <c r="AMJ262" s="18"/>
      <c r="AMK262" s="18"/>
      <c r="AML262" s="18"/>
      <c r="AMM262" s="18"/>
      <c r="AMN262" s="18"/>
      <c r="AMO262" s="18"/>
      <c r="AMP262" s="18"/>
      <c r="AMQ262" s="18"/>
      <c r="AMR262" s="18"/>
      <c r="AMS262" s="18"/>
      <c r="AMT262" s="18"/>
      <c r="AMU262" s="18"/>
      <c r="AMV262" s="18"/>
      <c r="AMW262" s="18"/>
      <c r="AMX262" s="18"/>
      <c r="AMY262" s="18"/>
      <c r="AMZ262" s="18"/>
      <c r="ANA262" s="18"/>
      <c r="ANB262" s="18"/>
      <c r="ANC262" s="18"/>
      <c r="AND262" s="18"/>
      <c r="ANE262" s="18"/>
      <c r="ANF262" s="18"/>
      <c r="ANG262" s="18"/>
      <c r="ANH262" s="18"/>
      <c r="ANI262" s="18"/>
      <c r="ANJ262" s="18"/>
      <c r="ANK262" s="18"/>
      <c r="ANL262" s="18"/>
      <c r="ANM262" s="18"/>
      <c r="ANN262" s="18"/>
      <c r="ANO262" s="18"/>
      <c r="ANP262" s="18"/>
      <c r="ANQ262" s="18"/>
      <c r="ANR262" s="18"/>
      <c r="ANS262" s="18"/>
      <c r="ANT262" s="18"/>
      <c r="ANU262" s="18"/>
      <c r="ANV262" s="18"/>
      <c r="ANW262" s="18"/>
      <c r="ANX262" s="18"/>
      <c r="ANY262" s="18"/>
      <c r="ANZ262" s="18"/>
      <c r="AOA262" s="18"/>
      <c r="AOB262" s="18"/>
      <c r="AOC262" s="18"/>
      <c r="AOD262" s="18"/>
      <c r="AOE262" s="18"/>
      <c r="AOF262" s="18"/>
      <c r="AOG262" s="18"/>
      <c r="AOH262" s="18"/>
      <c r="AOI262" s="18"/>
      <c r="AOJ262" s="18"/>
      <c r="AOK262" s="18"/>
      <c r="AOL262" s="18"/>
      <c r="AOM262" s="18"/>
      <c r="AON262" s="18"/>
      <c r="AOO262" s="18"/>
      <c r="AOP262" s="18"/>
      <c r="AOQ262" s="18"/>
      <c r="AOR262" s="18"/>
      <c r="AOS262" s="18"/>
      <c r="AOT262" s="18"/>
      <c r="AOU262" s="18"/>
      <c r="AOV262" s="18"/>
      <c r="AOW262" s="18"/>
      <c r="AOX262" s="18"/>
      <c r="AOY262" s="18"/>
      <c r="AOZ262" s="18"/>
      <c r="APA262" s="18"/>
      <c r="APB262" s="18"/>
      <c r="APC262" s="18"/>
      <c r="APD262" s="18"/>
      <c r="APE262" s="18"/>
      <c r="APF262" s="18"/>
      <c r="APG262" s="18"/>
      <c r="APH262" s="18"/>
      <c r="API262" s="18"/>
      <c r="APJ262" s="18"/>
      <c r="APK262" s="18"/>
      <c r="APL262" s="18"/>
      <c r="APM262" s="18"/>
      <c r="APN262" s="18"/>
      <c r="APO262" s="18"/>
      <c r="APP262" s="18"/>
      <c r="APQ262" s="18"/>
      <c r="APR262" s="18"/>
      <c r="APS262" s="18"/>
      <c r="APT262" s="18"/>
      <c r="APU262" s="18"/>
      <c r="APV262" s="18"/>
      <c r="APW262" s="18"/>
      <c r="APX262" s="18"/>
      <c r="APY262" s="18"/>
      <c r="APZ262" s="18"/>
      <c r="AQA262" s="18"/>
      <c r="AQB262" s="18"/>
      <c r="AQC262" s="18"/>
      <c r="AQD262" s="18"/>
      <c r="AQE262" s="18"/>
      <c r="AQF262" s="18"/>
      <c r="AQG262" s="18"/>
      <c r="AQH262" s="18"/>
      <c r="AQI262" s="18"/>
      <c r="AQJ262" s="18"/>
      <c r="AQK262" s="18"/>
      <c r="AQL262" s="18"/>
      <c r="AQM262" s="18"/>
      <c r="AQN262" s="18"/>
      <c r="AQO262" s="18"/>
      <c r="AQP262" s="18"/>
      <c r="AQQ262" s="18"/>
      <c r="AQR262" s="18"/>
      <c r="AQS262" s="18"/>
      <c r="AQT262" s="18"/>
      <c r="AQU262" s="18"/>
      <c r="AQV262" s="18"/>
      <c r="AQW262" s="18"/>
      <c r="AQX262" s="18"/>
      <c r="AQY262" s="18"/>
      <c r="AQZ262" s="18"/>
      <c r="ARA262" s="18"/>
      <c r="ARB262" s="18"/>
      <c r="ARC262" s="18"/>
      <c r="ARD262" s="18"/>
      <c r="ARE262" s="18"/>
      <c r="ARF262" s="18"/>
      <c r="ARG262" s="18"/>
      <c r="ARH262" s="18"/>
      <c r="ARI262" s="18"/>
      <c r="ARJ262" s="18"/>
      <c r="ARK262" s="18"/>
      <c r="ARL262" s="18"/>
      <c r="ARM262" s="18"/>
      <c r="ARN262" s="18"/>
      <c r="ARO262" s="18"/>
      <c r="ARP262" s="18"/>
      <c r="ARQ262" s="18"/>
      <c r="ARR262" s="18"/>
      <c r="ARS262" s="18"/>
      <c r="ART262" s="18"/>
      <c r="ARU262" s="18"/>
      <c r="ARV262" s="18"/>
      <c r="ARW262" s="18"/>
      <c r="ARX262" s="18"/>
      <c r="ARY262" s="18"/>
      <c r="ARZ262" s="18"/>
      <c r="ASA262" s="18"/>
      <c r="ASB262" s="18"/>
      <c r="ASC262" s="18"/>
      <c r="ASD262" s="18"/>
      <c r="ASE262" s="18"/>
      <c r="ASF262" s="18"/>
      <c r="ASG262" s="18"/>
      <c r="ASH262" s="18"/>
      <c r="ASI262" s="18"/>
      <c r="ASJ262" s="18"/>
      <c r="ASK262" s="18"/>
      <c r="ASL262" s="18"/>
      <c r="ASM262" s="18"/>
      <c r="ASN262" s="18"/>
      <c r="ASO262" s="18"/>
      <c r="ASP262" s="18"/>
      <c r="ASQ262" s="18"/>
      <c r="ASR262" s="18"/>
      <c r="ASS262" s="18"/>
      <c r="AST262" s="18"/>
      <c r="ASU262" s="18"/>
      <c r="ASV262" s="18"/>
      <c r="ASW262" s="18"/>
      <c r="ASX262" s="18"/>
      <c r="ASY262" s="18"/>
      <c r="ASZ262" s="18"/>
      <c r="ATA262" s="18"/>
      <c r="ATB262" s="18"/>
      <c r="ATC262" s="18"/>
      <c r="ATD262" s="18"/>
      <c r="ATE262" s="18"/>
      <c r="ATF262" s="18"/>
      <c r="ATG262" s="18"/>
      <c r="ATH262" s="18"/>
      <c r="ATI262" s="18"/>
      <c r="ATJ262" s="18"/>
      <c r="ATK262" s="18"/>
      <c r="ATL262" s="18"/>
      <c r="ATM262" s="18"/>
      <c r="ATN262" s="18"/>
      <c r="ATO262" s="18"/>
      <c r="ATP262" s="18"/>
      <c r="ATQ262" s="18"/>
      <c r="ATR262" s="18"/>
      <c r="ATS262" s="18"/>
      <c r="ATT262" s="18"/>
      <c r="ATU262" s="18"/>
      <c r="ATV262" s="18"/>
      <c r="ATW262" s="18"/>
      <c r="ATX262" s="18"/>
      <c r="ATY262" s="18"/>
      <c r="ATZ262" s="18"/>
      <c r="AUA262" s="18"/>
      <c r="AUB262" s="18"/>
      <c r="AUC262" s="18"/>
      <c r="AUD262" s="18"/>
      <c r="AUE262" s="18"/>
      <c r="AUF262" s="18"/>
      <c r="AUG262" s="18"/>
      <c r="AUH262" s="18"/>
      <c r="AUI262" s="18"/>
      <c r="AUJ262" s="18"/>
      <c r="AUK262" s="18"/>
      <c r="AUL262" s="18"/>
      <c r="AUM262" s="18"/>
      <c r="AUN262" s="18"/>
      <c r="AUO262" s="18"/>
      <c r="AUP262" s="18"/>
      <c r="AUQ262" s="18"/>
      <c r="AUR262" s="18"/>
      <c r="AUS262" s="18"/>
      <c r="AUT262" s="18"/>
      <c r="AUU262" s="18"/>
      <c r="AUV262" s="18"/>
      <c r="AUW262" s="18"/>
      <c r="AUX262" s="18"/>
      <c r="AUY262" s="18"/>
      <c r="AUZ262" s="18"/>
      <c r="AVA262" s="18"/>
      <c r="AVB262" s="18"/>
      <c r="AVC262" s="18"/>
      <c r="AVD262" s="18"/>
      <c r="AVE262" s="18"/>
      <c r="AVF262" s="18"/>
      <c r="AVG262" s="18"/>
      <c r="AVH262" s="18"/>
      <c r="AVI262" s="18"/>
      <c r="AVJ262" s="18"/>
      <c r="AVK262" s="18"/>
      <c r="AVL262" s="18"/>
      <c r="AVM262" s="18"/>
      <c r="AVN262" s="18"/>
      <c r="AVO262" s="18"/>
      <c r="AVP262" s="18"/>
      <c r="AVQ262" s="18"/>
      <c r="AVR262" s="18"/>
      <c r="AVS262" s="18"/>
      <c r="AVT262" s="18"/>
      <c r="AVU262" s="18"/>
      <c r="AVV262" s="18"/>
      <c r="AVW262" s="18"/>
      <c r="AVX262" s="18"/>
      <c r="AVY262" s="18"/>
      <c r="AVZ262" s="18"/>
      <c r="AWA262" s="18"/>
      <c r="AWB262" s="18"/>
      <c r="AWC262" s="18"/>
      <c r="AWD262" s="18"/>
      <c r="AWE262" s="18"/>
      <c r="AWF262" s="18"/>
      <c r="AWG262" s="18"/>
      <c r="AWH262" s="18"/>
      <c r="AWI262" s="18"/>
      <c r="AWJ262" s="18"/>
      <c r="AWK262" s="18"/>
      <c r="AWL262" s="18"/>
      <c r="AWM262" s="18"/>
      <c r="AWN262" s="18"/>
      <c r="AWO262" s="18"/>
      <c r="AWP262" s="18"/>
      <c r="AWQ262" s="18"/>
      <c r="AWR262" s="18"/>
      <c r="AWS262" s="18"/>
      <c r="AWT262" s="18"/>
      <c r="AWU262" s="18"/>
      <c r="AWV262" s="18"/>
      <c r="AWW262" s="18"/>
      <c r="AWX262" s="18"/>
      <c r="AWY262" s="18"/>
      <c r="AWZ262" s="18"/>
      <c r="AXA262" s="18"/>
      <c r="AXB262" s="18"/>
      <c r="AXC262" s="18"/>
      <c r="AXD262" s="18"/>
      <c r="AXE262" s="18"/>
      <c r="AXF262" s="18"/>
      <c r="AXG262" s="18"/>
      <c r="AXH262" s="18"/>
      <c r="AXI262" s="18"/>
      <c r="AXJ262" s="18"/>
      <c r="AXK262" s="18"/>
      <c r="AXL262" s="18"/>
      <c r="AXM262" s="18"/>
      <c r="AXN262" s="18"/>
      <c r="AXO262" s="18"/>
      <c r="AXP262" s="18"/>
      <c r="AXQ262" s="18"/>
      <c r="AXR262" s="18"/>
      <c r="AXS262" s="18"/>
      <c r="AXT262" s="18"/>
      <c r="AXU262" s="18"/>
      <c r="AXV262" s="18"/>
      <c r="AXW262" s="18"/>
      <c r="AXX262" s="18"/>
      <c r="AXY262" s="18"/>
      <c r="AXZ262" s="18"/>
      <c r="AYA262" s="18"/>
      <c r="AYB262" s="18"/>
      <c r="AYC262" s="18"/>
      <c r="AYD262" s="18"/>
      <c r="AYE262" s="18"/>
      <c r="AYF262" s="18"/>
      <c r="AYG262" s="18"/>
      <c r="AYH262" s="18"/>
      <c r="AYI262" s="18"/>
      <c r="AYJ262" s="18"/>
      <c r="AYK262" s="18"/>
      <c r="AYL262" s="18"/>
      <c r="AYM262" s="18"/>
      <c r="AYN262" s="18"/>
      <c r="AYO262" s="18"/>
      <c r="AYP262" s="18"/>
      <c r="AYQ262" s="18"/>
      <c r="AYR262" s="18"/>
      <c r="AYS262" s="18"/>
      <c r="AYT262" s="18"/>
      <c r="AYU262" s="18"/>
      <c r="AYV262" s="18"/>
      <c r="AYW262" s="18"/>
      <c r="AYX262" s="18"/>
      <c r="AYY262" s="18"/>
      <c r="AYZ262" s="18"/>
      <c r="AZA262" s="18"/>
      <c r="AZB262" s="18"/>
      <c r="AZC262" s="18"/>
      <c r="AZD262" s="18"/>
      <c r="AZE262" s="18"/>
      <c r="AZF262" s="18"/>
      <c r="AZG262" s="18"/>
      <c r="AZH262" s="18"/>
      <c r="AZI262" s="18"/>
      <c r="AZJ262" s="18"/>
      <c r="AZK262" s="18"/>
      <c r="AZL262" s="18"/>
      <c r="AZM262" s="18"/>
      <c r="AZN262" s="18"/>
      <c r="AZO262" s="18"/>
      <c r="AZP262" s="18"/>
      <c r="AZQ262" s="18"/>
      <c r="AZR262" s="18"/>
      <c r="AZS262" s="18"/>
      <c r="AZT262" s="18"/>
      <c r="AZU262" s="18"/>
      <c r="AZV262" s="18"/>
      <c r="AZW262" s="18"/>
      <c r="AZX262" s="18"/>
      <c r="AZY262" s="18"/>
      <c r="AZZ262" s="18"/>
      <c r="BAA262" s="18"/>
      <c r="BAB262" s="18"/>
      <c r="BAC262" s="18"/>
      <c r="BAD262" s="18"/>
      <c r="BAE262" s="18"/>
      <c r="BAF262" s="18"/>
      <c r="BAG262" s="18"/>
      <c r="BAH262" s="18"/>
      <c r="BAI262" s="18"/>
      <c r="BAJ262" s="18"/>
      <c r="BAK262" s="18"/>
      <c r="BAL262" s="18"/>
      <c r="BAM262" s="18"/>
      <c r="BAN262" s="18"/>
      <c r="BAO262" s="18"/>
      <c r="BAP262" s="18"/>
      <c r="BAQ262" s="18"/>
      <c r="BAR262" s="18"/>
      <c r="BAS262" s="18"/>
      <c r="BAT262" s="18"/>
      <c r="BAU262" s="18"/>
      <c r="BAV262" s="18"/>
      <c r="BAW262" s="18"/>
      <c r="BAX262" s="18"/>
      <c r="BAY262" s="18"/>
      <c r="BAZ262" s="18"/>
      <c r="BBA262" s="18"/>
      <c r="BBB262" s="18"/>
      <c r="BBC262" s="18"/>
      <c r="BBD262" s="18"/>
      <c r="BBE262" s="18"/>
      <c r="BBF262" s="18"/>
      <c r="BBG262" s="18"/>
      <c r="BBH262" s="18"/>
      <c r="BBI262" s="18"/>
      <c r="BBJ262" s="18"/>
      <c r="BBK262" s="18"/>
      <c r="BBL262" s="18"/>
      <c r="BBM262" s="18"/>
      <c r="BBN262" s="18"/>
      <c r="BBO262" s="18"/>
      <c r="BBP262" s="18"/>
      <c r="BBQ262" s="18"/>
      <c r="BBR262" s="18"/>
      <c r="BBS262" s="18"/>
      <c r="BBT262" s="18"/>
      <c r="BBU262" s="18"/>
      <c r="BBV262" s="18"/>
      <c r="BBW262" s="18"/>
      <c r="BBX262" s="18"/>
      <c r="BBY262" s="18"/>
      <c r="BBZ262" s="18"/>
      <c r="BCA262" s="18"/>
      <c r="BCB262" s="18"/>
      <c r="BCC262" s="18"/>
      <c r="BCD262" s="18"/>
      <c r="BCE262" s="18"/>
      <c r="BCF262" s="18"/>
      <c r="BCG262" s="18"/>
      <c r="BCH262" s="18"/>
      <c r="BCI262" s="18"/>
      <c r="BCJ262" s="18"/>
      <c r="BCK262" s="18"/>
      <c r="BCL262" s="18"/>
      <c r="BCM262" s="18"/>
      <c r="BCN262" s="18"/>
      <c r="BCO262" s="18"/>
      <c r="BCP262" s="18"/>
      <c r="BCQ262" s="18"/>
      <c r="BCR262" s="18"/>
      <c r="BCS262" s="18"/>
      <c r="BCT262" s="18"/>
      <c r="BCU262" s="18"/>
      <c r="BCV262" s="18"/>
      <c r="BCW262" s="18"/>
      <c r="BCX262" s="18"/>
      <c r="BCY262" s="18"/>
      <c r="BCZ262" s="18"/>
      <c r="BDA262" s="18"/>
      <c r="BDB262" s="18"/>
      <c r="BDC262" s="18"/>
      <c r="BDD262" s="18"/>
      <c r="BDE262" s="18"/>
      <c r="BDF262" s="18"/>
      <c r="BDG262" s="18"/>
      <c r="BDH262" s="18"/>
      <c r="BDI262" s="18"/>
      <c r="BDJ262" s="18"/>
      <c r="BDK262" s="18"/>
      <c r="BDL262" s="18"/>
      <c r="BDM262" s="18"/>
      <c r="BDN262" s="18"/>
      <c r="BDO262" s="18"/>
      <c r="BDP262" s="18"/>
      <c r="BDQ262" s="18"/>
      <c r="BDR262" s="18"/>
      <c r="BDS262" s="18"/>
      <c r="BDT262" s="18"/>
      <c r="BDU262" s="18"/>
      <c r="BDV262" s="18"/>
      <c r="BDW262" s="18"/>
      <c r="BDX262" s="18"/>
      <c r="BDY262" s="18"/>
      <c r="BDZ262" s="18"/>
      <c r="BEA262" s="18"/>
      <c r="BEB262" s="18"/>
      <c r="BEC262" s="18"/>
      <c r="BED262" s="18"/>
      <c r="BEE262" s="18"/>
      <c r="BEF262" s="18"/>
      <c r="BEG262" s="18"/>
      <c r="BEH262" s="18"/>
      <c r="BEI262" s="18"/>
      <c r="BEJ262" s="18"/>
      <c r="BEK262" s="18"/>
      <c r="BEL262" s="18"/>
      <c r="BEM262" s="18"/>
      <c r="BEN262" s="18"/>
      <c r="BEO262" s="18"/>
      <c r="BEP262" s="18"/>
      <c r="BEQ262" s="18"/>
      <c r="BER262" s="18"/>
      <c r="BES262" s="18"/>
      <c r="BET262" s="18"/>
      <c r="BEU262" s="18"/>
      <c r="BEV262" s="18"/>
      <c r="BEW262" s="18"/>
      <c r="BEX262" s="18"/>
      <c r="BEY262" s="18"/>
      <c r="BEZ262" s="18"/>
      <c r="BFA262" s="18"/>
      <c r="BFB262" s="18"/>
      <c r="BFC262" s="18"/>
      <c r="BFD262" s="18"/>
      <c r="BFE262" s="18"/>
      <c r="BFF262" s="18"/>
      <c r="BFG262" s="18"/>
      <c r="BFH262" s="18"/>
      <c r="BFI262" s="18"/>
      <c r="BFJ262" s="18"/>
      <c r="BFK262" s="18"/>
      <c r="BFL262" s="18"/>
      <c r="BFM262" s="18"/>
      <c r="BFN262" s="18"/>
      <c r="BFO262" s="18"/>
      <c r="BFP262" s="18"/>
      <c r="BFQ262" s="18"/>
      <c r="BFR262" s="18"/>
      <c r="BFS262" s="18"/>
      <c r="BFT262" s="18"/>
      <c r="BFU262" s="18"/>
      <c r="BFV262" s="18"/>
      <c r="BFW262" s="18"/>
      <c r="BFX262" s="18"/>
      <c r="BFY262" s="18"/>
      <c r="BFZ262" s="18"/>
      <c r="BGA262" s="18"/>
      <c r="BGB262" s="18"/>
      <c r="BGC262" s="18"/>
      <c r="BGD262" s="18"/>
      <c r="BGE262" s="18"/>
      <c r="BGF262" s="18"/>
      <c r="BGG262" s="18"/>
      <c r="BGH262" s="18"/>
      <c r="BGI262" s="18"/>
      <c r="BGJ262" s="18"/>
      <c r="BGK262" s="18"/>
      <c r="BGL262" s="18"/>
      <c r="BGM262" s="18"/>
      <c r="BGN262" s="18"/>
      <c r="BGO262" s="18"/>
      <c r="BGP262" s="18"/>
      <c r="BGQ262" s="18"/>
      <c r="BGR262" s="18"/>
      <c r="BGS262" s="18"/>
      <c r="BGT262" s="18"/>
      <c r="BGU262" s="18"/>
      <c r="BGV262" s="18"/>
      <c r="BGW262" s="18"/>
      <c r="BGX262" s="18"/>
      <c r="BGY262" s="18"/>
      <c r="BGZ262" s="18"/>
      <c r="BHA262" s="18"/>
      <c r="BHB262" s="18"/>
      <c r="BHC262" s="18"/>
      <c r="BHD262" s="18"/>
      <c r="BHE262" s="18"/>
      <c r="BHF262" s="18"/>
      <c r="BHG262" s="18"/>
      <c r="BHH262" s="18"/>
      <c r="BHI262" s="18"/>
      <c r="BHJ262" s="18"/>
      <c r="BHK262" s="18"/>
      <c r="BHL262" s="18"/>
      <c r="BHM262" s="18"/>
      <c r="BHN262" s="18"/>
      <c r="BHO262" s="18"/>
      <c r="BHP262" s="18"/>
      <c r="BHQ262" s="18"/>
      <c r="BHR262" s="18"/>
      <c r="BHS262" s="18"/>
      <c r="BHT262" s="18"/>
      <c r="BHU262" s="18"/>
      <c r="BHV262" s="18"/>
      <c r="BHW262" s="18"/>
      <c r="BHX262" s="18"/>
      <c r="BHY262" s="18"/>
      <c r="BHZ262" s="18"/>
      <c r="BIA262" s="18"/>
      <c r="BIB262" s="18"/>
      <c r="BIC262" s="18"/>
      <c r="BID262" s="18"/>
      <c r="BIE262" s="18"/>
      <c r="BIF262" s="18"/>
      <c r="BIG262" s="18"/>
      <c r="BIH262" s="18"/>
      <c r="BII262" s="18"/>
      <c r="BIJ262" s="18"/>
      <c r="BIK262" s="18"/>
      <c r="BIL262" s="18"/>
      <c r="BIM262" s="18"/>
      <c r="BIN262" s="18"/>
      <c r="BIO262" s="18"/>
      <c r="BIP262" s="18"/>
      <c r="BIQ262" s="18"/>
      <c r="BIR262" s="18"/>
      <c r="BIS262" s="18"/>
      <c r="BIT262" s="18"/>
      <c r="BIU262" s="18"/>
      <c r="BIV262" s="18"/>
      <c r="BIW262" s="18"/>
      <c r="BIX262" s="18"/>
      <c r="BIY262" s="18"/>
      <c r="BIZ262" s="18"/>
      <c r="BJA262" s="18"/>
      <c r="BJB262" s="18"/>
      <c r="BJC262" s="18"/>
      <c r="BJD262" s="18"/>
      <c r="BJE262" s="18"/>
      <c r="BJF262" s="18"/>
      <c r="BJG262" s="18"/>
      <c r="BJH262" s="18"/>
      <c r="BJI262" s="18"/>
      <c r="BJJ262" s="18"/>
      <c r="BJK262" s="18"/>
      <c r="BJL262" s="18"/>
      <c r="BJM262" s="18"/>
      <c r="BJN262" s="18"/>
      <c r="BJO262" s="18"/>
      <c r="BJP262" s="18"/>
      <c r="BJQ262" s="18"/>
      <c r="BJR262" s="18"/>
      <c r="BJS262" s="18"/>
      <c r="BJT262" s="18"/>
      <c r="BJU262" s="18"/>
      <c r="BJV262" s="18"/>
      <c r="BJW262" s="18"/>
      <c r="BJX262" s="18"/>
      <c r="BJY262" s="18"/>
      <c r="BJZ262" s="18"/>
      <c r="BKA262" s="18"/>
      <c r="BKB262" s="18"/>
      <c r="BKC262" s="18"/>
      <c r="BKD262" s="18"/>
      <c r="BKE262" s="18"/>
      <c r="BKF262" s="18"/>
      <c r="BKG262" s="18"/>
      <c r="BKH262" s="18"/>
      <c r="BKI262" s="18"/>
      <c r="BKJ262" s="18"/>
      <c r="BKK262" s="18"/>
      <c r="BKL262" s="18"/>
      <c r="BKM262" s="18"/>
      <c r="BKN262" s="18"/>
      <c r="BKO262" s="18"/>
      <c r="BKP262" s="18"/>
      <c r="BKQ262" s="18"/>
      <c r="BKR262" s="18"/>
      <c r="BKS262" s="18"/>
      <c r="BKT262" s="18"/>
      <c r="BKU262" s="18"/>
      <c r="BKV262" s="18"/>
      <c r="BKW262" s="18"/>
      <c r="BKX262" s="18"/>
      <c r="BKY262" s="18"/>
      <c r="BKZ262" s="18"/>
      <c r="BLA262" s="18"/>
      <c r="BLB262" s="18"/>
      <c r="BLC262" s="18"/>
      <c r="BLD262" s="18"/>
      <c r="BLE262" s="18"/>
      <c r="BLF262" s="18"/>
      <c r="BLG262" s="18"/>
      <c r="BLH262" s="18"/>
      <c r="BLI262" s="18"/>
      <c r="BLJ262" s="18"/>
      <c r="BLK262" s="18"/>
      <c r="BLL262" s="18"/>
      <c r="BLM262" s="18"/>
      <c r="BLN262" s="18"/>
      <c r="BLO262" s="18"/>
      <c r="BLP262" s="18"/>
      <c r="BLQ262" s="18"/>
      <c r="BLR262" s="18"/>
      <c r="BLS262" s="18"/>
      <c r="BLT262" s="18"/>
      <c r="BLU262" s="18"/>
      <c r="BLV262" s="18"/>
      <c r="BLW262" s="18"/>
      <c r="BLX262" s="18"/>
      <c r="BLY262" s="18"/>
      <c r="BLZ262" s="18"/>
      <c r="BMA262" s="18"/>
      <c r="BMB262" s="18"/>
      <c r="BMC262" s="18"/>
      <c r="BMD262" s="18"/>
      <c r="BME262" s="18"/>
      <c r="BMF262" s="18"/>
      <c r="BMG262" s="18"/>
      <c r="BMH262" s="18"/>
      <c r="BMI262" s="18"/>
      <c r="BMJ262" s="18"/>
      <c r="BMK262" s="18"/>
      <c r="BML262" s="18"/>
      <c r="BMM262" s="18"/>
      <c r="BMN262" s="18"/>
      <c r="BMO262" s="18"/>
      <c r="BMP262" s="18"/>
      <c r="BMQ262" s="18"/>
      <c r="BMR262" s="18"/>
      <c r="BMS262" s="18"/>
      <c r="BMT262" s="18"/>
      <c r="BMU262" s="18"/>
      <c r="BMV262" s="18"/>
      <c r="BMW262" s="18"/>
      <c r="BMX262" s="18"/>
      <c r="BMY262" s="18"/>
      <c r="BMZ262" s="18"/>
      <c r="BNA262" s="18"/>
      <c r="BNB262" s="18"/>
      <c r="BNC262" s="18"/>
      <c r="BND262" s="18"/>
      <c r="BNE262" s="18"/>
      <c r="BNF262" s="18"/>
      <c r="BNG262" s="18"/>
      <c r="BNH262" s="18"/>
      <c r="BNI262" s="18"/>
      <c r="BNJ262" s="18"/>
      <c r="BNK262" s="18"/>
      <c r="BNL262" s="18"/>
      <c r="BNM262" s="18"/>
      <c r="BNN262" s="18"/>
      <c r="BNO262" s="18"/>
      <c r="BNP262" s="18"/>
      <c r="BNQ262" s="18"/>
      <c r="BNR262" s="18"/>
      <c r="BNS262" s="18"/>
      <c r="BNT262" s="18"/>
      <c r="BNU262" s="18"/>
      <c r="BNV262" s="18"/>
      <c r="BNW262" s="18"/>
      <c r="BNX262" s="18"/>
      <c r="BNY262" s="18"/>
      <c r="BNZ262" s="18"/>
      <c r="BOA262" s="18"/>
      <c r="BOB262" s="18"/>
      <c r="BOC262" s="18"/>
      <c r="BOD262" s="18"/>
      <c r="BOE262" s="18"/>
      <c r="BOF262" s="18"/>
      <c r="BOG262" s="18"/>
      <c r="BOH262" s="18"/>
      <c r="BOI262" s="18"/>
      <c r="BOJ262" s="18"/>
      <c r="BOK262" s="18"/>
      <c r="BOL262" s="18"/>
      <c r="BOM262" s="18"/>
      <c r="BON262" s="18"/>
      <c r="BOO262" s="18"/>
      <c r="BOP262" s="18"/>
      <c r="BOQ262" s="18"/>
      <c r="BOR262" s="18"/>
      <c r="BOS262" s="18"/>
      <c r="BOT262" s="18"/>
      <c r="BOU262" s="18"/>
      <c r="BOV262" s="18"/>
      <c r="BOW262" s="18"/>
      <c r="BOX262" s="18"/>
      <c r="BOY262" s="18"/>
      <c r="BOZ262" s="18"/>
      <c r="BPA262" s="18"/>
      <c r="BPB262" s="18"/>
      <c r="BPC262" s="18"/>
      <c r="BPD262" s="18"/>
      <c r="BPE262" s="18"/>
      <c r="BPF262" s="18"/>
      <c r="BPG262" s="18"/>
      <c r="BPH262" s="18"/>
      <c r="BPI262" s="18"/>
      <c r="BPJ262" s="18"/>
      <c r="BPK262" s="18"/>
      <c r="BPL262" s="18"/>
      <c r="BPM262" s="18"/>
      <c r="BPN262" s="18"/>
      <c r="BPO262" s="18"/>
      <c r="BPP262" s="18"/>
      <c r="BPQ262" s="18"/>
      <c r="BPR262" s="18"/>
      <c r="BPS262" s="18"/>
      <c r="BPT262" s="18"/>
      <c r="BPU262" s="18"/>
      <c r="BPV262" s="18"/>
      <c r="BPW262" s="18"/>
      <c r="BPX262" s="18"/>
      <c r="BPY262" s="18"/>
      <c r="BPZ262" s="18"/>
      <c r="BQA262" s="18"/>
      <c r="BQB262" s="18"/>
      <c r="BQC262" s="18"/>
      <c r="BQD262" s="18"/>
      <c r="BQE262" s="18"/>
      <c r="BQF262" s="18"/>
      <c r="BQG262" s="18"/>
      <c r="BQH262" s="18"/>
      <c r="BQI262" s="18"/>
      <c r="BQJ262" s="18"/>
      <c r="BQK262" s="18"/>
      <c r="BQL262" s="18"/>
      <c r="BQM262" s="18"/>
      <c r="BQN262" s="18"/>
      <c r="BQO262" s="18"/>
      <c r="BQP262" s="18"/>
      <c r="BQQ262" s="18"/>
      <c r="BQR262" s="18"/>
      <c r="BQS262" s="18"/>
      <c r="BQT262" s="18"/>
      <c r="BQU262" s="18"/>
      <c r="BQV262" s="18"/>
      <c r="BQW262" s="18"/>
      <c r="BQX262" s="18"/>
      <c r="BQY262" s="18"/>
      <c r="BQZ262" s="18"/>
      <c r="BRA262" s="18"/>
      <c r="BRB262" s="18"/>
      <c r="BRC262" s="18"/>
      <c r="BRD262" s="18"/>
      <c r="BRE262" s="18"/>
      <c r="BRF262" s="18"/>
      <c r="BRG262" s="18"/>
      <c r="BRH262" s="18"/>
      <c r="BRI262" s="18"/>
      <c r="BRJ262" s="18"/>
      <c r="BRK262" s="18"/>
      <c r="BRL262" s="18"/>
      <c r="BRM262" s="18"/>
      <c r="BRN262" s="18"/>
      <c r="BRO262" s="18"/>
      <c r="BRP262" s="18"/>
      <c r="BRQ262" s="18"/>
      <c r="BRR262" s="18"/>
      <c r="BRS262" s="18"/>
      <c r="BRT262" s="18"/>
      <c r="BRU262" s="18"/>
      <c r="BRV262" s="18"/>
      <c r="BRW262" s="18"/>
      <c r="BRX262" s="18"/>
      <c r="BRY262" s="18"/>
      <c r="BRZ262" s="18"/>
      <c r="BSA262" s="18"/>
      <c r="BSB262" s="18"/>
      <c r="BSC262" s="18"/>
      <c r="BSD262" s="18"/>
      <c r="BSE262" s="18"/>
      <c r="BSF262" s="18"/>
      <c r="BSG262" s="18"/>
      <c r="BSH262" s="18"/>
      <c r="BSI262" s="18"/>
      <c r="BSJ262" s="18"/>
      <c r="BSK262" s="18"/>
      <c r="BSL262" s="18"/>
      <c r="BSM262" s="18"/>
      <c r="BSN262" s="18"/>
      <c r="BSO262" s="18"/>
      <c r="BSP262" s="18"/>
      <c r="BSQ262" s="18"/>
      <c r="BSR262" s="18"/>
      <c r="BSS262" s="18"/>
      <c r="BST262" s="18"/>
      <c r="BSU262" s="18"/>
      <c r="BSV262" s="18"/>
      <c r="BSW262" s="18"/>
      <c r="BSX262" s="18"/>
      <c r="BSY262" s="18"/>
      <c r="BSZ262" s="18"/>
      <c r="BTA262" s="18"/>
      <c r="BTB262" s="18"/>
      <c r="BTC262" s="18"/>
      <c r="BTD262" s="18"/>
      <c r="BTE262" s="18"/>
      <c r="BTF262" s="18"/>
      <c r="BTG262" s="18"/>
      <c r="BTH262" s="18"/>
      <c r="BTI262" s="18"/>
    </row>
    <row r="263" spans="1:1881" s="789" customFormat="1" ht="225" customHeight="1" x14ac:dyDescent="0.3">
      <c r="A263" s="108">
        <v>577</v>
      </c>
      <c r="B263" s="691"/>
      <c r="C263" s="691" t="s">
        <v>543</v>
      </c>
      <c r="D263" s="358" t="s">
        <v>674</v>
      </c>
      <c r="E263" s="1109"/>
      <c r="F263" s="299"/>
      <c r="G263" s="1111" t="str">
        <f>IF(F263="Yes","In this cell - Please include the name of the plan, a brief description of the benefit and the population group that received the benefits."," ")</f>
        <v xml:space="preserve"> </v>
      </c>
      <c r="H263" s="17"/>
      <c r="I263" s="786"/>
      <c r="J263" s="595"/>
      <c r="K263" s="18"/>
      <c r="L263" s="18"/>
      <c r="M263" s="18"/>
      <c r="N263" s="301"/>
      <c r="O263" s="18"/>
      <c r="P263" s="18"/>
      <c r="Q263" s="18"/>
      <c r="R263" s="18"/>
      <c r="S263" s="18"/>
      <c r="T263" s="18"/>
      <c r="U263" s="18"/>
      <c r="V263" s="18"/>
      <c r="W263" s="18"/>
      <c r="X263" s="18"/>
      <c r="Y263" s="18"/>
      <c r="Z263" s="108"/>
      <c r="AA263" s="108"/>
      <c r="AB263" s="108"/>
      <c r="AC263" s="108"/>
      <c r="AD263" s="108"/>
      <c r="AE263" s="108"/>
      <c r="AF263" s="108"/>
      <c r="AG263" s="108"/>
      <c r="AH263" s="108"/>
      <c r="AI263" s="108"/>
      <c r="AJ263" s="108"/>
      <c r="AK263" s="108"/>
      <c r="AL263" s="108"/>
      <c r="AM263" s="108"/>
      <c r="AN263" s="108"/>
      <c r="AO263" s="108"/>
      <c r="AP263" s="108"/>
      <c r="AQ263" s="108"/>
      <c r="AR263" s="10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c r="WZ263" s="18"/>
      <c r="XA263" s="18"/>
      <c r="XB263" s="18"/>
      <c r="XC263" s="18"/>
      <c r="XD263" s="18"/>
      <c r="XE263" s="18"/>
      <c r="XF263" s="18"/>
      <c r="XG263" s="18"/>
      <c r="XH263" s="18"/>
      <c r="XI263" s="18"/>
      <c r="XJ263" s="18"/>
      <c r="XK263" s="18"/>
      <c r="XL263" s="18"/>
      <c r="XM263" s="18"/>
      <c r="XN263" s="18"/>
      <c r="XO263" s="18"/>
      <c r="XP263" s="18"/>
      <c r="XQ263" s="18"/>
      <c r="XR263" s="18"/>
      <c r="XS263" s="18"/>
      <c r="XT263" s="18"/>
      <c r="XU263" s="18"/>
      <c r="XV263" s="18"/>
      <c r="XW263" s="18"/>
      <c r="XX263" s="18"/>
      <c r="XY263" s="18"/>
      <c r="XZ263" s="18"/>
      <c r="YA263" s="18"/>
      <c r="YB263" s="18"/>
      <c r="YC263" s="18"/>
      <c r="YD263" s="18"/>
      <c r="YE263" s="18"/>
      <c r="YF263" s="18"/>
      <c r="YG263" s="18"/>
      <c r="YH263" s="18"/>
      <c r="YI263" s="18"/>
      <c r="YJ263" s="18"/>
      <c r="YK263" s="18"/>
      <c r="YL263" s="18"/>
      <c r="YM263" s="18"/>
      <c r="YN263" s="18"/>
      <c r="YO263" s="18"/>
      <c r="YP263" s="18"/>
      <c r="YQ263" s="18"/>
      <c r="YR263" s="18"/>
      <c r="YS263" s="18"/>
      <c r="YT263" s="18"/>
      <c r="YU263" s="18"/>
      <c r="YV263" s="18"/>
      <c r="YW263" s="18"/>
      <c r="YX263" s="18"/>
      <c r="YY263" s="18"/>
      <c r="YZ263" s="18"/>
      <c r="ZA263" s="18"/>
      <c r="ZB263" s="18"/>
      <c r="ZC263" s="18"/>
      <c r="ZD263" s="18"/>
      <c r="ZE263" s="18"/>
      <c r="ZF263" s="18"/>
      <c r="ZG263" s="18"/>
      <c r="ZH263" s="18"/>
      <c r="ZI263" s="18"/>
      <c r="ZJ263" s="18"/>
      <c r="ZK263" s="18"/>
      <c r="ZL263" s="18"/>
      <c r="ZM263" s="18"/>
      <c r="ZN263" s="18"/>
      <c r="ZO263" s="18"/>
      <c r="ZP263" s="18"/>
      <c r="ZQ263" s="18"/>
      <c r="ZR263" s="18"/>
      <c r="ZS263" s="18"/>
      <c r="ZT263" s="18"/>
      <c r="ZU263" s="18"/>
      <c r="ZV263" s="18"/>
      <c r="ZW263" s="18"/>
      <c r="ZX263" s="18"/>
      <c r="ZY263" s="18"/>
      <c r="ZZ263" s="18"/>
      <c r="AAA263" s="18"/>
      <c r="AAB263" s="18"/>
      <c r="AAC263" s="18"/>
      <c r="AAD263" s="18"/>
      <c r="AAE263" s="18"/>
      <c r="AAF263" s="18"/>
      <c r="AAG263" s="18"/>
      <c r="AAH263" s="18"/>
      <c r="AAI263" s="18"/>
      <c r="AAJ263" s="18"/>
      <c r="AAK263" s="18"/>
      <c r="AAL263" s="18"/>
      <c r="AAM263" s="18"/>
      <c r="AAN263" s="18"/>
      <c r="AAO263" s="18"/>
      <c r="AAP263" s="18"/>
      <c r="AAQ263" s="18"/>
      <c r="AAR263" s="18"/>
      <c r="AAS263" s="18"/>
      <c r="AAT263" s="18"/>
      <c r="AAU263" s="18"/>
      <c r="AAV263" s="18"/>
      <c r="AAW263" s="18"/>
      <c r="AAX263" s="18"/>
      <c r="AAY263" s="18"/>
      <c r="AAZ263" s="18"/>
      <c r="ABA263" s="18"/>
      <c r="ABB263" s="18"/>
      <c r="ABC263" s="18"/>
      <c r="ABD263" s="18"/>
      <c r="ABE263" s="18"/>
      <c r="ABF263" s="18"/>
      <c r="ABG263" s="18"/>
      <c r="ABH263" s="18"/>
      <c r="ABI263" s="18"/>
      <c r="ABJ263" s="18"/>
      <c r="ABK263" s="18"/>
      <c r="ABL263" s="18"/>
      <c r="ABM263" s="18"/>
      <c r="ABN263" s="18"/>
      <c r="ABO263" s="18"/>
      <c r="ABP263" s="18"/>
      <c r="ABQ263" s="18"/>
      <c r="ABR263" s="18"/>
      <c r="ABS263" s="18"/>
      <c r="ABT263" s="18"/>
      <c r="ABU263" s="18"/>
      <c r="ABV263" s="18"/>
      <c r="ABW263" s="18"/>
      <c r="ABX263" s="18"/>
      <c r="ABY263" s="18"/>
      <c r="ABZ263" s="18"/>
      <c r="ACA263" s="18"/>
      <c r="ACB263" s="18"/>
      <c r="ACC263" s="18"/>
      <c r="ACD263" s="18"/>
      <c r="ACE263" s="18"/>
      <c r="ACF263" s="18"/>
      <c r="ACG263" s="18"/>
      <c r="ACH263" s="18"/>
      <c r="ACI263" s="18"/>
      <c r="ACJ263" s="18"/>
      <c r="ACK263" s="18"/>
      <c r="ACL263" s="18"/>
      <c r="ACM263" s="18"/>
      <c r="ACN263" s="18"/>
      <c r="ACO263" s="18"/>
      <c r="ACP263" s="18"/>
      <c r="ACQ263" s="18"/>
      <c r="ACR263" s="18"/>
      <c r="ACS263" s="18"/>
      <c r="ACT263" s="18"/>
      <c r="ACU263" s="18"/>
      <c r="ACV263" s="18"/>
      <c r="ACW263" s="18"/>
      <c r="ACX263" s="18"/>
      <c r="ACY263" s="18"/>
      <c r="ACZ263" s="18"/>
      <c r="ADA263" s="18"/>
      <c r="ADB263" s="18"/>
      <c r="ADC263" s="18"/>
      <c r="ADD263" s="18"/>
      <c r="ADE263" s="18"/>
      <c r="ADF263" s="18"/>
      <c r="ADG263" s="18"/>
      <c r="ADH263" s="18"/>
      <c r="ADI263" s="18"/>
      <c r="ADJ263" s="18"/>
      <c r="ADK263" s="18"/>
      <c r="ADL263" s="18"/>
      <c r="ADM263" s="18"/>
      <c r="ADN263" s="18"/>
      <c r="ADO263" s="18"/>
      <c r="ADP263" s="18"/>
      <c r="ADQ263" s="18"/>
      <c r="ADR263" s="18"/>
      <c r="ADS263" s="18"/>
      <c r="ADT263" s="18"/>
      <c r="ADU263" s="18"/>
      <c r="ADV263" s="18"/>
      <c r="ADW263" s="18"/>
      <c r="ADX263" s="18"/>
      <c r="ADY263" s="18"/>
      <c r="ADZ263" s="18"/>
      <c r="AEA263" s="18"/>
      <c r="AEB263" s="18"/>
      <c r="AEC263" s="18"/>
      <c r="AED263" s="18"/>
      <c r="AEE263" s="18"/>
      <c r="AEF263" s="18"/>
      <c r="AEG263" s="18"/>
      <c r="AEH263" s="18"/>
      <c r="AEI263" s="18"/>
      <c r="AEJ263" s="18"/>
      <c r="AEK263" s="18"/>
      <c r="AEL263" s="18"/>
      <c r="AEM263" s="18"/>
      <c r="AEN263" s="18"/>
      <c r="AEO263" s="18"/>
      <c r="AEP263" s="18"/>
      <c r="AEQ263" s="18"/>
      <c r="AER263" s="18"/>
      <c r="AES263" s="18"/>
      <c r="AET263" s="18"/>
      <c r="AEU263" s="18"/>
      <c r="AEV263" s="18"/>
      <c r="AEW263" s="18"/>
      <c r="AEX263" s="18"/>
      <c r="AEY263" s="18"/>
      <c r="AEZ263" s="18"/>
      <c r="AFA263" s="18"/>
      <c r="AFB263" s="18"/>
      <c r="AFC263" s="18"/>
      <c r="AFD263" s="18"/>
      <c r="AFE263" s="18"/>
      <c r="AFF263" s="18"/>
      <c r="AFG263" s="18"/>
      <c r="AFH263" s="18"/>
      <c r="AFI263" s="18"/>
      <c r="AFJ263" s="18"/>
      <c r="AFK263" s="18"/>
      <c r="AFL263" s="18"/>
      <c r="AFM263" s="18"/>
      <c r="AFN263" s="18"/>
      <c r="AFO263" s="18"/>
      <c r="AFP263" s="18"/>
      <c r="AFQ263" s="18"/>
      <c r="AFR263" s="18"/>
      <c r="AFS263" s="18"/>
      <c r="AFT263" s="18"/>
      <c r="AFU263" s="18"/>
      <c r="AFV263" s="18"/>
      <c r="AFW263" s="18"/>
      <c r="AFX263" s="18"/>
      <c r="AFY263" s="18"/>
      <c r="AFZ263" s="18"/>
      <c r="AGA263" s="18"/>
      <c r="AGB263" s="18"/>
      <c r="AGC263" s="18"/>
      <c r="AGD263" s="18"/>
      <c r="AGE263" s="18"/>
      <c r="AGF263" s="18"/>
      <c r="AGG263" s="18"/>
      <c r="AGH263" s="18"/>
      <c r="AGI263" s="18"/>
      <c r="AGJ263" s="18"/>
      <c r="AGK263" s="18"/>
      <c r="AGL263" s="18"/>
      <c r="AGM263" s="18"/>
      <c r="AGN263" s="18"/>
      <c r="AGO263" s="18"/>
      <c r="AGP263" s="18"/>
      <c r="AGQ263" s="18"/>
      <c r="AGR263" s="18"/>
      <c r="AGS263" s="18"/>
      <c r="AGT263" s="18"/>
      <c r="AGU263" s="18"/>
      <c r="AGV263" s="18"/>
      <c r="AGW263" s="18"/>
      <c r="AGX263" s="18"/>
      <c r="AGY263" s="18"/>
      <c r="AGZ263" s="18"/>
      <c r="AHA263" s="18"/>
      <c r="AHB263" s="18"/>
      <c r="AHC263" s="18"/>
      <c r="AHD263" s="18"/>
      <c r="AHE263" s="18"/>
      <c r="AHF263" s="18"/>
      <c r="AHG263" s="18"/>
      <c r="AHH263" s="18"/>
      <c r="AHI263" s="18"/>
      <c r="AHJ263" s="18"/>
      <c r="AHK263" s="18"/>
      <c r="AHL263" s="18"/>
      <c r="AHM263" s="18"/>
      <c r="AHN263" s="18"/>
      <c r="AHO263" s="18"/>
      <c r="AHP263" s="18"/>
      <c r="AHQ263" s="18"/>
      <c r="AHR263" s="18"/>
      <c r="AHS263" s="18"/>
      <c r="AHT263" s="18"/>
      <c r="AHU263" s="18"/>
      <c r="AHV263" s="18"/>
      <c r="AHW263" s="18"/>
      <c r="AHX263" s="18"/>
      <c r="AHY263" s="18"/>
      <c r="AHZ263" s="18"/>
      <c r="AIA263" s="18"/>
      <c r="AIB263" s="18"/>
      <c r="AIC263" s="18"/>
      <c r="AID263" s="18"/>
      <c r="AIE263" s="18"/>
      <c r="AIF263" s="18"/>
      <c r="AIG263" s="18"/>
      <c r="AIH263" s="18"/>
      <c r="AII263" s="18"/>
      <c r="AIJ263" s="18"/>
      <c r="AIK263" s="18"/>
      <c r="AIL263" s="18"/>
      <c r="AIM263" s="18"/>
      <c r="AIN263" s="18"/>
      <c r="AIO263" s="18"/>
      <c r="AIP263" s="18"/>
      <c r="AIQ263" s="18"/>
      <c r="AIR263" s="18"/>
      <c r="AIS263" s="18"/>
      <c r="AIT263" s="18"/>
      <c r="AIU263" s="18"/>
      <c r="AIV263" s="18"/>
      <c r="AIW263" s="18"/>
      <c r="AIX263" s="18"/>
      <c r="AIY263" s="18"/>
      <c r="AIZ263" s="18"/>
      <c r="AJA263" s="18"/>
      <c r="AJB263" s="18"/>
      <c r="AJC263" s="18"/>
      <c r="AJD263" s="18"/>
      <c r="AJE263" s="18"/>
      <c r="AJF263" s="18"/>
      <c r="AJG263" s="18"/>
      <c r="AJH263" s="18"/>
      <c r="AJI263" s="18"/>
      <c r="AJJ263" s="18"/>
      <c r="AJK263" s="18"/>
      <c r="AJL263" s="18"/>
      <c r="AJM263" s="18"/>
      <c r="AJN263" s="18"/>
      <c r="AJO263" s="18"/>
      <c r="AJP263" s="18"/>
      <c r="AJQ263" s="18"/>
      <c r="AJR263" s="18"/>
      <c r="AJS263" s="18"/>
      <c r="AJT263" s="18"/>
      <c r="AJU263" s="18"/>
      <c r="AJV263" s="18"/>
      <c r="AJW263" s="18"/>
      <c r="AJX263" s="18"/>
      <c r="AJY263" s="18"/>
      <c r="AJZ263" s="18"/>
      <c r="AKA263" s="18"/>
      <c r="AKB263" s="18"/>
      <c r="AKC263" s="18"/>
      <c r="AKD263" s="18"/>
      <c r="AKE263" s="18"/>
      <c r="AKF263" s="18"/>
      <c r="AKG263" s="18"/>
      <c r="AKH263" s="18"/>
      <c r="AKI263" s="18"/>
      <c r="AKJ263" s="18"/>
      <c r="AKK263" s="18"/>
      <c r="AKL263" s="18"/>
      <c r="AKM263" s="18"/>
      <c r="AKN263" s="18"/>
      <c r="AKO263" s="18"/>
      <c r="AKP263" s="18"/>
      <c r="AKQ263" s="18"/>
      <c r="AKR263" s="18"/>
      <c r="AKS263" s="18"/>
      <c r="AKT263" s="18"/>
      <c r="AKU263" s="18"/>
      <c r="AKV263" s="18"/>
      <c r="AKW263" s="18"/>
      <c r="AKX263" s="18"/>
      <c r="AKY263" s="18"/>
      <c r="AKZ263" s="18"/>
      <c r="ALA263" s="18"/>
      <c r="ALB263" s="18"/>
      <c r="ALC263" s="18"/>
      <c r="ALD263" s="18"/>
      <c r="ALE263" s="18"/>
      <c r="ALF263" s="18"/>
      <c r="ALG263" s="18"/>
      <c r="ALH263" s="18"/>
      <c r="ALI263" s="18"/>
      <c r="ALJ263" s="18"/>
      <c r="ALK263" s="18"/>
      <c r="ALL263" s="18"/>
      <c r="ALM263" s="18"/>
      <c r="ALN263" s="18"/>
      <c r="ALO263" s="18"/>
      <c r="ALP263" s="18"/>
      <c r="ALQ263" s="18"/>
      <c r="ALR263" s="18"/>
      <c r="ALS263" s="18"/>
      <c r="ALT263" s="18"/>
      <c r="ALU263" s="18"/>
      <c r="ALV263" s="18"/>
      <c r="ALW263" s="18"/>
      <c r="ALX263" s="18"/>
      <c r="ALY263" s="18"/>
      <c r="ALZ263" s="18"/>
      <c r="AMA263" s="18"/>
      <c r="AMB263" s="18"/>
      <c r="AMC263" s="18"/>
      <c r="AMD263" s="18"/>
      <c r="AME263" s="18"/>
      <c r="AMF263" s="18"/>
      <c r="AMG263" s="18"/>
      <c r="AMH263" s="18"/>
      <c r="AMI263" s="18"/>
      <c r="AMJ263" s="18"/>
      <c r="AMK263" s="18"/>
      <c r="AML263" s="18"/>
      <c r="AMM263" s="18"/>
      <c r="AMN263" s="18"/>
      <c r="AMO263" s="18"/>
      <c r="AMP263" s="18"/>
      <c r="AMQ263" s="18"/>
      <c r="AMR263" s="18"/>
      <c r="AMS263" s="18"/>
      <c r="AMT263" s="18"/>
      <c r="AMU263" s="18"/>
      <c r="AMV263" s="18"/>
      <c r="AMW263" s="18"/>
      <c r="AMX263" s="18"/>
      <c r="AMY263" s="18"/>
      <c r="AMZ263" s="18"/>
      <c r="ANA263" s="18"/>
      <c r="ANB263" s="18"/>
      <c r="ANC263" s="18"/>
      <c r="AND263" s="18"/>
      <c r="ANE263" s="18"/>
      <c r="ANF263" s="18"/>
      <c r="ANG263" s="18"/>
      <c r="ANH263" s="18"/>
      <c r="ANI263" s="18"/>
      <c r="ANJ263" s="18"/>
      <c r="ANK263" s="18"/>
      <c r="ANL263" s="18"/>
      <c r="ANM263" s="18"/>
      <c r="ANN263" s="18"/>
      <c r="ANO263" s="18"/>
      <c r="ANP263" s="18"/>
      <c r="ANQ263" s="18"/>
      <c r="ANR263" s="18"/>
      <c r="ANS263" s="18"/>
      <c r="ANT263" s="18"/>
      <c r="ANU263" s="18"/>
      <c r="ANV263" s="18"/>
      <c r="ANW263" s="18"/>
      <c r="ANX263" s="18"/>
      <c r="ANY263" s="18"/>
      <c r="ANZ263" s="18"/>
      <c r="AOA263" s="18"/>
      <c r="AOB263" s="18"/>
      <c r="AOC263" s="18"/>
      <c r="AOD263" s="18"/>
      <c r="AOE263" s="18"/>
      <c r="AOF263" s="18"/>
      <c r="AOG263" s="18"/>
      <c r="AOH263" s="18"/>
      <c r="AOI263" s="18"/>
      <c r="AOJ263" s="18"/>
      <c r="AOK263" s="18"/>
      <c r="AOL263" s="18"/>
      <c r="AOM263" s="18"/>
      <c r="AON263" s="18"/>
      <c r="AOO263" s="18"/>
      <c r="AOP263" s="18"/>
      <c r="AOQ263" s="18"/>
      <c r="AOR263" s="18"/>
      <c r="AOS263" s="18"/>
      <c r="AOT263" s="18"/>
      <c r="AOU263" s="18"/>
      <c r="AOV263" s="18"/>
      <c r="AOW263" s="18"/>
      <c r="AOX263" s="18"/>
      <c r="AOY263" s="18"/>
      <c r="AOZ263" s="18"/>
      <c r="APA263" s="18"/>
      <c r="APB263" s="18"/>
      <c r="APC263" s="18"/>
      <c r="APD263" s="18"/>
      <c r="APE263" s="18"/>
      <c r="APF263" s="18"/>
      <c r="APG263" s="18"/>
      <c r="APH263" s="18"/>
      <c r="API263" s="18"/>
      <c r="APJ263" s="18"/>
      <c r="APK263" s="18"/>
      <c r="APL263" s="18"/>
      <c r="APM263" s="18"/>
      <c r="APN263" s="18"/>
      <c r="APO263" s="18"/>
      <c r="APP263" s="18"/>
      <c r="APQ263" s="18"/>
      <c r="APR263" s="18"/>
      <c r="APS263" s="18"/>
      <c r="APT263" s="18"/>
      <c r="APU263" s="18"/>
      <c r="APV263" s="18"/>
      <c r="APW263" s="18"/>
      <c r="APX263" s="18"/>
      <c r="APY263" s="18"/>
      <c r="APZ263" s="18"/>
      <c r="AQA263" s="18"/>
      <c r="AQB263" s="18"/>
      <c r="AQC263" s="18"/>
      <c r="AQD263" s="18"/>
      <c r="AQE263" s="18"/>
      <c r="AQF263" s="18"/>
      <c r="AQG263" s="18"/>
      <c r="AQH263" s="18"/>
      <c r="AQI263" s="18"/>
      <c r="AQJ263" s="18"/>
      <c r="AQK263" s="18"/>
      <c r="AQL263" s="18"/>
      <c r="AQM263" s="18"/>
      <c r="AQN263" s="18"/>
      <c r="AQO263" s="18"/>
      <c r="AQP263" s="18"/>
      <c r="AQQ263" s="18"/>
      <c r="AQR263" s="18"/>
      <c r="AQS263" s="18"/>
      <c r="AQT263" s="18"/>
      <c r="AQU263" s="18"/>
      <c r="AQV263" s="18"/>
      <c r="AQW263" s="18"/>
      <c r="AQX263" s="18"/>
      <c r="AQY263" s="18"/>
      <c r="AQZ263" s="18"/>
      <c r="ARA263" s="18"/>
      <c r="ARB263" s="18"/>
      <c r="ARC263" s="18"/>
      <c r="ARD263" s="18"/>
      <c r="ARE263" s="18"/>
      <c r="ARF263" s="18"/>
      <c r="ARG263" s="18"/>
      <c r="ARH263" s="18"/>
      <c r="ARI263" s="18"/>
      <c r="ARJ263" s="18"/>
      <c r="ARK263" s="18"/>
      <c r="ARL263" s="18"/>
      <c r="ARM263" s="18"/>
      <c r="ARN263" s="18"/>
      <c r="ARO263" s="18"/>
      <c r="ARP263" s="18"/>
      <c r="ARQ263" s="18"/>
      <c r="ARR263" s="18"/>
      <c r="ARS263" s="18"/>
      <c r="ART263" s="18"/>
      <c r="ARU263" s="18"/>
      <c r="ARV263" s="18"/>
      <c r="ARW263" s="18"/>
      <c r="ARX263" s="18"/>
      <c r="ARY263" s="18"/>
      <c r="ARZ263" s="18"/>
      <c r="ASA263" s="18"/>
      <c r="ASB263" s="18"/>
      <c r="ASC263" s="18"/>
      <c r="ASD263" s="18"/>
      <c r="ASE263" s="18"/>
      <c r="ASF263" s="18"/>
      <c r="ASG263" s="18"/>
      <c r="ASH263" s="18"/>
      <c r="ASI263" s="18"/>
      <c r="ASJ263" s="18"/>
      <c r="ASK263" s="18"/>
      <c r="ASL263" s="18"/>
      <c r="ASM263" s="18"/>
      <c r="ASN263" s="18"/>
      <c r="ASO263" s="18"/>
      <c r="ASP263" s="18"/>
      <c r="ASQ263" s="18"/>
      <c r="ASR263" s="18"/>
      <c r="ASS263" s="18"/>
      <c r="AST263" s="18"/>
      <c r="ASU263" s="18"/>
      <c r="ASV263" s="18"/>
      <c r="ASW263" s="18"/>
      <c r="ASX263" s="18"/>
      <c r="ASY263" s="18"/>
      <c r="ASZ263" s="18"/>
      <c r="ATA263" s="18"/>
      <c r="ATB263" s="18"/>
      <c r="ATC263" s="18"/>
      <c r="ATD263" s="18"/>
      <c r="ATE263" s="18"/>
      <c r="ATF263" s="18"/>
      <c r="ATG263" s="18"/>
      <c r="ATH263" s="18"/>
      <c r="ATI263" s="18"/>
      <c r="ATJ263" s="18"/>
      <c r="ATK263" s="18"/>
      <c r="ATL263" s="18"/>
      <c r="ATM263" s="18"/>
      <c r="ATN263" s="18"/>
      <c r="ATO263" s="18"/>
      <c r="ATP263" s="18"/>
      <c r="ATQ263" s="18"/>
      <c r="ATR263" s="18"/>
      <c r="ATS263" s="18"/>
      <c r="ATT263" s="18"/>
      <c r="ATU263" s="18"/>
      <c r="ATV263" s="18"/>
      <c r="ATW263" s="18"/>
      <c r="ATX263" s="18"/>
      <c r="ATY263" s="18"/>
      <c r="ATZ263" s="18"/>
      <c r="AUA263" s="18"/>
      <c r="AUB263" s="18"/>
      <c r="AUC263" s="18"/>
      <c r="AUD263" s="18"/>
      <c r="AUE263" s="18"/>
      <c r="AUF263" s="18"/>
      <c r="AUG263" s="18"/>
      <c r="AUH263" s="18"/>
      <c r="AUI263" s="18"/>
      <c r="AUJ263" s="18"/>
      <c r="AUK263" s="18"/>
      <c r="AUL263" s="18"/>
      <c r="AUM263" s="18"/>
      <c r="AUN263" s="18"/>
      <c r="AUO263" s="18"/>
      <c r="AUP263" s="18"/>
      <c r="AUQ263" s="18"/>
      <c r="AUR263" s="18"/>
      <c r="AUS263" s="18"/>
      <c r="AUT263" s="18"/>
      <c r="AUU263" s="18"/>
      <c r="AUV263" s="18"/>
      <c r="AUW263" s="18"/>
      <c r="AUX263" s="18"/>
      <c r="AUY263" s="18"/>
      <c r="AUZ263" s="18"/>
      <c r="AVA263" s="18"/>
      <c r="AVB263" s="18"/>
      <c r="AVC263" s="18"/>
      <c r="AVD263" s="18"/>
      <c r="AVE263" s="18"/>
      <c r="AVF263" s="18"/>
      <c r="AVG263" s="18"/>
      <c r="AVH263" s="18"/>
      <c r="AVI263" s="18"/>
      <c r="AVJ263" s="18"/>
      <c r="AVK263" s="18"/>
      <c r="AVL263" s="18"/>
      <c r="AVM263" s="18"/>
      <c r="AVN263" s="18"/>
      <c r="AVO263" s="18"/>
      <c r="AVP263" s="18"/>
      <c r="AVQ263" s="18"/>
      <c r="AVR263" s="18"/>
      <c r="AVS263" s="18"/>
      <c r="AVT263" s="18"/>
      <c r="AVU263" s="18"/>
      <c r="AVV263" s="18"/>
      <c r="AVW263" s="18"/>
      <c r="AVX263" s="18"/>
      <c r="AVY263" s="18"/>
      <c r="AVZ263" s="18"/>
      <c r="AWA263" s="18"/>
      <c r="AWB263" s="18"/>
      <c r="AWC263" s="18"/>
      <c r="AWD263" s="18"/>
      <c r="AWE263" s="18"/>
      <c r="AWF263" s="18"/>
      <c r="AWG263" s="18"/>
      <c r="AWH263" s="18"/>
      <c r="AWI263" s="18"/>
      <c r="AWJ263" s="18"/>
      <c r="AWK263" s="18"/>
      <c r="AWL263" s="18"/>
      <c r="AWM263" s="18"/>
      <c r="AWN263" s="18"/>
      <c r="AWO263" s="18"/>
      <c r="AWP263" s="18"/>
      <c r="AWQ263" s="18"/>
      <c r="AWR263" s="18"/>
      <c r="AWS263" s="18"/>
      <c r="AWT263" s="18"/>
      <c r="AWU263" s="18"/>
      <c r="AWV263" s="18"/>
      <c r="AWW263" s="18"/>
      <c r="AWX263" s="18"/>
      <c r="AWY263" s="18"/>
      <c r="AWZ263" s="18"/>
      <c r="AXA263" s="18"/>
      <c r="AXB263" s="18"/>
      <c r="AXC263" s="18"/>
      <c r="AXD263" s="18"/>
      <c r="AXE263" s="18"/>
      <c r="AXF263" s="18"/>
      <c r="AXG263" s="18"/>
      <c r="AXH263" s="18"/>
      <c r="AXI263" s="18"/>
      <c r="AXJ263" s="18"/>
      <c r="AXK263" s="18"/>
      <c r="AXL263" s="18"/>
      <c r="AXM263" s="18"/>
      <c r="AXN263" s="18"/>
      <c r="AXO263" s="18"/>
      <c r="AXP263" s="18"/>
      <c r="AXQ263" s="18"/>
      <c r="AXR263" s="18"/>
      <c r="AXS263" s="18"/>
      <c r="AXT263" s="18"/>
      <c r="AXU263" s="18"/>
      <c r="AXV263" s="18"/>
      <c r="AXW263" s="18"/>
      <c r="AXX263" s="18"/>
      <c r="AXY263" s="18"/>
      <c r="AXZ263" s="18"/>
      <c r="AYA263" s="18"/>
      <c r="AYB263" s="18"/>
      <c r="AYC263" s="18"/>
      <c r="AYD263" s="18"/>
      <c r="AYE263" s="18"/>
      <c r="AYF263" s="18"/>
      <c r="AYG263" s="18"/>
      <c r="AYH263" s="18"/>
      <c r="AYI263" s="18"/>
      <c r="AYJ263" s="18"/>
      <c r="AYK263" s="18"/>
      <c r="AYL263" s="18"/>
      <c r="AYM263" s="18"/>
      <c r="AYN263" s="18"/>
      <c r="AYO263" s="18"/>
      <c r="AYP263" s="18"/>
      <c r="AYQ263" s="18"/>
      <c r="AYR263" s="18"/>
      <c r="AYS263" s="18"/>
      <c r="AYT263" s="18"/>
      <c r="AYU263" s="18"/>
      <c r="AYV263" s="18"/>
      <c r="AYW263" s="18"/>
      <c r="AYX263" s="18"/>
      <c r="AYY263" s="18"/>
      <c r="AYZ263" s="18"/>
      <c r="AZA263" s="18"/>
      <c r="AZB263" s="18"/>
      <c r="AZC263" s="18"/>
      <c r="AZD263" s="18"/>
      <c r="AZE263" s="18"/>
      <c r="AZF263" s="18"/>
      <c r="AZG263" s="18"/>
      <c r="AZH263" s="18"/>
      <c r="AZI263" s="18"/>
      <c r="AZJ263" s="18"/>
      <c r="AZK263" s="18"/>
      <c r="AZL263" s="18"/>
      <c r="AZM263" s="18"/>
      <c r="AZN263" s="18"/>
      <c r="AZO263" s="18"/>
      <c r="AZP263" s="18"/>
      <c r="AZQ263" s="18"/>
      <c r="AZR263" s="18"/>
      <c r="AZS263" s="18"/>
      <c r="AZT263" s="18"/>
      <c r="AZU263" s="18"/>
      <c r="AZV263" s="18"/>
      <c r="AZW263" s="18"/>
      <c r="AZX263" s="18"/>
      <c r="AZY263" s="18"/>
      <c r="AZZ263" s="18"/>
      <c r="BAA263" s="18"/>
      <c r="BAB263" s="18"/>
      <c r="BAC263" s="18"/>
      <c r="BAD263" s="18"/>
      <c r="BAE263" s="18"/>
      <c r="BAF263" s="18"/>
      <c r="BAG263" s="18"/>
      <c r="BAH263" s="18"/>
      <c r="BAI263" s="18"/>
      <c r="BAJ263" s="18"/>
      <c r="BAK263" s="18"/>
      <c r="BAL263" s="18"/>
      <c r="BAM263" s="18"/>
      <c r="BAN263" s="18"/>
      <c r="BAO263" s="18"/>
      <c r="BAP263" s="18"/>
      <c r="BAQ263" s="18"/>
      <c r="BAR263" s="18"/>
      <c r="BAS263" s="18"/>
      <c r="BAT263" s="18"/>
      <c r="BAU263" s="18"/>
      <c r="BAV263" s="18"/>
      <c r="BAW263" s="18"/>
      <c r="BAX263" s="18"/>
      <c r="BAY263" s="18"/>
      <c r="BAZ263" s="18"/>
      <c r="BBA263" s="18"/>
      <c r="BBB263" s="18"/>
      <c r="BBC263" s="18"/>
      <c r="BBD263" s="18"/>
      <c r="BBE263" s="18"/>
      <c r="BBF263" s="18"/>
      <c r="BBG263" s="18"/>
      <c r="BBH263" s="18"/>
      <c r="BBI263" s="18"/>
      <c r="BBJ263" s="18"/>
      <c r="BBK263" s="18"/>
      <c r="BBL263" s="18"/>
      <c r="BBM263" s="18"/>
      <c r="BBN263" s="18"/>
      <c r="BBO263" s="18"/>
      <c r="BBP263" s="18"/>
      <c r="BBQ263" s="18"/>
      <c r="BBR263" s="18"/>
      <c r="BBS263" s="18"/>
      <c r="BBT263" s="18"/>
      <c r="BBU263" s="18"/>
      <c r="BBV263" s="18"/>
      <c r="BBW263" s="18"/>
      <c r="BBX263" s="18"/>
      <c r="BBY263" s="18"/>
      <c r="BBZ263" s="18"/>
      <c r="BCA263" s="18"/>
      <c r="BCB263" s="18"/>
      <c r="BCC263" s="18"/>
      <c r="BCD263" s="18"/>
      <c r="BCE263" s="18"/>
      <c r="BCF263" s="18"/>
      <c r="BCG263" s="18"/>
      <c r="BCH263" s="18"/>
      <c r="BCI263" s="18"/>
      <c r="BCJ263" s="18"/>
      <c r="BCK263" s="18"/>
      <c r="BCL263" s="18"/>
      <c r="BCM263" s="18"/>
      <c r="BCN263" s="18"/>
      <c r="BCO263" s="18"/>
      <c r="BCP263" s="18"/>
      <c r="BCQ263" s="18"/>
      <c r="BCR263" s="18"/>
      <c r="BCS263" s="18"/>
      <c r="BCT263" s="18"/>
      <c r="BCU263" s="18"/>
      <c r="BCV263" s="18"/>
      <c r="BCW263" s="18"/>
      <c r="BCX263" s="18"/>
      <c r="BCY263" s="18"/>
      <c r="BCZ263" s="18"/>
      <c r="BDA263" s="18"/>
      <c r="BDB263" s="18"/>
      <c r="BDC263" s="18"/>
      <c r="BDD263" s="18"/>
      <c r="BDE263" s="18"/>
      <c r="BDF263" s="18"/>
      <c r="BDG263" s="18"/>
      <c r="BDH263" s="18"/>
      <c r="BDI263" s="18"/>
      <c r="BDJ263" s="18"/>
      <c r="BDK263" s="18"/>
      <c r="BDL263" s="18"/>
      <c r="BDM263" s="18"/>
      <c r="BDN263" s="18"/>
      <c r="BDO263" s="18"/>
      <c r="BDP263" s="18"/>
      <c r="BDQ263" s="18"/>
      <c r="BDR263" s="18"/>
      <c r="BDS263" s="18"/>
      <c r="BDT263" s="18"/>
      <c r="BDU263" s="18"/>
      <c r="BDV263" s="18"/>
      <c r="BDW263" s="18"/>
      <c r="BDX263" s="18"/>
      <c r="BDY263" s="18"/>
      <c r="BDZ263" s="18"/>
      <c r="BEA263" s="18"/>
      <c r="BEB263" s="18"/>
      <c r="BEC263" s="18"/>
      <c r="BED263" s="18"/>
      <c r="BEE263" s="18"/>
      <c r="BEF263" s="18"/>
      <c r="BEG263" s="18"/>
      <c r="BEH263" s="18"/>
      <c r="BEI263" s="18"/>
      <c r="BEJ263" s="18"/>
      <c r="BEK263" s="18"/>
      <c r="BEL263" s="18"/>
      <c r="BEM263" s="18"/>
      <c r="BEN263" s="18"/>
      <c r="BEO263" s="18"/>
      <c r="BEP263" s="18"/>
      <c r="BEQ263" s="18"/>
      <c r="BER263" s="18"/>
      <c r="BES263" s="18"/>
      <c r="BET263" s="18"/>
      <c r="BEU263" s="18"/>
      <c r="BEV263" s="18"/>
      <c r="BEW263" s="18"/>
      <c r="BEX263" s="18"/>
      <c r="BEY263" s="18"/>
      <c r="BEZ263" s="18"/>
      <c r="BFA263" s="18"/>
      <c r="BFB263" s="18"/>
      <c r="BFC263" s="18"/>
      <c r="BFD263" s="18"/>
      <c r="BFE263" s="18"/>
      <c r="BFF263" s="18"/>
      <c r="BFG263" s="18"/>
      <c r="BFH263" s="18"/>
      <c r="BFI263" s="18"/>
      <c r="BFJ263" s="18"/>
      <c r="BFK263" s="18"/>
      <c r="BFL263" s="18"/>
      <c r="BFM263" s="18"/>
      <c r="BFN263" s="18"/>
      <c r="BFO263" s="18"/>
      <c r="BFP263" s="18"/>
      <c r="BFQ263" s="18"/>
      <c r="BFR263" s="18"/>
      <c r="BFS263" s="18"/>
      <c r="BFT263" s="18"/>
      <c r="BFU263" s="18"/>
      <c r="BFV263" s="18"/>
      <c r="BFW263" s="18"/>
      <c r="BFX263" s="18"/>
      <c r="BFY263" s="18"/>
      <c r="BFZ263" s="18"/>
      <c r="BGA263" s="18"/>
      <c r="BGB263" s="18"/>
      <c r="BGC263" s="18"/>
      <c r="BGD263" s="18"/>
      <c r="BGE263" s="18"/>
      <c r="BGF263" s="18"/>
      <c r="BGG263" s="18"/>
      <c r="BGH263" s="18"/>
      <c r="BGI263" s="18"/>
      <c r="BGJ263" s="18"/>
      <c r="BGK263" s="18"/>
      <c r="BGL263" s="18"/>
      <c r="BGM263" s="18"/>
      <c r="BGN263" s="18"/>
      <c r="BGO263" s="18"/>
      <c r="BGP263" s="18"/>
      <c r="BGQ263" s="18"/>
      <c r="BGR263" s="18"/>
      <c r="BGS263" s="18"/>
      <c r="BGT263" s="18"/>
      <c r="BGU263" s="18"/>
      <c r="BGV263" s="18"/>
      <c r="BGW263" s="18"/>
      <c r="BGX263" s="18"/>
      <c r="BGY263" s="18"/>
      <c r="BGZ263" s="18"/>
      <c r="BHA263" s="18"/>
      <c r="BHB263" s="18"/>
      <c r="BHC263" s="18"/>
      <c r="BHD263" s="18"/>
      <c r="BHE263" s="18"/>
      <c r="BHF263" s="18"/>
      <c r="BHG263" s="18"/>
      <c r="BHH263" s="18"/>
      <c r="BHI263" s="18"/>
      <c r="BHJ263" s="18"/>
      <c r="BHK263" s="18"/>
      <c r="BHL263" s="18"/>
      <c r="BHM263" s="18"/>
      <c r="BHN263" s="18"/>
      <c r="BHO263" s="18"/>
      <c r="BHP263" s="18"/>
      <c r="BHQ263" s="18"/>
      <c r="BHR263" s="18"/>
      <c r="BHS263" s="18"/>
      <c r="BHT263" s="18"/>
      <c r="BHU263" s="18"/>
      <c r="BHV263" s="18"/>
      <c r="BHW263" s="18"/>
      <c r="BHX263" s="18"/>
      <c r="BHY263" s="18"/>
      <c r="BHZ263" s="18"/>
      <c r="BIA263" s="18"/>
      <c r="BIB263" s="18"/>
      <c r="BIC263" s="18"/>
      <c r="BID263" s="18"/>
      <c r="BIE263" s="18"/>
      <c r="BIF263" s="18"/>
      <c r="BIG263" s="18"/>
      <c r="BIH263" s="18"/>
      <c r="BII263" s="18"/>
      <c r="BIJ263" s="18"/>
      <c r="BIK263" s="18"/>
      <c r="BIL263" s="18"/>
      <c r="BIM263" s="18"/>
      <c r="BIN263" s="18"/>
      <c r="BIO263" s="18"/>
      <c r="BIP263" s="18"/>
      <c r="BIQ263" s="18"/>
      <c r="BIR263" s="18"/>
      <c r="BIS263" s="18"/>
      <c r="BIT263" s="18"/>
      <c r="BIU263" s="18"/>
      <c r="BIV263" s="18"/>
      <c r="BIW263" s="18"/>
      <c r="BIX263" s="18"/>
      <c r="BIY263" s="18"/>
      <c r="BIZ263" s="18"/>
      <c r="BJA263" s="18"/>
      <c r="BJB263" s="18"/>
      <c r="BJC263" s="18"/>
      <c r="BJD263" s="18"/>
      <c r="BJE263" s="18"/>
      <c r="BJF263" s="18"/>
      <c r="BJG263" s="18"/>
      <c r="BJH263" s="18"/>
      <c r="BJI263" s="18"/>
      <c r="BJJ263" s="18"/>
      <c r="BJK263" s="18"/>
      <c r="BJL263" s="18"/>
      <c r="BJM263" s="18"/>
      <c r="BJN263" s="18"/>
      <c r="BJO263" s="18"/>
      <c r="BJP263" s="18"/>
      <c r="BJQ263" s="18"/>
      <c r="BJR263" s="18"/>
      <c r="BJS263" s="18"/>
      <c r="BJT263" s="18"/>
      <c r="BJU263" s="18"/>
      <c r="BJV263" s="18"/>
      <c r="BJW263" s="18"/>
      <c r="BJX263" s="18"/>
      <c r="BJY263" s="18"/>
      <c r="BJZ263" s="18"/>
      <c r="BKA263" s="18"/>
      <c r="BKB263" s="18"/>
      <c r="BKC263" s="18"/>
      <c r="BKD263" s="18"/>
      <c r="BKE263" s="18"/>
      <c r="BKF263" s="18"/>
      <c r="BKG263" s="18"/>
      <c r="BKH263" s="18"/>
      <c r="BKI263" s="18"/>
      <c r="BKJ263" s="18"/>
      <c r="BKK263" s="18"/>
      <c r="BKL263" s="18"/>
      <c r="BKM263" s="18"/>
      <c r="BKN263" s="18"/>
      <c r="BKO263" s="18"/>
      <c r="BKP263" s="18"/>
      <c r="BKQ263" s="18"/>
      <c r="BKR263" s="18"/>
      <c r="BKS263" s="18"/>
      <c r="BKT263" s="18"/>
      <c r="BKU263" s="18"/>
      <c r="BKV263" s="18"/>
      <c r="BKW263" s="18"/>
      <c r="BKX263" s="18"/>
      <c r="BKY263" s="18"/>
      <c r="BKZ263" s="18"/>
      <c r="BLA263" s="18"/>
      <c r="BLB263" s="18"/>
      <c r="BLC263" s="18"/>
      <c r="BLD263" s="18"/>
      <c r="BLE263" s="18"/>
      <c r="BLF263" s="18"/>
      <c r="BLG263" s="18"/>
      <c r="BLH263" s="18"/>
      <c r="BLI263" s="18"/>
      <c r="BLJ263" s="18"/>
      <c r="BLK263" s="18"/>
      <c r="BLL263" s="18"/>
      <c r="BLM263" s="18"/>
      <c r="BLN263" s="18"/>
      <c r="BLO263" s="18"/>
      <c r="BLP263" s="18"/>
      <c r="BLQ263" s="18"/>
      <c r="BLR263" s="18"/>
      <c r="BLS263" s="18"/>
      <c r="BLT263" s="18"/>
      <c r="BLU263" s="18"/>
      <c r="BLV263" s="18"/>
      <c r="BLW263" s="18"/>
      <c r="BLX263" s="18"/>
      <c r="BLY263" s="18"/>
      <c r="BLZ263" s="18"/>
      <c r="BMA263" s="18"/>
      <c r="BMB263" s="18"/>
      <c r="BMC263" s="18"/>
      <c r="BMD263" s="18"/>
      <c r="BME263" s="18"/>
      <c r="BMF263" s="18"/>
      <c r="BMG263" s="18"/>
      <c r="BMH263" s="18"/>
      <c r="BMI263" s="18"/>
      <c r="BMJ263" s="18"/>
      <c r="BMK263" s="18"/>
      <c r="BML263" s="18"/>
      <c r="BMM263" s="18"/>
      <c r="BMN263" s="18"/>
      <c r="BMO263" s="18"/>
      <c r="BMP263" s="18"/>
      <c r="BMQ263" s="18"/>
      <c r="BMR263" s="18"/>
      <c r="BMS263" s="18"/>
      <c r="BMT263" s="18"/>
      <c r="BMU263" s="18"/>
      <c r="BMV263" s="18"/>
      <c r="BMW263" s="18"/>
      <c r="BMX263" s="18"/>
      <c r="BMY263" s="18"/>
      <c r="BMZ263" s="18"/>
      <c r="BNA263" s="18"/>
      <c r="BNB263" s="18"/>
      <c r="BNC263" s="18"/>
      <c r="BND263" s="18"/>
      <c r="BNE263" s="18"/>
      <c r="BNF263" s="18"/>
      <c r="BNG263" s="18"/>
      <c r="BNH263" s="18"/>
      <c r="BNI263" s="18"/>
      <c r="BNJ263" s="18"/>
      <c r="BNK263" s="18"/>
      <c r="BNL263" s="18"/>
      <c r="BNM263" s="18"/>
      <c r="BNN263" s="18"/>
      <c r="BNO263" s="18"/>
      <c r="BNP263" s="18"/>
      <c r="BNQ263" s="18"/>
      <c r="BNR263" s="18"/>
      <c r="BNS263" s="18"/>
      <c r="BNT263" s="18"/>
      <c r="BNU263" s="18"/>
      <c r="BNV263" s="18"/>
      <c r="BNW263" s="18"/>
      <c r="BNX263" s="18"/>
      <c r="BNY263" s="18"/>
      <c r="BNZ263" s="18"/>
      <c r="BOA263" s="18"/>
      <c r="BOB263" s="18"/>
      <c r="BOC263" s="18"/>
      <c r="BOD263" s="18"/>
      <c r="BOE263" s="18"/>
      <c r="BOF263" s="18"/>
      <c r="BOG263" s="18"/>
      <c r="BOH263" s="18"/>
      <c r="BOI263" s="18"/>
      <c r="BOJ263" s="18"/>
      <c r="BOK263" s="18"/>
      <c r="BOL263" s="18"/>
      <c r="BOM263" s="18"/>
      <c r="BON263" s="18"/>
      <c r="BOO263" s="18"/>
      <c r="BOP263" s="18"/>
      <c r="BOQ263" s="18"/>
      <c r="BOR263" s="18"/>
      <c r="BOS263" s="18"/>
      <c r="BOT263" s="18"/>
      <c r="BOU263" s="18"/>
      <c r="BOV263" s="18"/>
      <c r="BOW263" s="18"/>
      <c r="BOX263" s="18"/>
      <c r="BOY263" s="18"/>
      <c r="BOZ263" s="18"/>
      <c r="BPA263" s="18"/>
      <c r="BPB263" s="18"/>
      <c r="BPC263" s="18"/>
      <c r="BPD263" s="18"/>
      <c r="BPE263" s="18"/>
      <c r="BPF263" s="18"/>
      <c r="BPG263" s="18"/>
      <c r="BPH263" s="18"/>
      <c r="BPI263" s="18"/>
      <c r="BPJ263" s="18"/>
      <c r="BPK263" s="18"/>
      <c r="BPL263" s="18"/>
      <c r="BPM263" s="18"/>
      <c r="BPN263" s="18"/>
      <c r="BPO263" s="18"/>
      <c r="BPP263" s="18"/>
      <c r="BPQ263" s="18"/>
      <c r="BPR263" s="18"/>
      <c r="BPS263" s="18"/>
      <c r="BPT263" s="18"/>
      <c r="BPU263" s="18"/>
      <c r="BPV263" s="18"/>
      <c r="BPW263" s="18"/>
      <c r="BPX263" s="18"/>
      <c r="BPY263" s="18"/>
      <c r="BPZ263" s="18"/>
      <c r="BQA263" s="18"/>
      <c r="BQB263" s="18"/>
      <c r="BQC263" s="18"/>
      <c r="BQD263" s="18"/>
      <c r="BQE263" s="18"/>
      <c r="BQF263" s="18"/>
      <c r="BQG263" s="18"/>
      <c r="BQH263" s="18"/>
      <c r="BQI263" s="18"/>
      <c r="BQJ263" s="18"/>
      <c r="BQK263" s="18"/>
      <c r="BQL263" s="18"/>
      <c r="BQM263" s="18"/>
      <c r="BQN263" s="18"/>
      <c r="BQO263" s="18"/>
      <c r="BQP263" s="18"/>
      <c r="BQQ263" s="18"/>
      <c r="BQR263" s="18"/>
      <c r="BQS263" s="18"/>
      <c r="BQT263" s="18"/>
      <c r="BQU263" s="18"/>
      <c r="BQV263" s="18"/>
      <c r="BQW263" s="18"/>
      <c r="BQX263" s="18"/>
      <c r="BQY263" s="18"/>
      <c r="BQZ263" s="18"/>
      <c r="BRA263" s="18"/>
      <c r="BRB263" s="18"/>
      <c r="BRC263" s="18"/>
      <c r="BRD263" s="18"/>
      <c r="BRE263" s="18"/>
      <c r="BRF263" s="18"/>
      <c r="BRG263" s="18"/>
      <c r="BRH263" s="18"/>
      <c r="BRI263" s="18"/>
      <c r="BRJ263" s="18"/>
      <c r="BRK263" s="18"/>
      <c r="BRL263" s="18"/>
      <c r="BRM263" s="18"/>
      <c r="BRN263" s="18"/>
      <c r="BRO263" s="18"/>
      <c r="BRP263" s="18"/>
      <c r="BRQ263" s="18"/>
      <c r="BRR263" s="18"/>
      <c r="BRS263" s="18"/>
      <c r="BRT263" s="18"/>
      <c r="BRU263" s="18"/>
      <c r="BRV263" s="18"/>
      <c r="BRW263" s="18"/>
      <c r="BRX263" s="18"/>
      <c r="BRY263" s="18"/>
      <c r="BRZ263" s="18"/>
      <c r="BSA263" s="18"/>
      <c r="BSB263" s="18"/>
      <c r="BSC263" s="18"/>
      <c r="BSD263" s="18"/>
      <c r="BSE263" s="18"/>
      <c r="BSF263" s="18"/>
      <c r="BSG263" s="18"/>
      <c r="BSH263" s="18"/>
      <c r="BSI263" s="18"/>
      <c r="BSJ263" s="18"/>
      <c r="BSK263" s="18"/>
      <c r="BSL263" s="18"/>
      <c r="BSM263" s="18"/>
      <c r="BSN263" s="18"/>
      <c r="BSO263" s="18"/>
      <c r="BSP263" s="18"/>
      <c r="BSQ263" s="18"/>
      <c r="BSR263" s="18"/>
      <c r="BSS263" s="18"/>
      <c r="BST263" s="18"/>
      <c r="BSU263" s="18"/>
      <c r="BSV263" s="18"/>
      <c r="BSW263" s="18"/>
      <c r="BSX263" s="18"/>
      <c r="BSY263" s="18"/>
      <c r="BSZ263" s="18"/>
      <c r="BTA263" s="18"/>
      <c r="BTB263" s="18"/>
      <c r="BTC263" s="18"/>
      <c r="BTD263" s="18"/>
      <c r="BTE263" s="18"/>
      <c r="BTF263" s="18"/>
      <c r="BTG263" s="18"/>
      <c r="BTH263" s="18"/>
      <c r="BTI263" s="18"/>
    </row>
    <row r="264" spans="1:1881" s="789" customFormat="1" ht="30.75" customHeight="1" x14ac:dyDescent="0.3">
      <c r="A264" s="108"/>
      <c r="B264" s="846" t="s">
        <v>528</v>
      </c>
      <c r="C264" s="847"/>
      <c r="D264" s="96"/>
      <c r="E264" s="788"/>
      <c r="F264" s="791"/>
      <c r="G264" s="749"/>
      <c r="H264" s="17"/>
      <c r="I264" s="79"/>
      <c r="J264" s="18"/>
      <c r="K264" s="18"/>
      <c r="L264" s="18"/>
      <c r="M264" s="18"/>
      <c r="N264" s="301"/>
      <c r="O264" s="18"/>
      <c r="P264" s="18"/>
      <c r="Q264" s="18"/>
      <c r="R264" s="18"/>
      <c r="S264" s="18"/>
      <c r="T264" s="18"/>
      <c r="U264" s="18"/>
      <c r="V264" s="18"/>
      <c r="W264" s="18"/>
      <c r="X264" s="18"/>
      <c r="Y264" s="18"/>
      <c r="Z264" s="108"/>
      <c r="AA264" s="108"/>
      <c r="AB264" s="108"/>
      <c r="AC264" s="108"/>
      <c r="AD264" s="108"/>
      <c r="AE264" s="108"/>
      <c r="AF264" s="108"/>
      <c r="AG264" s="108"/>
      <c r="AH264" s="108"/>
      <c r="AI264" s="108"/>
      <c r="AJ264" s="108"/>
      <c r="AK264" s="108"/>
      <c r="AL264" s="108"/>
      <c r="AM264" s="108"/>
      <c r="AN264" s="108"/>
      <c r="AO264" s="108"/>
      <c r="AP264" s="108"/>
      <c r="AQ264" s="108"/>
      <c r="AR264" s="10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c r="WZ264" s="18"/>
      <c r="XA264" s="18"/>
      <c r="XB264" s="18"/>
      <c r="XC264" s="18"/>
      <c r="XD264" s="18"/>
      <c r="XE264" s="18"/>
      <c r="XF264" s="18"/>
      <c r="XG264" s="18"/>
      <c r="XH264" s="18"/>
      <c r="XI264" s="18"/>
      <c r="XJ264" s="18"/>
      <c r="XK264" s="18"/>
      <c r="XL264" s="18"/>
      <c r="XM264" s="18"/>
      <c r="XN264" s="18"/>
      <c r="XO264" s="18"/>
      <c r="XP264" s="18"/>
      <c r="XQ264" s="18"/>
      <c r="XR264" s="18"/>
      <c r="XS264" s="18"/>
      <c r="XT264" s="18"/>
      <c r="XU264" s="18"/>
      <c r="XV264" s="18"/>
      <c r="XW264" s="18"/>
      <c r="XX264" s="18"/>
      <c r="XY264" s="18"/>
      <c r="XZ264" s="18"/>
      <c r="YA264" s="18"/>
      <c r="YB264" s="18"/>
      <c r="YC264" s="18"/>
      <c r="YD264" s="18"/>
      <c r="YE264" s="18"/>
      <c r="YF264" s="18"/>
      <c r="YG264" s="18"/>
      <c r="YH264" s="18"/>
      <c r="YI264" s="18"/>
      <c r="YJ264" s="18"/>
      <c r="YK264" s="18"/>
      <c r="YL264" s="18"/>
      <c r="YM264" s="18"/>
      <c r="YN264" s="18"/>
      <c r="YO264" s="18"/>
      <c r="YP264" s="18"/>
      <c r="YQ264" s="18"/>
      <c r="YR264" s="18"/>
      <c r="YS264" s="18"/>
      <c r="YT264" s="18"/>
      <c r="YU264" s="18"/>
      <c r="YV264" s="18"/>
      <c r="YW264" s="18"/>
      <c r="YX264" s="18"/>
      <c r="YY264" s="18"/>
      <c r="YZ264" s="18"/>
      <c r="ZA264" s="18"/>
      <c r="ZB264" s="18"/>
      <c r="ZC264" s="18"/>
      <c r="ZD264" s="18"/>
      <c r="ZE264" s="18"/>
      <c r="ZF264" s="18"/>
      <c r="ZG264" s="18"/>
      <c r="ZH264" s="18"/>
      <c r="ZI264" s="18"/>
      <c r="ZJ264" s="18"/>
      <c r="ZK264" s="18"/>
      <c r="ZL264" s="18"/>
      <c r="ZM264" s="18"/>
      <c r="ZN264" s="18"/>
      <c r="ZO264" s="18"/>
      <c r="ZP264" s="18"/>
      <c r="ZQ264" s="18"/>
      <c r="ZR264" s="18"/>
      <c r="ZS264" s="18"/>
      <c r="ZT264" s="18"/>
      <c r="ZU264" s="18"/>
      <c r="ZV264" s="18"/>
      <c r="ZW264" s="18"/>
      <c r="ZX264" s="18"/>
      <c r="ZY264" s="18"/>
      <c r="ZZ264" s="18"/>
      <c r="AAA264" s="18"/>
      <c r="AAB264" s="18"/>
      <c r="AAC264" s="18"/>
      <c r="AAD264" s="18"/>
      <c r="AAE264" s="18"/>
      <c r="AAF264" s="18"/>
      <c r="AAG264" s="18"/>
      <c r="AAH264" s="18"/>
      <c r="AAI264" s="18"/>
      <c r="AAJ264" s="18"/>
      <c r="AAK264" s="18"/>
      <c r="AAL264" s="18"/>
      <c r="AAM264" s="18"/>
      <c r="AAN264" s="18"/>
      <c r="AAO264" s="18"/>
      <c r="AAP264" s="18"/>
      <c r="AAQ264" s="18"/>
      <c r="AAR264" s="18"/>
      <c r="AAS264" s="18"/>
      <c r="AAT264" s="18"/>
      <c r="AAU264" s="18"/>
      <c r="AAV264" s="18"/>
      <c r="AAW264" s="18"/>
      <c r="AAX264" s="18"/>
      <c r="AAY264" s="18"/>
      <c r="AAZ264" s="18"/>
      <c r="ABA264" s="18"/>
      <c r="ABB264" s="18"/>
      <c r="ABC264" s="18"/>
      <c r="ABD264" s="18"/>
      <c r="ABE264" s="18"/>
      <c r="ABF264" s="18"/>
      <c r="ABG264" s="18"/>
      <c r="ABH264" s="18"/>
      <c r="ABI264" s="18"/>
      <c r="ABJ264" s="18"/>
      <c r="ABK264" s="18"/>
      <c r="ABL264" s="18"/>
      <c r="ABM264" s="18"/>
      <c r="ABN264" s="18"/>
      <c r="ABO264" s="18"/>
      <c r="ABP264" s="18"/>
      <c r="ABQ264" s="18"/>
      <c r="ABR264" s="18"/>
      <c r="ABS264" s="18"/>
      <c r="ABT264" s="18"/>
      <c r="ABU264" s="18"/>
      <c r="ABV264" s="18"/>
      <c r="ABW264" s="18"/>
      <c r="ABX264" s="18"/>
      <c r="ABY264" s="18"/>
      <c r="ABZ264" s="18"/>
      <c r="ACA264" s="18"/>
      <c r="ACB264" s="18"/>
      <c r="ACC264" s="18"/>
      <c r="ACD264" s="18"/>
      <c r="ACE264" s="18"/>
      <c r="ACF264" s="18"/>
      <c r="ACG264" s="18"/>
      <c r="ACH264" s="18"/>
      <c r="ACI264" s="18"/>
      <c r="ACJ264" s="18"/>
      <c r="ACK264" s="18"/>
      <c r="ACL264" s="18"/>
      <c r="ACM264" s="18"/>
      <c r="ACN264" s="18"/>
      <c r="ACO264" s="18"/>
      <c r="ACP264" s="18"/>
      <c r="ACQ264" s="18"/>
      <c r="ACR264" s="18"/>
      <c r="ACS264" s="18"/>
      <c r="ACT264" s="18"/>
      <c r="ACU264" s="18"/>
      <c r="ACV264" s="18"/>
      <c r="ACW264" s="18"/>
      <c r="ACX264" s="18"/>
      <c r="ACY264" s="18"/>
      <c r="ACZ264" s="18"/>
      <c r="ADA264" s="18"/>
      <c r="ADB264" s="18"/>
      <c r="ADC264" s="18"/>
      <c r="ADD264" s="18"/>
      <c r="ADE264" s="18"/>
      <c r="ADF264" s="18"/>
      <c r="ADG264" s="18"/>
      <c r="ADH264" s="18"/>
      <c r="ADI264" s="18"/>
      <c r="ADJ264" s="18"/>
      <c r="ADK264" s="18"/>
      <c r="ADL264" s="18"/>
      <c r="ADM264" s="18"/>
      <c r="ADN264" s="18"/>
      <c r="ADO264" s="18"/>
      <c r="ADP264" s="18"/>
      <c r="ADQ264" s="18"/>
      <c r="ADR264" s="18"/>
      <c r="ADS264" s="18"/>
      <c r="ADT264" s="18"/>
      <c r="ADU264" s="18"/>
      <c r="ADV264" s="18"/>
      <c r="ADW264" s="18"/>
      <c r="ADX264" s="18"/>
      <c r="ADY264" s="18"/>
      <c r="ADZ264" s="18"/>
      <c r="AEA264" s="18"/>
      <c r="AEB264" s="18"/>
      <c r="AEC264" s="18"/>
      <c r="AED264" s="18"/>
      <c r="AEE264" s="18"/>
      <c r="AEF264" s="18"/>
      <c r="AEG264" s="18"/>
      <c r="AEH264" s="18"/>
      <c r="AEI264" s="18"/>
      <c r="AEJ264" s="18"/>
      <c r="AEK264" s="18"/>
      <c r="AEL264" s="18"/>
      <c r="AEM264" s="18"/>
      <c r="AEN264" s="18"/>
      <c r="AEO264" s="18"/>
      <c r="AEP264" s="18"/>
      <c r="AEQ264" s="18"/>
      <c r="AER264" s="18"/>
      <c r="AES264" s="18"/>
      <c r="AET264" s="18"/>
      <c r="AEU264" s="18"/>
      <c r="AEV264" s="18"/>
      <c r="AEW264" s="18"/>
      <c r="AEX264" s="18"/>
      <c r="AEY264" s="18"/>
      <c r="AEZ264" s="18"/>
      <c r="AFA264" s="18"/>
      <c r="AFB264" s="18"/>
      <c r="AFC264" s="18"/>
      <c r="AFD264" s="18"/>
      <c r="AFE264" s="18"/>
      <c r="AFF264" s="18"/>
      <c r="AFG264" s="18"/>
      <c r="AFH264" s="18"/>
      <c r="AFI264" s="18"/>
      <c r="AFJ264" s="18"/>
      <c r="AFK264" s="18"/>
      <c r="AFL264" s="18"/>
      <c r="AFM264" s="18"/>
      <c r="AFN264" s="18"/>
      <c r="AFO264" s="18"/>
      <c r="AFP264" s="18"/>
      <c r="AFQ264" s="18"/>
      <c r="AFR264" s="18"/>
      <c r="AFS264" s="18"/>
      <c r="AFT264" s="18"/>
      <c r="AFU264" s="18"/>
      <c r="AFV264" s="18"/>
      <c r="AFW264" s="18"/>
      <c r="AFX264" s="18"/>
      <c r="AFY264" s="18"/>
      <c r="AFZ264" s="18"/>
      <c r="AGA264" s="18"/>
      <c r="AGB264" s="18"/>
      <c r="AGC264" s="18"/>
      <c r="AGD264" s="18"/>
      <c r="AGE264" s="18"/>
      <c r="AGF264" s="18"/>
      <c r="AGG264" s="18"/>
      <c r="AGH264" s="18"/>
      <c r="AGI264" s="18"/>
      <c r="AGJ264" s="18"/>
      <c r="AGK264" s="18"/>
      <c r="AGL264" s="18"/>
      <c r="AGM264" s="18"/>
      <c r="AGN264" s="18"/>
      <c r="AGO264" s="18"/>
      <c r="AGP264" s="18"/>
      <c r="AGQ264" s="18"/>
      <c r="AGR264" s="18"/>
      <c r="AGS264" s="18"/>
      <c r="AGT264" s="18"/>
      <c r="AGU264" s="18"/>
      <c r="AGV264" s="18"/>
      <c r="AGW264" s="18"/>
      <c r="AGX264" s="18"/>
      <c r="AGY264" s="18"/>
      <c r="AGZ264" s="18"/>
      <c r="AHA264" s="18"/>
      <c r="AHB264" s="18"/>
      <c r="AHC264" s="18"/>
      <c r="AHD264" s="18"/>
      <c r="AHE264" s="18"/>
      <c r="AHF264" s="18"/>
      <c r="AHG264" s="18"/>
      <c r="AHH264" s="18"/>
      <c r="AHI264" s="18"/>
      <c r="AHJ264" s="18"/>
      <c r="AHK264" s="18"/>
      <c r="AHL264" s="18"/>
      <c r="AHM264" s="18"/>
      <c r="AHN264" s="18"/>
      <c r="AHO264" s="18"/>
      <c r="AHP264" s="18"/>
      <c r="AHQ264" s="18"/>
      <c r="AHR264" s="18"/>
      <c r="AHS264" s="18"/>
      <c r="AHT264" s="18"/>
      <c r="AHU264" s="18"/>
      <c r="AHV264" s="18"/>
      <c r="AHW264" s="18"/>
      <c r="AHX264" s="18"/>
      <c r="AHY264" s="18"/>
      <c r="AHZ264" s="18"/>
      <c r="AIA264" s="18"/>
      <c r="AIB264" s="18"/>
      <c r="AIC264" s="18"/>
      <c r="AID264" s="18"/>
      <c r="AIE264" s="18"/>
      <c r="AIF264" s="18"/>
      <c r="AIG264" s="18"/>
      <c r="AIH264" s="18"/>
      <c r="AII264" s="18"/>
      <c r="AIJ264" s="18"/>
      <c r="AIK264" s="18"/>
      <c r="AIL264" s="18"/>
      <c r="AIM264" s="18"/>
      <c r="AIN264" s="18"/>
      <c r="AIO264" s="18"/>
      <c r="AIP264" s="18"/>
      <c r="AIQ264" s="18"/>
      <c r="AIR264" s="18"/>
      <c r="AIS264" s="18"/>
      <c r="AIT264" s="18"/>
      <c r="AIU264" s="18"/>
      <c r="AIV264" s="18"/>
      <c r="AIW264" s="18"/>
      <c r="AIX264" s="18"/>
      <c r="AIY264" s="18"/>
      <c r="AIZ264" s="18"/>
      <c r="AJA264" s="18"/>
      <c r="AJB264" s="18"/>
      <c r="AJC264" s="18"/>
      <c r="AJD264" s="18"/>
      <c r="AJE264" s="18"/>
      <c r="AJF264" s="18"/>
      <c r="AJG264" s="18"/>
      <c r="AJH264" s="18"/>
      <c r="AJI264" s="18"/>
      <c r="AJJ264" s="18"/>
      <c r="AJK264" s="18"/>
      <c r="AJL264" s="18"/>
      <c r="AJM264" s="18"/>
      <c r="AJN264" s="18"/>
      <c r="AJO264" s="18"/>
      <c r="AJP264" s="18"/>
      <c r="AJQ264" s="18"/>
      <c r="AJR264" s="18"/>
      <c r="AJS264" s="18"/>
      <c r="AJT264" s="18"/>
      <c r="AJU264" s="18"/>
      <c r="AJV264" s="18"/>
      <c r="AJW264" s="18"/>
      <c r="AJX264" s="18"/>
      <c r="AJY264" s="18"/>
      <c r="AJZ264" s="18"/>
      <c r="AKA264" s="18"/>
      <c r="AKB264" s="18"/>
      <c r="AKC264" s="18"/>
      <c r="AKD264" s="18"/>
      <c r="AKE264" s="18"/>
      <c r="AKF264" s="18"/>
      <c r="AKG264" s="18"/>
      <c r="AKH264" s="18"/>
      <c r="AKI264" s="18"/>
      <c r="AKJ264" s="18"/>
      <c r="AKK264" s="18"/>
      <c r="AKL264" s="18"/>
      <c r="AKM264" s="18"/>
      <c r="AKN264" s="18"/>
      <c r="AKO264" s="18"/>
      <c r="AKP264" s="18"/>
      <c r="AKQ264" s="18"/>
      <c r="AKR264" s="18"/>
      <c r="AKS264" s="18"/>
      <c r="AKT264" s="18"/>
      <c r="AKU264" s="18"/>
      <c r="AKV264" s="18"/>
      <c r="AKW264" s="18"/>
      <c r="AKX264" s="18"/>
      <c r="AKY264" s="18"/>
      <c r="AKZ264" s="18"/>
      <c r="ALA264" s="18"/>
      <c r="ALB264" s="18"/>
      <c r="ALC264" s="18"/>
      <c r="ALD264" s="18"/>
      <c r="ALE264" s="18"/>
      <c r="ALF264" s="18"/>
      <c r="ALG264" s="18"/>
      <c r="ALH264" s="18"/>
      <c r="ALI264" s="18"/>
      <c r="ALJ264" s="18"/>
      <c r="ALK264" s="18"/>
      <c r="ALL264" s="18"/>
      <c r="ALM264" s="18"/>
      <c r="ALN264" s="18"/>
      <c r="ALO264" s="18"/>
      <c r="ALP264" s="18"/>
      <c r="ALQ264" s="18"/>
      <c r="ALR264" s="18"/>
      <c r="ALS264" s="18"/>
      <c r="ALT264" s="18"/>
      <c r="ALU264" s="18"/>
      <c r="ALV264" s="18"/>
      <c r="ALW264" s="18"/>
      <c r="ALX264" s="18"/>
      <c r="ALY264" s="18"/>
      <c r="ALZ264" s="18"/>
      <c r="AMA264" s="18"/>
      <c r="AMB264" s="18"/>
      <c r="AMC264" s="18"/>
      <c r="AMD264" s="18"/>
      <c r="AME264" s="18"/>
      <c r="AMF264" s="18"/>
      <c r="AMG264" s="18"/>
      <c r="AMH264" s="18"/>
      <c r="AMI264" s="18"/>
      <c r="AMJ264" s="18"/>
      <c r="AMK264" s="18"/>
      <c r="AML264" s="18"/>
      <c r="AMM264" s="18"/>
      <c r="AMN264" s="18"/>
      <c r="AMO264" s="18"/>
      <c r="AMP264" s="18"/>
      <c r="AMQ264" s="18"/>
      <c r="AMR264" s="18"/>
      <c r="AMS264" s="18"/>
      <c r="AMT264" s="18"/>
      <c r="AMU264" s="18"/>
      <c r="AMV264" s="18"/>
      <c r="AMW264" s="18"/>
      <c r="AMX264" s="18"/>
      <c r="AMY264" s="18"/>
      <c r="AMZ264" s="18"/>
      <c r="ANA264" s="18"/>
      <c r="ANB264" s="18"/>
      <c r="ANC264" s="18"/>
      <c r="AND264" s="18"/>
      <c r="ANE264" s="18"/>
      <c r="ANF264" s="18"/>
      <c r="ANG264" s="18"/>
      <c r="ANH264" s="18"/>
      <c r="ANI264" s="18"/>
      <c r="ANJ264" s="18"/>
      <c r="ANK264" s="18"/>
      <c r="ANL264" s="18"/>
      <c r="ANM264" s="18"/>
      <c r="ANN264" s="18"/>
      <c r="ANO264" s="18"/>
      <c r="ANP264" s="18"/>
      <c r="ANQ264" s="18"/>
      <c r="ANR264" s="18"/>
      <c r="ANS264" s="18"/>
      <c r="ANT264" s="18"/>
      <c r="ANU264" s="18"/>
      <c r="ANV264" s="18"/>
      <c r="ANW264" s="18"/>
      <c r="ANX264" s="18"/>
      <c r="ANY264" s="18"/>
      <c r="ANZ264" s="18"/>
      <c r="AOA264" s="18"/>
      <c r="AOB264" s="18"/>
      <c r="AOC264" s="18"/>
      <c r="AOD264" s="18"/>
      <c r="AOE264" s="18"/>
      <c r="AOF264" s="18"/>
      <c r="AOG264" s="18"/>
      <c r="AOH264" s="18"/>
      <c r="AOI264" s="18"/>
      <c r="AOJ264" s="18"/>
      <c r="AOK264" s="18"/>
      <c r="AOL264" s="18"/>
      <c r="AOM264" s="18"/>
      <c r="AON264" s="18"/>
      <c r="AOO264" s="18"/>
      <c r="AOP264" s="18"/>
      <c r="AOQ264" s="18"/>
      <c r="AOR264" s="18"/>
      <c r="AOS264" s="18"/>
      <c r="AOT264" s="18"/>
      <c r="AOU264" s="18"/>
      <c r="AOV264" s="18"/>
      <c r="AOW264" s="18"/>
      <c r="AOX264" s="18"/>
      <c r="AOY264" s="18"/>
      <c r="AOZ264" s="18"/>
      <c r="APA264" s="18"/>
      <c r="APB264" s="18"/>
      <c r="APC264" s="18"/>
      <c r="APD264" s="18"/>
      <c r="APE264" s="18"/>
      <c r="APF264" s="18"/>
      <c r="APG264" s="18"/>
      <c r="APH264" s="18"/>
      <c r="API264" s="18"/>
      <c r="APJ264" s="18"/>
      <c r="APK264" s="18"/>
      <c r="APL264" s="18"/>
      <c r="APM264" s="18"/>
      <c r="APN264" s="18"/>
      <c r="APO264" s="18"/>
      <c r="APP264" s="18"/>
      <c r="APQ264" s="18"/>
      <c r="APR264" s="18"/>
      <c r="APS264" s="18"/>
      <c r="APT264" s="18"/>
      <c r="APU264" s="18"/>
      <c r="APV264" s="18"/>
      <c r="APW264" s="18"/>
      <c r="APX264" s="18"/>
      <c r="APY264" s="18"/>
      <c r="APZ264" s="18"/>
      <c r="AQA264" s="18"/>
      <c r="AQB264" s="18"/>
      <c r="AQC264" s="18"/>
      <c r="AQD264" s="18"/>
      <c r="AQE264" s="18"/>
      <c r="AQF264" s="18"/>
      <c r="AQG264" s="18"/>
      <c r="AQH264" s="18"/>
      <c r="AQI264" s="18"/>
      <c r="AQJ264" s="18"/>
      <c r="AQK264" s="18"/>
      <c r="AQL264" s="18"/>
      <c r="AQM264" s="18"/>
      <c r="AQN264" s="18"/>
      <c r="AQO264" s="18"/>
      <c r="AQP264" s="18"/>
      <c r="AQQ264" s="18"/>
      <c r="AQR264" s="18"/>
      <c r="AQS264" s="18"/>
      <c r="AQT264" s="18"/>
      <c r="AQU264" s="18"/>
      <c r="AQV264" s="18"/>
      <c r="AQW264" s="18"/>
      <c r="AQX264" s="18"/>
      <c r="AQY264" s="18"/>
      <c r="AQZ264" s="18"/>
      <c r="ARA264" s="18"/>
      <c r="ARB264" s="18"/>
      <c r="ARC264" s="18"/>
      <c r="ARD264" s="18"/>
      <c r="ARE264" s="18"/>
      <c r="ARF264" s="18"/>
      <c r="ARG264" s="18"/>
      <c r="ARH264" s="18"/>
      <c r="ARI264" s="18"/>
      <c r="ARJ264" s="18"/>
      <c r="ARK264" s="18"/>
      <c r="ARL264" s="18"/>
      <c r="ARM264" s="18"/>
      <c r="ARN264" s="18"/>
      <c r="ARO264" s="18"/>
      <c r="ARP264" s="18"/>
      <c r="ARQ264" s="18"/>
      <c r="ARR264" s="18"/>
      <c r="ARS264" s="18"/>
      <c r="ART264" s="18"/>
      <c r="ARU264" s="18"/>
      <c r="ARV264" s="18"/>
      <c r="ARW264" s="18"/>
      <c r="ARX264" s="18"/>
      <c r="ARY264" s="18"/>
      <c r="ARZ264" s="18"/>
      <c r="ASA264" s="18"/>
      <c r="ASB264" s="18"/>
      <c r="ASC264" s="18"/>
      <c r="ASD264" s="18"/>
      <c r="ASE264" s="18"/>
      <c r="ASF264" s="18"/>
      <c r="ASG264" s="18"/>
      <c r="ASH264" s="18"/>
      <c r="ASI264" s="18"/>
      <c r="ASJ264" s="18"/>
      <c r="ASK264" s="18"/>
      <c r="ASL264" s="18"/>
      <c r="ASM264" s="18"/>
      <c r="ASN264" s="18"/>
      <c r="ASO264" s="18"/>
      <c r="ASP264" s="18"/>
      <c r="ASQ264" s="18"/>
      <c r="ASR264" s="18"/>
      <c r="ASS264" s="18"/>
      <c r="AST264" s="18"/>
      <c r="ASU264" s="18"/>
      <c r="ASV264" s="18"/>
      <c r="ASW264" s="18"/>
      <c r="ASX264" s="18"/>
      <c r="ASY264" s="18"/>
      <c r="ASZ264" s="18"/>
      <c r="ATA264" s="18"/>
      <c r="ATB264" s="18"/>
      <c r="ATC264" s="18"/>
      <c r="ATD264" s="18"/>
      <c r="ATE264" s="18"/>
      <c r="ATF264" s="18"/>
      <c r="ATG264" s="18"/>
      <c r="ATH264" s="18"/>
      <c r="ATI264" s="18"/>
      <c r="ATJ264" s="18"/>
      <c r="ATK264" s="18"/>
      <c r="ATL264" s="18"/>
      <c r="ATM264" s="18"/>
      <c r="ATN264" s="18"/>
      <c r="ATO264" s="18"/>
      <c r="ATP264" s="18"/>
      <c r="ATQ264" s="18"/>
      <c r="ATR264" s="18"/>
      <c r="ATS264" s="18"/>
      <c r="ATT264" s="18"/>
      <c r="ATU264" s="18"/>
      <c r="ATV264" s="18"/>
      <c r="ATW264" s="18"/>
      <c r="ATX264" s="18"/>
      <c r="ATY264" s="18"/>
      <c r="ATZ264" s="18"/>
      <c r="AUA264" s="18"/>
      <c r="AUB264" s="18"/>
      <c r="AUC264" s="18"/>
      <c r="AUD264" s="18"/>
      <c r="AUE264" s="18"/>
      <c r="AUF264" s="18"/>
      <c r="AUG264" s="18"/>
      <c r="AUH264" s="18"/>
      <c r="AUI264" s="18"/>
      <c r="AUJ264" s="18"/>
      <c r="AUK264" s="18"/>
      <c r="AUL264" s="18"/>
      <c r="AUM264" s="18"/>
      <c r="AUN264" s="18"/>
      <c r="AUO264" s="18"/>
      <c r="AUP264" s="18"/>
      <c r="AUQ264" s="18"/>
      <c r="AUR264" s="18"/>
      <c r="AUS264" s="18"/>
      <c r="AUT264" s="18"/>
      <c r="AUU264" s="18"/>
      <c r="AUV264" s="18"/>
      <c r="AUW264" s="18"/>
      <c r="AUX264" s="18"/>
      <c r="AUY264" s="18"/>
      <c r="AUZ264" s="18"/>
      <c r="AVA264" s="18"/>
      <c r="AVB264" s="18"/>
      <c r="AVC264" s="18"/>
      <c r="AVD264" s="18"/>
      <c r="AVE264" s="18"/>
      <c r="AVF264" s="18"/>
      <c r="AVG264" s="18"/>
      <c r="AVH264" s="18"/>
      <c r="AVI264" s="18"/>
      <c r="AVJ264" s="18"/>
      <c r="AVK264" s="18"/>
      <c r="AVL264" s="18"/>
      <c r="AVM264" s="18"/>
      <c r="AVN264" s="18"/>
      <c r="AVO264" s="18"/>
      <c r="AVP264" s="18"/>
      <c r="AVQ264" s="18"/>
      <c r="AVR264" s="18"/>
      <c r="AVS264" s="18"/>
      <c r="AVT264" s="18"/>
      <c r="AVU264" s="18"/>
      <c r="AVV264" s="18"/>
      <c r="AVW264" s="18"/>
      <c r="AVX264" s="18"/>
      <c r="AVY264" s="18"/>
      <c r="AVZ264" s="18"/>
      <c r="AWA264" s="18"/>
      <c r="AWB264" s="18"/>
      <c r="AWC264" s="18"/>
      <c r="AWD264" s="18"/>
      <c r="AWE264" s="18"/>
      <c r="AWF264" s="18"/>
      <c r="AWG264" s="18"/>
      <c r="AWH264" s="18"/>
      <c r="AWI264" s="18"/>
      <c r="AWJ264" s="18"/>
      <c r="AWK264" s="18"/>
      <c r="AWL264" s="18"/>
      <c r="AWM264" s="18"/>
      <c r="AWN264" s="18"/>
      <c r="AWO264" s="18"/>
      <c r="AWP264" s="18"/>
      <c r="AWQ264" s="18"/>
      <c r="AWR264" s="18"/>
      <c r="AWS264" s="18"/>
      <c r="AWT264" s="18"/>
      <c r="AWU264" s="18"/>
      <c r="AWV264" s="18"/>
      <c r="AWW264" s="18"/>
      <c r="AWX264" s="18"/>
      <c r="AWY264" s="18"/>
      <c r="AWZ264" s="18"/>
      <c r="AXA264" s="18"/>
      <c r="AXB264" s="18"/>
      <c r="AXC264" s="18"/>
      <c r="AXD264" s="18"/>
      <c r="AXE264" s="18"/>
      <c r="AXF264" s="18"/>
      <c r="AXG264" s="18"/>
      <c r="AXH264" s="18"/>
      <c r="AXI264" s="18"/>
      <c r="AXJ264" s="18"/>
      <c r="AXK264" s="18"/>
      <c r="AXL264" s="18"/>
      <c r="AXM264" s="18"/>
      <c r="AXN264" s="18"/>
      <c r="AXO264" s="18"/>
      <c r="AXP264" s="18"/>
      <c r="AXQ264" s="18"/>
      <c r="AXR264" s="18"/>
      <c r="AXS264" s="18"/>
      <c r="AXT264" s="18"/>
      <c r="AXU264" s="18"/>
      <c r="AXV264" s="18"/>
      <c r="AXW264" s="18"/>
      <c r="AXX264" s="18"/>
      <c r="AXY264" s="18"/>
      <c r="AXZ264" s="18"/>
      <c r="AYA264" s="18"/>
      <c r="AYB264" s="18"/>
      <c r="AYC264" s="18"/>
      <c r="AYD264" s="18"/>
      <c r="AYE264" s="18"/>
      <c r="AYF264" s="18"/>
      <c r="AYG264" s="18"/>
      <c r="AYH264" s="18"/>
      <c r="AYI264" s="18"/>
      <c r="AYJ264" s="18"/>
      <c r="AYK264" s="18"/>
      <c r="AYL264" s="18"/>
      <c r="AYM264" s="18"/>
      <c r="AYN264" s="18"/>
      <c r="AYO264" s="18"/>
      <c r="AYP264" s="18"/>
      <c r="AYQ264" s="18"/>
      <c r="AYR264" s="18"/>
      <c r="AYS264" s="18"/>
      <c r="AYT264" s="18"/>
      <c r="AYU264" s="18"/>
      <c r="AYV264" s="18"/>
      <c r="AYW264" s="18"/>
      <c r="AYX264" s="18"/>
      <c r="AYY264" s="18"/>
      <c r="AYZ264" s="18"/>
      <c r="AZA264" s="18"/>
      <c r="AZB264" s="18"/>
      <c r="AZC264" s="18"/>
      <c r="AZD264" s="18"/>
      <c r="AZE264" s="18"/>
      <c r="AZF264" s="18"/>
      <c r="AZG264" s="18"/>
      <c r="AZH264" s="18"/>
      <c r="AZI264" s="18"/>
      <c r="AZJ264" s="18"/>
      <c r="AZK264" s="18"/>
      <c r="AZL264" s="18"/>
      <c r="AZM264" s="18"/>
      <c r="AZN264" s="18"/>
      <c r="AZO264" s="18"/>
      <c r="AZP264" s="18"/>
      <c r="AZQ264" s="18"/>
      <c r="AZR264" s="18"/>
      <c r="AZS264" s="18"/>
      <c r="AZT264" s="18"/>
      <c r="AZU264" s="18"/>
      <c r="AZV264" s="18"/>
      <c r="AZW264" s="18"/>
      <c r="AZX264" s="18"/>
      <c r="AZY264" s="18"/>
      <c r="AZZ264" s="18"/>
      <c r="BAA264" s="18"/>
      <c r="BAB264" s="18"/>
      <c r="BAC264" s="18"/>
      <c r="BAD264" s="18"/>
      <c r="BAE264" s="18"/>
      <c r="BAF264" s="18"/>
      <c r="BAG264" s="18"/>
      <c r="BAH264" s="18"/>
      <c r="BAI264" s="18"/>
      <c r="BAJ264" s="18"/>
      <c r="BAK264" s="18"/>
      <c r="BAL264" s="18"/>
      <c r="BAM264" s="18"/>
      <c r="BAN264" s="18"/>
      <c r="BAO264" s="18"/>
      <c r="BAP264" s="18"/>
      <c r="BAQ264" s="18"/>
      <c r="BAR264" s="18"/>
      <c r="BAS264" s="18"/>
      <c r="BAT264" s="18"/>
      <c r="BAU264" s="18"/>
      <c r="BAV264" s="18"/>
      <c r="BAW264" s="18"/>
      <c r="BAX264" s="18"/>
      <c r="BAY264" s="18"/>
      <c r="BAZ264" s="18"/>
      <c r="BBA264" s="18"/>
      <c r="BBB264" s="18"/>
      <c r="BBC264" s="18"/>
      <c r="BBD264" s="18"/>
      <c r="BBE264" s="18"/>
      <c r="BBF264" s="18"/>
      <c r="BBG264" s="18"/>
      <c r="BBH264" s="18"/>
      <c r="BBI264" s="18"/>
      <c r="BBJ264" s="18"/>
      <c r="BBK264" s="18"/>
      <c r="BBL264" s="18"/>
      <c r="BBM264" s="18"/>
      <c r="BBN264" s="18"/>
      <c r="BBO264" s="18"/>
      <c r="BBP264" s="18"/>
      <c r="BBQ264" s="18"/>
      <c r="BBR264" s="18"/>
      <c r="BBS264" s="18"/>
      <c r="BBT264" s="18"/>
      <c r="BBU264" s="18"/>
      <c r="BBV264" s="18"/>
      <c r="BBW264" s="18"/>
      <c r="BBX264" s="18"/>
      <c r="BBY264" s="18"/>
      <c r="BBZ264" s="18"/>
      <c r="BCA264" s="18"/>
      <c r="BCB264" s="18"/>
      <c r="BCC264" s="18"/>
      <c r="BCD264" s="18"/>
      <c r="BCE264" s="18"/>
      <c r="BCF264" s="18"/>
      <c r="BCG264" s="18"/>
      <c r="BCH264" s="18"/>
      <c r="BCI264" s="18"/>
      <c r="BCJ264" s="18"/>
      <c r="BCK264" s="18"/>
      <c r="BCL264" s="18"/>
      <c r="BCM264" s="18"/>
      <c r="BCN264" s="18"/>
      <c r="BCO264" s="18"/>
      <c r="BCP264" s="18"/>
      <c r="BCQ264" s="18"/>
      <c r="BCR264" s="18"/>
      <c r="BCS264" s="18"/>
      <c r="BCT264" s="18"/>
      <c r="BCU264" s="18"/>
      <c r="BCV264" s="18"/>
      <c r="BCW264" s="18"/>
      <c r="BCX264" s="18"/>
      <c r="BCY264" s="18"/>
      <c r="BCZ264" s="18"/>
      <c r="BDA264" s="18"/>
      <c r="BDB264" s="18"/>
      <c r="BDC264" s="18"/>
      <c r="BDD264" s="18"/>
      <c r="BDE264" s="18"/>
      <c r="BDF264" s="18"/>
      <c r="BDG264" s="18"/>
      <c r="BDH264" s="18"/>
      <c r="BDI264" s="18"/>
      <c r="BDJ264" s="18"/>
      <c r="BDK264" s="18"/>
      <c r="BDL264" s="18"/>
      <c r="BDM264" s="18"/>
      <c r="BDN264" s="18"/>
      <c r="BDO264" s="18"/>
      <c r="BDP264" s="18"/>
      <c r="BDQ264" s="18"/>
      <c r="BDR264" s="18"/>
      <c r="BDS264" s="18"/>
      <c r="BDT264" s="18"/>
      <c r="BDU264" s="18"/>
      <c r="BDV264" s="18"/>
      <c r="BDW264" s="18"/>
      <c r="BDX264" s="18"/>
      <c r="BDY264" s="18"/>
      <c r="BDZ264" s="18"/>
      <c r="BEA264" s="18"/>
      <c r="BEB264" s="18"/>
      <c r="BEC264" s="18"/>
      <c r="BED264" s="18"/>
      <c r="BEE264" s="18"/>
      <c r="BEF264" s="18"/>
      <c r="BEG264" s="18"/>
      <c r="BEH264" s="18"/>
      <c r="BEI264" s="18"/>
      <c r="BEJ264" s="18"/>
      <c r="BEK264" s="18"/>
      <c r="BEL264" s="18"/>
      <c r="BEM264" s="18"/>
      <c r="BEN264" s="18"/>
      <c r="BEO264" s="18"/>
      <c r="BEP264" s="18"/>
      <c r="BEQ264" s="18"/>
      <c r="BER264" s="18"/>
      <c r="BES264" s="18"/>
      <c r="BET264" s="18"/>
      <c r="BEU264" s="18"/>
      <c r="BEV264" s="18"/>
      <c r="BEW264" s="18"/>
      <c r="BEX264" s="18"/>
      <c r="BEY264" s="18"/>
      <c r="BEZ264" s="18"/>
      <c r="BFA264" s="18"/>
      <c r="BFB264" s="18"/>
      <c r="BFC264" s="18"/>
      <c r="BFD264" s="18"/>
      <c r="BFE264" s="18"/>
      <c r="BFF264" s="18"/>
      <c r="BFG264" s="18"/>
      <c r="BFH264" s="18"/>
      <c r="BFI264" s="18"/>
      <c r="BFJ264" s="18"/>
      <c r="BFK264" s="18"/>
      <c r="BFL264" s="18"/>
      <c r="BFM264" s="18"/>
      <c r="BFN264" s="18"/>
      <c r="BFO264" s="18"/>
      <c r="BFP264" s="18"/>
      <c r="BFQ264" s="18"/>
      <c r="BFR264" s="18"/>
      <c r="BFS264" s="18"/>
      <c r="BFT264" s="18"/>
      <c r="BFU264" s="18"/>
      <c r="BFV264" s="18"/>
      <c r="BFW264" s="18"/>
      <c r="BFX264" s="18"/>
      <c r="BFY264" s="18"/>
      <c r="BFZ264" s="18"/>
      <c r="BGA264" s="18"/>
      <c r="BGB264" s="18"/>
      <c r="BGC264" s="18"/>
      <c r="BGD264" s="18"/>
      <c r="BGE264" s="18"/>
      <c r="BGF264" s="18"/>
      <c r="BGG264" s="18"/>
      <c r="BGH264" s="18"/>
      <c r="BGI264" s="18"/>
      <c r="BGJ264" s="18"/>
      <c r="BGK264" s="18"/>
      <c r="BGL264" s="18"/>
      <c r="BGM264" s="18"/>
      <c r="BGN264" s="18"/>
      <c r="BGO264" s="18"/>
      <c r="BGP264" s="18"/>
      <c r="BGQ264" s="18"/>
      <c r="BGR264" s="18"/>
      <c r="BGS264" s="18"/>
      <c r="BGT264" s="18"/>
      <c r="BGU264" s="18"/>
      <c r="BGV264" s="18"/>
      <c r="BGW264" s="18"/>
      <c r="BGX264" s="18"/>
      <c r="BGY264" s="18"/>
      <c r="BGZ264" s="18"/>
      <c r="BHA264" s="18"/>
      <c r="BHB264" s="18"/>
      <c r="BHC264" s="18"/>
      <c r="BHD264" s="18"/>
      <c r="BHE264" s="18"/>
      <c r="BHF264" s="18"/>
      <c r="BHG264" s="18"/>
      <c r="BHH264" s="18"/>
      <c r="BHI264" s="18"/>
      <c r="BHJ264" s="18"/>
      <c r="BHK264" s="18"/>
      <c r="BHL264" s="18"/>
      <c r="BHM264" s="18"/>
      <c r="BHN264" s="18"/>
      <c r="BHO264" s="18"/>
      <c r="BHP264" s="18"/>
      <c r="BHQ264" s="18"/>
      <c r="BHR264" s="18"/>
      <c r="BHS264" s="18"/>
      <c r="BHT264" s="18"/>
      <c r="BHU264" s="18"/>
      <c r="BHV264" s="18"/>
      <c r="BHW264" s="18"/>
      <c r="BHX264" s="18"/>
      <c r="BHY264" s="18"/>
      <c r="BHZ264" s="18"/>
      <c r="BIA264" s="18"/>
      <c r="BIB264" s="18"/>
      <c r="BIC264" s="18"/>
      <c r="BID264" s="18"/>
      <c r="BIE264" s="18"/>
      <c r="BIF264" s="18"/>
      <c r="BIG264" s="18"/>
      <c r="BIH264" s="18"/>
      <c r="BII264" s="18"/>
      <c r="BIJ264" s="18"/>
      <c r="BIK264" s="18"/>
      <c r="BIL264" s="18"/>
      <c r="BIM264" s="18"/>
      <c r="BIN264" s="18"/>
      <c r="BIO264" s="18"/>
      <c r="BIP264" s="18"/>
      <c r="BIQ264" s="18"/>
      <c r="BIR264" s="18"/>
      <c r="BIS264" s="18"/>
      <c r="BIT264" s="18"/>
      <c r="BIU264" s="18"/>
      <c r="BIV264" s="18"/>
      <c r="BIW264" s="18"/>
      <c r="BIX264" s="18"/>
      <c r="BIY264" s="18"/>
      <c r="BIZ264" s="18"/>
      <c r="BJA264" s="18"/>
      <c r="BJB264" s="18"/>
      <c r="BJC264" s="18"/>
      <c r="BJD264" s="18"/>
      <c r="BJE264" s="18"/>
      <c r="BJF264" s="18"/>
      <c r="BJG264" s="18"/>
      <c r="BJH264" s="18"/>
      <c r="BJI264" s="18"/>
      <c r="BJJ264" s="18"/>
      <c r="BJK264" s="18"/>
      <c r="BJL264" s="18"/>
      <c r="BJM264" s="18"/>
      <c r="BJN264" s="18"/>
      <c r="BJO264" s="18"/>
      <c r="BJP264" s="18"/>
      <c r="BJQ264" s="18"/>
      <c r="BJR264" s="18"/>
      <c r="BJS264" s="18"/>
      <c r="BJT264" s="18"/>
      <c r="BJU264" s="18"/>
      <c r="BJV264" s="18"/>
      <c r="BJW264" s="18"/>
      <c r="BJX264" s="18"/>
      <c r="BJY264" s="18"/>
      <c r="BJZ264" s="18"/>
      <c r="BKA264" s="18"/>
      <c r="BKB264" s="18"/>
      <c r="BKC264" s="18"/>
      <c r="BKD264" s="18"/>
      <c r="BKE264" s="18"/>
      <c r="BKF264" s="18"/>
      <c r="BKG264" s="18"/>
      <c r="BKH264" s="18"/>
      <c r="BKI264" s="18"/>
      <c r="BKJ264" s="18"/>
      <c r="BKK264" s="18"/>
      <c r="BKL264" s="18"/>
      <c r="BKM264" s="18"/>
      <c r="BKN264" s="18"/>
      <c r="BKO264" s="18"/>
      <c r="BKP264" s="18"/>
      <c r="BKQ264" s="18"/>
      <c r="BKR264" s="18"/>
      <c r="BKS264" s="18"/>
      <c r="BKT264" s="18"/>
      <c r="BKU264" s="18"/>
      <c r="BKV264" s="18"/>
      <c r="BKW264" s="18"/>
      <c r="BKX264" s="18"/>
      <c r="BKY264" s="18"/>
      <c r="BKZ264" s="18"/>
      <c r="BLA264" s="18"/>
      <c r="BLB264" s="18"/>
      <c r="BLC264" s="18"/>
      <c r="BLD264" s="18"/>
      <c r="BLE264" s="18"/>
      <c r="BLF264" s="18"/>
      <c r="BLG264" s="18"/>
      <c r="BLH264" s="18"/>
      <c r="BLI264" s="18"/>
      <c r="BLJ264" s="18"/>
      <c r="BLK264" s="18"/>
      <c r="BLL264" s="18"/>
      <c r="BLM264" s="18"/>
      <c r="BLN264" s="18"/>
      <c r="BLO264" s="18"/>
      <c r="BLP264" s="18"/>
      <c r="BLQ264" s="18"/>
      <c r="BLR264" s="18"/>
      <c r="BLS264" s="18"/>
      <c r="BLT264" s="18"/>
      <c r="BLU264" s="18"/>
      <c r="BLV264" s="18"/>
      <c r="BLW264" s="18"/>
      <c r="BLX264" s="18"/>
      <c r="BLY264" s="18"/>
      <c r="BLZ264" s="18"/>
      <c r="BMA264" s="18"/>
      <c r="BMB264" s="18"/>
      <c r="BMC264" s="18"/>
      <c r="BMD264" s="18"/>
      <c r="BME264" s="18"/>
      <c r="BMF264" s="18"/>
      <c r="BMG264" s="18"/>
      <c r="BMH264" s="18"/>
      <c r="BMI264" s="18"/>
      <c r="BMJ264" s="18"/>
      <c r="BMK264" s="18"/>
      <c r="BML264" s="18"/>
      <c r="BMM264" s="18"/>
      <c r="BMN264" s="18"/>
      <c r="BMO264" s="18"/>
      <c r="BMP264" s="18"/>
      <c r="BMQ264" s="18"/>
      <c r="BMR264" s="18"/>
      <c r="BMS264" s="18"/>
      <c r="BMT264" s="18"/>
      <c r="BMU264" s="18"/>
      <c r="BMV264" s="18"/>
      <c r="BMW264" s="18"/>
      <c r="BMX264" s="18"/>
      <c r="BMY264" s="18"/>
      <c r="BMZ264" s="18"/>
      <c r="BNA264" s="18"/>
      <c r="BNB264" s="18"/>
      <c r="BNC264" s="18"/>
      <c r="BND264" s="18"/>
      <c r="BNE264" s="18"/>
      <c r="BNF264" s="18"/>
      <c r="BNG264" s="18"/>
      <c r="BNH264" s="18"/>
      <c r="BNI264" s="18"/>
      <c r="BNJ264" s="18"/>
      <c r="BNK264" s="18"/>
      <c r="BNL264" s="18"/>
      <c r="BNM264" s="18"/>
      <c r="BNN264" s="18"/>
      <c r="BNO264" s="18"/>
      <c r="BNP264" s="18"/>
      <c r="BNQ264" s="18"/>
      <c r="BNR264" s="18"/>
      <c r="BNS264" s="18"/>
      <c r="BNT264" s="18"/>
      <c r="BNU264" s="18"/>
      <c r="BNV264" s="18"/>
      <c r="BNW264" s="18"/>
      <c r="BNX264" s="18"/>
      <c r="BNY264" s="18"/>
      <c r="BNZ264" s="18"/>
      <c r="BOA264" s="18"/>
      <c r="BOB264" s="18"/>
      <c r="BOC264" s="18"/>
      <c r="BOD264" s="18"/>
      <c r="BOE264" s="18"/>
      <c r="BOF264" s="18"/>
      <c r="BOG264" s="18"/>
      <c r="BOH264" s="18"/>
      <c r="BOI264" s="18"/>
      <c r="BOJ264" s="18"/>
      <c r="BOK264" s="18"/>
      <c r="BOL264" s="18"/>
      <c r="BOM264" s="18"/>
      <c r="BON264" s="18"/>
      <c r="BOO264" s="18"/>
      <c r="BOP264" s="18"/>
      <c r="BOQ264" s="18"/>
      <c r="BOR264" s="18"/>
      <c r="BOS264" s="18"/>
      <c r="BOT264" s="18"/>
      <c r="BOU264" s="18"/>
      <c r="BOV264" s="18"/>
      <c r="BOW264" s="18"/>
      <c r="BOX264" s="18"/>
      <c r="BOY264" s="18"/>
      <c r="BOZ264" s="18"/>
      <c r="BPA264" s="18"/>
      <c r="BPB264" s="18"/>
      <c r="BPC264" s="18"/>
      <c r="BPD264" s="18"/>
      <c r="BPE264" s="18"/>
      <c r="BPF264" s="18"/>
      <c r="BPG264" s="18"/>
      <c r="BPH264" s="18"/>
      <c r="BPI264" s="18"/>
      <c r="BPJ264" s="18"/>
      <c r="BPK264" s="18"/>
      <c r="BPL264" s="18"/>
      <c r="BPM264" s="18"/>
      <c r="BPN264" s="18"/>
      <c r="BPO264" s="18"/>
      <c r="BPP264" s="18"/>
      <c r="BPQ264" s="18"/>
      <c r="BPR264" s="18"/>
      <c r="BPS264" s="18"/>
      <c r="BPT264" s="18"/>
      <c r="BPU264" s="18"/>
      <c r="BPV264" s="18"/>
      <c r="BPW264" s="18"/>
      <c r="BPX264" s="18"/>
      <c r="BPY264" s="18"/>
      <c r="BPZ264" s="18"/>
      <c r="BQA264" s="18"/>
      <c r="BQB264" s="18"/>
      <c r="BQC264" s="18"/>
      <c r="BQD264" s="18"/>
      <c r="BQE264" s="18"/>
      <c r="BQF264" s="18"/>
      <c r="BQG264" s="18"/>
      <c r="BQH264" s="18"/>
      <c r="BQI264" s="18"/>
      <c r="BQJ264" s="18"/>
      <c r="BQK264" s="18"/>
      <c r="BQL264" s="18"/>
      <c r="BQM264" s="18"/>
      <c r="BQN264" s="18"/>
      <c r="BQO264" s="18"/>
      <c r="BQP264" s="18"/>
      <c r="BQQ264" s="18"/>
      <c r="BQR264" s="18"/>
      <c r="BQS264" s="18"/>
      <c r="BQT264" s="18"/>
      <c r="BQU264" s="18"/>
      <c r="BQV264" s="18"/>
      <c r="BQW264" s="18"/>
      <c r="BQX264" s="18"/>
      <c r="BQY264" s="18"/>
      <c r="BQZ264" s="18"/>
      <c r="BRA264" s="18"/>
      <c r="BRB264" s="18"/>
      <c r="BRC264" s="18"/>
      <c r="BRD264" s="18"/>
      <c r="BRE264" s="18"/>
      <c r="BRF264" s="18"/>
      <c r="BRG264" s="18"/>
      <c r="BRH264" s="18"/>
      <c r="BRI264" s="18"/>
      <c r="BRJ264" s="18"/>
      <c r="BRK264" s="18"/>
      <c r="BRL264" s="18"/>
      <c r="BRM264" s="18"/>
      <c r="BRN264" s="18"/>
      <c r="BRO264" s="18"/>
      <c r="BRP264" s="18"/>
      <c r="BRQ264" s="18"/>
      <c r="BRR264" s="18"/>
      <c r="BRS264" s="18"/>
      <c r="BRT264" s="18"/>
      <c r="BRU264" s="18"/>
      <c r="BRV264" s="18"/>
      <c r="BRW264" s="18"/>
      <c r="BRX264" s="18"/>
      <c r="BRY264" s="18"/>
      <c r="BRZ264" s="18"/>
      <c r="BSA264" s="18"/>
      <c r="BSB264" s="18"/>
      <c r="BSC264" s="18"/>
      <c r="BSD264" s="18"/>
      <c r="BSE264" s="18"/>
      <c r="BSF264" s="18"/>
      <c r="BSG264" s="18"/>
      <c r="BSH264" s="18"/>
      <c r="BSI264" s="18"/>
      <c r="BSJ264" s="18"/>
      <c r="BSK264" s="18"/>
      <c r="BSL264" s="18"/>
      <c r="BSM264" s="18"/>
      <c r="BSN264" s="18"/>
      <c r="BSO264" s="18"/>
      <c r="BSP264" s="18"/>
      <c r="BSQ264" s="18"/>
      <c r="BSR264" s="18"/>
      <c r="BSS264" s="18"/>
      <c r="BST264" s="18"/>
      <c r="BSU264" s="18"/>
      <c r="BSV264" s="18"/>
      <c r="BSW264" s="18"/>
      <c r="BSX264" s="18"/>
      <c r="BSY264" s="18"/>
      <c r="BSZ264" s="18"/>
      <c r="BTA264" s="18"/>
      <c r="BTB264" s="18"/>
      <c r="BTC264" s="18"/>
      <c r="BTD264" s="18"/>
      <c r="BTE264" s="18"/>
      <c r="BTF264" s="18"/>
      <c r="BTG264" s="18"/>
      <c r="BTH264" s="18"/>
      <c r="BTI264" s="18"/>
    </row>
    <row r="265" spans="1:1881" s="789" customFormat="1" ht="81.75" customHeight="1" x14ac:dyDescent="0.3">
      <c r="A265" s="108">
        <v>598</v>
      </c>
      <c r="B265" s="691" t="s">
        <v>59</v>
      </c>
      <c r="C265" s="691" t="s">
        <v>529</v>
      </c>
      <c r="D265" s="728" t="s">
        <v>678</v>
      </c>
      <c r="E265" s="689" t="e">
        <f>HLOOKUP($D$2,'2020 Data(H)'!$C$1:$CR$397,258,FALSE)</f>
        <v>#N/A</v>
      </c>
      <c r="F265" s="299">
        <v>0</v>
      </c>
      <c r="G265" s="750">
        <f>IF(F265&lt;0,"Error: Enter as positive.",)</f>
        <v>0</v>
      </c>
      <c r="H265" s="750"/>
      <c r="I265" s="786"/>
      <c r="J265" s="595"/>
      <c r="K265" s="18"/>
      <c r="L265" s="18"/>
      <c r="M265" s="18"/>
      <c r="N265" s="301"/>
      <c r="O265" s="18"/>
      <c r="P265" s="18"/>
      <c r="Q265" s="18"/>
      <c r="R265" s="18"/>
      <c r="S265" s="18"/>
      <c r="T265" s="18"/>
      <c r="U265" s="18"/>
      <c r="V265" s="18"/>
      <c r="W265" s="18"/>
      <c r="X265" s="18"/>
      <c r="Y265" s="18"/>
      <c r="Z265" s="108"/>
      <c r="AA265" s="108"/>
      <c r="AB265" s="108"/>
      <c r="AC265" s="108"/>
      <c r="AD265" s="108"/>
      <c r="AE265" s="108"/>
      <c r="AF265" s="108"/>
      <c r="AG265" s="108"/>
      <c r="AH265" s="108"/>
      <c r="AI265" s="108"/>
      <c r="AJ265" s="108"/>
      <c r="AK265" s="108"/>
      <c r="AL265" s="108"/>
      <c r="AM265" s="108"/>
      <c r="AN265" s="108"/>
      <c r="AO265" s="108"/>
      <c r="AP265" s="108"/>
      <c r="AQ265" s="108"/>
      <c r="AR265" s="10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c r="WZ265" s="18"/>
      <c r="XA265" s="18"/>
      <c r="XB265" s="18"/>
      <c r="XC265" s="18"/>
      <c r="XD265" s="18"/>
      <c r="XE265" s="18"/>
      <c r="XF265" s="18"/>
      <c r="XG265" s="18"/>
      <c r="XH265" s="18"/>
      <c r="XI265" s="18"/>
      <c r="XJ265" s="18"/>
      <c r="XK265" s="18"/>
      <c r="XL265" s="18"/>
      <c r="XM265" s="18"/>
      <c r="XN265" s="18"/>
      <c r="XO265" s="18"/>
      <c r="XP265" s="18"/>
      <c r="XQ265" s="18"/>
      <c r="XR265" s="18"/>
      <c r="XS265" s="18"/>
      <c r="XT265" s="18"/>
      <c r="XU265" s="18"/>
      <c r="XV265" s="18"/>
      <c r="XW265" s="18"/>
      <c r="XX265" s="18"/>
      <c r="XY265" s="18"/>
      <c r="XZ265" s="18"/>
      <c r="YA265" s="18"/>
      <c r="YB265" s="18"/>
      <c r="YC265" s="18"/>
      <c r="YD265" s="18"/>
      <c r="YE265" s="18"/>
      <c r="YF265" s="18"/>
      <c r="YG265" s="18"/>
      <c r="YH265" s="18"/>
      <c r="YI265" s="18"/>
      <c r="YJ265" s="18"/>
      <c r="YK265" s="18"/>
      <c r="YL265" s="18"/>
      <c r="YM265" s="18"/>
      <c r="YN265" s="18"/>
      <c r="YO265" s="18"/>
      <c r="YP265" s="18"/>
      <c r="YQ265" s="18"/>
      <c r="YR265" s="18"/>
      <c r="YS265" s="18"/>
      <c r="YT265" s="18"/>
      <c r="YU265" s="18"/>
      <c r="YV265" s="18"/>
      <c r="YW265" s="18"/>
      <c r="YX265" s="18"/>
      <c r="YY265" s="18"/>
      <c r="YZ265" s="18"/>
      <c r="ZA265" s="18"/>
      <c r="ZB265" s="18"/>
      <c r="ZC265" s="18"/>
      <c r="ZD265" s="18"/>
      <c r="ZE265" s="18"/>
      <c r="ZF265" s="18"/>
      <c r="ZG265" s="18"/>
      <c r="ZH265" s="18"/>
      <c r="ZI265" s="18"/>
      <c r="ZJ265" s="18"/>
      <c r="ZK265" s="18"/>
      <c r="ZL265" s="18"/>
      <c r="ZM265" s="18"/>
      <c r="ZN265" s="18"/>
      <c r="ZO265" s="18"/>
      <c r="ZP265" s="18"/>
      <c r="ZQ265" s="18"/>
      <c r="ZR265" s="18"/>
      <c r="ZS265" s="18"/>
      <c r="ZT265" s="18"/>
      <c r="ZU265" s="18"/>
      <c r="ZV265" s="18"/>
      <c r="ZW265" s="18"/>
      <c r="ZX265" s="18"/>
      <c r="ZY265" s="18"/>
      <c r="ZZ265" s="18"/>
      <c r="AAA265" s="18"/>
      <c r="AAB265" s="18"/>
      <c r="AAC265" s="18"/>
      <c r="AAD265" s="18"/>
      <c r="AAE265" s="18"/>
      <c r="AAF265" s="18"/>
      <c r="AAG265" s="18"/>
      <c r="AAH265" s="18"/>
      <c r="AAI265" s="18"/>
      <c r="AAJ265" s="18"/>
      <c r="AAK265" s="18"/>
      <c r="AAL265" s="18"/>
      <c r="AAM265" s="18"/>
      <c r="AAN265" s="18"/>
      <c r="AAO265" s="18"/>
      <c r="AAP265" s="18"/>
      <c r="AAQ265" s="18"/>
      <c r="AAR265" s="18"/>
      <c r="AAS265" s="18"/>
      <c r="AAT265" s="18"/>
      <c r="AAU265" s="18"/>
      <c r="AAV265" s="18"/>
      <c r="AAW265" s="18"/>
      <c r="AAX265" s="18"/>
      <c r="AAY265" s="18"/>
      <c r="AAZ265" s="18"/>
      <c r="ABA265" s="18"/>
      <c r="ABB265" s="18"/>
      <c r="ABC265" s="18"/>
      <c r="ABD265" s="18"/>
      <c r="ABE265" s="18"/>
      <c r="ABF265" s="18"/>
      <c r="ABG265" s="18"/>
      <c r="ABH265" s="18"/>
      <c r="ABI265" s="18"/>
      <c r="ABJ265" s="18"/>
      <c r="ABK265" s="18"/>
      <c r="ABL265" s="18"/>
      <c r="ABM265" s="18"/>
      <c r="ABN265" s="18"/>
      <c r="ABO265" s="18"/>
      <c r="ABP265" s="18"/>
      <c r="ABQ265" s="18"/>
      <c r="ABR265" s="18"/>
      <c r="ABS265" s="18"/>
      <c r="ABT265" s="18"/>
      <c r="ABU265" s="18"/>
      <c r="ABV265" s="18"/>
      <c r="ABW265" s="18"/>
      <c r="ABX265" s="18"/>
      <c r="ABY265" s="18"/>
      <c r="ABZ265" s="18"/>
      <c r="ACA265" s="18"/>
      <c r="ACB265" s="18"/>
      <c r="ACC265" s="18"/>
      <c r="ACD265" s="18"/>
      <c r="ACE265" s="18"/>
      <c r="ACF265" s="18"/>
      <c r="ACG265" s="18"/>
      <c r="ACH265" s="18"/>
      <c r="ACI265" s="18"/>
      <c r="ACJ265" s="18"/>
      <c r="ACK265" s="18"/>
      <c r="ACL265" s="18"/>
      <c r="ACM265" s="18"/>
      <c r="ACN265" s="18"/>
      <c r="ACO265" s="18"/>
      <c r="ACP265" s="18"/>
      <c r="ACQ265" s="18"/>
      <c r="ACR265" s="18"/>
      <c r="ACS265" s="18"/>
      <c r="ACT265" s="18"/>
      <c r="ACU265" s="18"/>
      <c r="ACV265" s="18"/>
      <c r="ACW265" s="18"/>
      <c r="ACX265" s="18"/>
      <c r="ACY265" s="18"/>
      <c r="ACZ265" s="18"/>
      <c r="ADA265" s="18"/>
      <c r="ADB265" s="18"/>
      <c r="ADC265" s="18"/>
      <c r="ADD265" s="18"/>
      <c r="ADE265" s="18"/>
      <c r="ADF265" s="18"/>
      <c r="ADG265" s="18"/>
      <c r="ADH265" s="18"/>
      <c r="ADI265" s="18"/>
      <c r="ADJ265" s="18"/>
      <c r="ADK265" s="18"/>
      <c r="ADL265" s="18"/>
      <c r="ADM265" s="18"/>
      <c r="ADN265" s="18"/>
      <c r="ADO265" s="18"/>
      <c r="ADP265" s="18"/>
      <c r="ADQ265" s="18"/>
      <c r="ADR265" s="18"/>
      <c r="ADS265" s="18"/>
      <c r="ADT265" s="18"/>
      <c r="ADU265" s="18"/>
      <c r="ADV265" s="18"/>
      <c r="ADW265" s="18"/>
      <c r="ADX265" s="18"/>
      <c r="ADY265" s="18"/>
      <c r="ADZ265" s="18"/>
      <c r="AEA265" s="18"/>
      <c r="AEB265" s="18"/>
      <c r="AEC265" s="18"/>
      <c r="AED265" s="18"/>
      <c r="AEE265" s="18"/>
      <c r="AEF265" s="18"/>
      <c r="AEG265" s="18"/>
      <c r="AEH265" s="18"/>
      <c r="AEI265" s="18"/>
      <c r="AEJ265" s="18"/>
      <c r="AEK265" s="18"/>
      <c r="AEL265" s="18"/>
      <c r="AEM265" s="18"/>
      <c r="AEN265" s="18"/>
      <c r="AEO265" s="18"/>
      <c r="AEP265" s="18"/>
      <c r="AEQ265" s="18"/>
      <c r="AER265" s="18"/>
      <c r="AES265" s="18"/>
      <c r="AET265" s="18"/>
      <c r="AEU265" s="18"/>
      <c r="AEV265" s="18"/>
      <c r="AEW265" s="18"/>
      <c r="AEX265" s="18"/>
      <c r="AEY265" s="18"/>
      <c r="AEZ265" s="18"/>
      <c r="AFA265" s="18"/>
      <c r="AFB265" s="18"/>
      <c r="AFC265" s="18"/>
      <c r="AFD265" s="18"/>
      <c r="AFE265" s="18"/>
      <c r="AFF265" s="18"/>
      <c r="AFG265" s="18"/>
      <c r="AFH265" s="18"/>
      <c r="AFI265" s="18"/>
      <c r="AFJ265" s="18"/>
      <c r="AFK265" s="18"/>
      <c r="AFL265" s="18"/>
      <c r="AFM265" s="18"/>
      <c r="AFN265" s="18"/>
      <c r="AFO265" s="18"/>
      <c r="AFP265" s="18"/>
      <c r="AFQ265" s="18"/>
      <c r="AFR265" s="18"/>
      <c r="AFS265" s="18"/>
      <c r="AFT265" s="18"/>
      <c r="AFU265" s="18"/>
      <c r="AFV265" s="18"/>
      <c r="AFW265" s="18"/>
      <c r="AFX265" s="18"/>
      <c r="AFY265" s="18"/>
      <c r="AFZ265" s="18"/>
      <c r="AGA265" s="18"/>
      <c r="AGB265" s="18"/>
      <c r="AGC265" s="18"/>
      <c r="AGD265" s="18"/>
      <c r="AGE265" s="18"/>
      <c r="AGF265" s="18"/>
      <c r="AGG265" s="18"/>
      <c r="AGH265" s="18"/>
      <c r="AGI265" s="18"/>
      <c r="AGJ265" s="18"/>
      <c r="AGK265" s="18"/>
      <c r="AGL265" s="18"/>
      <c r="AGM265" s="18"/>
      <c r="AGN265" s="18"/>
      <c r="AGO265" s="18"/>
      <c r="AGP265" s="18"/>
      <c r="AGQ265" s="18"/>
      <c r="AGR265" s="18"/>
      <c r="AGS265" s="18"/>
      <c r="AGT265" s="18"/>
      <c r="AGU265" s="18"/>
      <c r="AGV265" s="18"/>
      <c r="AGW265" s="18"/>
      <c r="AGX265" s="18"/>
      <c r="AGY265" s="18"/>
      <c r="AGZ265" s="18"/>
      <c r="AHA265" s="18"/>
      <c r="AHB265" s="18"/>
      <c r="AHC265" s="18"/>
      <c r="AHD265" s="18"/>
      <c r="AHE265" s="18"/>
      <c r="AHF265" s="18"/>
      <c r="AHG265" s="18"/>
      <c r="AHH265" s="18"/>
      <c r="AHI265" s="18"/>
      <c r="AHJ265" s="18"/>
      <c r="AHK265" s="18"/>
      <c r="AHL265" s="18"/>
      <c r="AHM265" s="18"/>
      <c r="AHN265" s="18"/>
      <c r="AHO265" s="18"/>
      <c r="AHP265" s="18"/>
      <c r="AHQ265" s="18"/>
      <c r="AHR265" s="18"/>
      <c r="AHS265" s="18"/>
      <c r="AHT265" s="18"/>
      <c r="AHU265" s="18"/>
      <c r="AHV265" s="18"/>
      <c r="AHW265" s="18"/>
      <c r="AHX265" s="18"/>
      <c r="AHY265" s="18"/>
      <c r="AHZ265" s="18"/>
      <c r="AIA265" s="18"/>
      <c r="AIB265" s="18"/>
      <c r="AIC265" s="18"/>
      <c r="AID265" s="18"/>
      <c r="AIE265" s="18"/>
      <c r="AIF265" s="18"/>
      <c r="AIG265" s="18"/>
      <c r="AIH265" s="18"/>
      <c r="AII265" s="18"/>
      <c r="AIJ265" s="18"/>
      <c r="AIK265" s="18"/>
      <c r="AIL265" s="18"/>
      <c r="AIM265" s="18"/>
      <c r="AIN265" s="18"/>
      <c r="AIO265" s="18"/>
      <c r="AIP265" s="18"/>
      <c r="AIQ265" s="18"/>
      <c r="AIR265" s="18"/>
      <c r="AIS265" s="18"/>
      <c r="AIT265" s="18"/>
      <c r="AIU265" s="18"/>
      <c r="AIV265" s="18"/>
      <c r="AIW265" s="18"/>
      <c r="AIX265" s="18"/>
      <c r="AIY265" s="18"/>
      <c r="AIZ265" s="18"/>
      <c r="AJA265" s="18"/>
      <c r="AJB265" s="18"/>
      <c r="AJC265" s="18"/>
      <c r="AJD265" s="18"/>
      <c r="AJE265" s="18"/>
      <c r="AJF265" s="18"/>
      <c r="AJG265" s="18"/>
      <c r="AJH265" s="18"/>
      <c r="AJI265" s="18"/>
      <c r="AJJ265" s="18"/>
      <c r="AJK265" s="18"/>
      <c r="AJL265" s="18"/>
      <c r="AJM265" s="18"/>
      <c r="AJN265" s="18"/>
      <c r="AJO265" s="18"/>
      <c r="AJP265" s="18"/>
      <c r="AJQ265" s="18"/>
      <c r="AJR265" s="18"/>
      <c r="AJS265" s="18"/>
      <c r="AJT265" s="18"/>
      <c r="AJU265" s="18"/>
      <c r="AJV265" s="18"/>
      <c r="AJW265" s="18"/>
      <c r="AJX265" s="18"/>
      <c r="AJY265" s="18"/>
      <c r="AJZ265" s="18"/>
      <c r="AKA265" s="18"/>
      <c r="AKB265" s="18"/>
      <c r="AKC265" s="18"/>
      <c r="AKD265" s="18"/>
      <c r="AKE265" s="18"/>
      <c r="AKF265" s="18"/>
      <c r="AKG265" s="18"/>
      <c r="AKH265" s="18"/>
      <c r="AKI265" s="18"/>
      <c r="AKJ265" s="18"/>
      <c r="AKK265" s="18"/>
      <c r="AKL265" s="18"/>
      <c r="AKM265" s="18"/>
      <c r="AKN265" s="18"/>
      <c r="AKO265" s="18"/>
      <c r="AKP265" s="18"/>
      <c r="AKQ265" s="18"/>
      <c r="AKR265" s="18"/>
      <c r="AKS265" s="18"/>
      <c r="AKT265" s="18"/>
      <c r="AKU265" s="18"/>
      <c r="AKV265" s="18"/>
      <c r="AKW265" s="18"/>
      <c r="AKX265" s="18"/>
      <c r="AKY265" s="18"/>
      <c r="AKZ265" s="18"/>
      <c r="ALA265" s="18"/>
      <c r="ALB265" s="18"/>
      <c r="ALC265" s="18"/>
      <c r="ALD265" s="18"/>
      <c r="ALE265" s="18"/>
      <c r="ALF265" s="18"/>
      <c r="ALG265" s="18"/>
      <c r="ALH265" s="18"/>
      <c r="ALI265" s="18"/>
      <c r="ALJ265" s="18"/>
      <c r="ALK265" s="18"/>
      <c r="ALL265" s="18"/>
      <c r="ALM265" s="18"/>
      <c r="ALN265" s="18"/>
      <c r="ALO265" s="18"/>
      <c r="ALP265" s="18"/>
      <c r="ALQ265" s="18"/>
      <c r="ALR265" s="18"/>
      <c r="ALS265" s="18"/>
      <c r="ALT265" s="18"/>
      <c r="ALU265" s="18"/>
      <c r="ALV265" s="18"/>
      <c r="ALW265" s="18"/>
      <c r="ALX265" s="18"/>
      <c r="ALY265" s="18"/>
      <c r="ALZ265" s="18"/>
      <c r="AMA265" s="18"/>
      <c r="AMB265" s="18"/>
      <c r="AMC265" s="18"/>
      <c r="AMD265" s="18"/>
      <c r="AME265" s="18"/>
      <c r="AMF265" s="18"/>
      <c r="AMG265" s="18"/>
      <c r="AMH265" s="18"/>
      <c r="AMI265" s="18"/>
      <c r="AMJ265" s="18"/>
      <c r="AMK265" s="18"/>
      <c r="AML265" s="18"/>
      <c r="AMM265" s="18"/>
      <c r="AMN265" s="18"/>
      <c r="AMO265" s="18"/>
      <c r="AMP265" s="18"/>
      <c r="AMQ265" s="18"/>
      <c r="AMR265" s="18"/>
      <c r="AMS265" s="18"/>
      <c r="AMT265" s="18"/>
      <c r="AMU265" s="18"/>
      <c r="AMV265" s="18"/>
      <c r="AMW265" s="18"/>
      <c r="AMX265" s="18"/>
      <c r="AMY265" s="18"/>
      <c r="AMZ265" s="18"/>
      <c r="ANA265" s="18"/>
      <c r="ANB265" s="18"/>
      <c r="ANC265" s="18"/>
      <c r="AND265" s="18"/>
      <c r="ANE265" s="18"/>
      <c r="ANF265" s="18"/>
      <c r="ANG265" s="18"/>
      <c r="ANH265" s="18"/>
      <c r="ANI265" s="18"/>
      <c r="ANJ265" s="18"/>
      <c r="ANK265" s="18"/>
      <c r="ANL265" s="18"/>
      <c r="ANM265" s="18"/>
      <c r="ANN265" s="18"/>
      <c r="ANO265" s="18"/>
      <c r="ANP265" s="18"/>
      <c r="ANQ265" s="18"/>
      <c r="ANR265" s="18"/>
      <c r="ANS265" s="18"/>
      <c r="ANT265" s="18"/>
      <c r="ANU265" s="18"/>
      <c r="ANV265" s="18"/>
      <c r="ANW265" s="18"/>
      <c r="ANX265" s="18"/>
      <c r="ANY265" s="18"/>
      <c r="ANZ265" s="18"/>
      <c r="AOA265" s="18"/>
      <c r="AOB265" s="18"/>
      <c r="AOC265" s="18"/>
      <c r="AOD265" s="18"/>
      <c r="AOE265" s="18"/>
      <c r="AOF265" s="18"/>
      <c r="AOG265" s="18"/>
      <c r="AOH265" s="18"/>
      <c r="AOI265" s="18"/>
      <c r="AOJ265" s="18"/>
      <c r="AOK265" s="18"/>
      <c r="AOL265" s="18"/>
      <c r="AOM265" s="18"/>
      <c r="AON265" s="18"/>
      <c r="AOO265" s="18"/>
      <c r="AOP265" s="18"/>
      <c r="AOQ265" s="18"/>
      <c r="AOR265" s="18"/>
      <c r="AOS265" s="18"/>
      <c r="AOT265" s="18"/>
      <c r="AOU265" s="18"/>
      <c r="AOV265" s="18"/>
      <c r="AOW265" s="18"/>
      <c r="AOX265" s="18"/>
      <c r="AOY265" s="18"/>
      <c r="AOZ265" s="18"/>
      <c r="APA265" s="18"/>
      <c r="APB265" s="18"/>
      <c r="APC265" s="18"/>
      <c r="APD265" s="18"/>
      <c r="APE265" s="18"/>
      <c r="APF265" s="18"/>
      <c r="APG265" s="18"/>
      <c r="APH265" s="18"/>
      <c r="API265" s="18"/>
      <c r="APJ265" s="18"/>
      <c r="APK265" s="18"/>
      <c r="APL265" s="18"/>
      <c r="APM265" s="18"/>
      <c r="APN265" s="18"/>
      <c r="APO265" s="18"/>
      <c r="APP265" s="18"/>
      <c r="APQ265" s="18"/>
      <c r="APR265" s="18"/>
      <c r="APS265" s="18"/>
      <c r="APT265" s="18"/>
      <c r="APU265" s="18"/>
      <c r="APV265" s="18"/>
      <c r="APW265" s="18"/>
      <c r="APX265" s="18"/>
      <c r="APY265" s="18"/>
      <c r="APZ265" s="18"/>
      <c r="AQA265" s="18"/>
      <c r="AQB265" s="18"/>
      <c r="AQC265" s="18"/>
      <c r="AQD265" s="18"/>
      <c r="AQE265" s="18"/>
      <c r="AQF265" s="18"/>
      <c r="AQG265" s="18"/>
      <c r="AQH265" s="18"/>
      <c r="AQI265" s="18"/>
      <c r="AQJ265" s="18"/>
      <c r="AQK265" s="18"/>
      <c r="AQL265" s="18"/>
      <c r="AQM265" s="18"/>
      <c r="AQN265" s="18"/>
      <c r="AQO265" s="18"/>
      <c r="AQP265" s="18"/>
      <c r="AQQ265" s="18"/>
      <c r="AQR265" s="18"/>
      <c r="AQS265" s="18"/>
      <c r="AQT265" s="18"/>
      <c r="AQU265" s="18"/>
      <c r="AQV265" s="18"/>
      <c r="AQW265" s="18"/>
      <c r="AQX265" s="18"/>
      <c r="AQY265" s="18"/>
      <c r="AQZ265" s="18"/>
      <c r="ARA265" s="18"/>
      <c r="ARB265" s="18"/>
      <c r="ARC265" s="18"/>
      <c r="ARD265" s="18"/>
      <c r="ARE265" s="18"/>
      <c r="ARF265" s="18"/>
      <c r="ARG265" s="18"/>
      <c r="ARH265" s="18"/>
      <c r="ARI265" s="18"/>
      <c r="ARJ265" s="18"/>
      <c r="ARK265" s="18"/>
      <c r="ARL265" s="18"/>
      <c r="ARM265" s="18"/>
      <c r="ARN265" s="18"/>
      <c r="ARO265" s="18"/>
      <c r="ARP265" s="18"/>
      <c r="ARQ265" s="18"/>
      <c r="ARR265" s="18"/>
      <c r="ARS265" s="18"/>
      <c r="ART265" s="18"/>
      <c r="ARU265" s="18"/>
      <c r="ARV265" s="18"/>
      <c r="ARW265" s="18"/>
      <c r="ARX265" s="18"/>
      <c r="ARY265" s="18"/>
      <c r="ARZ265" s="18"/>
      <c r="ASA265" s="18"/>
      <c r="ASB265" s="18"/>
      <c r="ASC265" s="18"/>
      <c r="ASD265" s="18"/>
      <c r="ASE265" s="18"/>
      <c r="ASF265" s="18"/>
      <c r="ASG265" s="18"/>
      <c r="ASH265" s="18"/>
      <c r="ASI265" s="18"/>
      <c r="ASJ265" s="18"/>
      <c r="ASK265" s="18"/>
      <c r="ASL265" s="18"/>
      <c r="ASM265" s="18"/>
      <c r="ASN265" s="18"/>
      <c r="ASO265" s="18"/>
      <c r="ASP265" s="18"/>
      <c r="ASQ265" s="18"/>
      <c r="ASR265" s="18"/>
      <c r="ASS265" s="18"/>
      <c r="AST265" s="18"/>
      <c r="ASU265" s="18"/>
      <c r="ASV265" s="18"/>
      <c r="ASW265" s="18"/>
      <c r="ASX265" s="18"/>
      <c r="ASY265" s="18"/>
      <c r="ASZ265" s="18"/>
      <c r="ATA265" s="18"/>
      <c r="ATB265" s="18"/>
      <c r="ATC265" s="18"/>
      <c r="ATD265" s="18"/>
      <c r="ATE265" s="18"/>
      <c r="ATF265" s="18"/>
      <c r="ATG265" s="18"/>
      <c r="ATH265" s="18"/>
      <c r="ATI265" s="18"/>
      <c r="ATJ265" s="18"/>
      <c r="ATK265" s="18"/>
      <c r="ATL265" s="18"/>
      <c r="ATM265" s="18"/>
      <c r="ATN265" s="18"/>
      <c r="ATO265" s="18"/>
      <c r="ATP265" s="18"/>
      <c r="ATQ265" s="18"/>
      <c r="ATR265" s="18"/>
      <c r="ATS265" s="18"/>
      <c r="ATT265" s="18"/>
      <c r="ATU265" s="18"/>
      <c r="ATV265" s="18"/>
      <c r="ATW265" s="18"/>
      <c r="ATX265" s="18"/>
      <c r="ATY265" s="18"/>
      <c r="ATZ265" s="18"/>
      <c r="AUA265" s="18"/>
      <c r="AUB265" s="18"/>
      <c r="AUC265" s="18"/>
      <c r="AUD265" s="18"/>
      <c r="AUE265" s="18"/>
      <c r="AUF265" s="18"/>
      <c r="AUG265" s="18"/>
      <c r="AUH265" s="18"/>
      <c r="AUI265" s="18"/>
      <c r="AUJ265" s="18"/>
      <c r="AUK265" s="18"/>
      <c r="AUL265" s="18"/>
      <c r="AUM265" s="18"/>
      <c r="AUN265" s="18"/>
      <c r="AUO265" s="18"/>
      <c r="AUP265" s="18"/>
      <c r="AUQ265" s="18"/>
      <c r="AUR265" s="18"/>
      <c r="AUS265" s="18"/>
      <c r="AUT265" s="18"/>
      <c r="AUU265" s="18"/>
      <c r="AUV265" s="18"/>
      <c r="AUW265" s="18"/>
      <c r="AUX265" s="18"/>
      <c r="AUY265" s="18"/>
      <c r="AUZ265" s="18"/>
      <c r="AVA265" s="18"/>
      <c r="AVB265" s="18"/>
      <c r="AVC265" s="18"/>
      <c r="AVD265" s="18"/>
      <c r="AVE265" s="18"/>
      <c r="AVF265" s="18"/>
      <c r="AVG265" s="18"/>
      <c r="AVH265" s="18"/>
      <c r="AVI265" s="18"/>
      <c r="AVJ265" s="18"/>
      <c r="AVK265" s="18"/>
      <c r="AVL265" s="18"/>
      <c r="AVM265" s="18"/>
      <c r="AVN265" s="18"/>
      <c r="AVO265" s="18"/>
      <c r="AVP265" s="18"/>
      <c r="AVQ265" s="18"/>
      <c r="AVR265" s="18"/>
      <c r="AVS265" s="18"/>
      <c r="AVT265" s="18"/>
      <c r="AVU265" s="18"/>
      <c r="AVV265" s="18"/>
      <c r="AVW265" s="18"/>
      <c r="AVX265" s="18"/>
      <c r="AVY265" s="18"/>
      <c r="AVZ265" s="18"/>
      <c r="AWA265" s="18"/>
      <c r="AWB265" s="18"/>
      <c r="AWC265" s="18"/>
      <c r="AWD265" s="18"/>
      <c r="AWE265" s="18"/>
      <c r="AWF265" s="18"/>
      <c r="AWG265" s="18"/>
      <c r="AWH265" s="18"/>
      <c r="AWI265" s="18"/>
      <c r="AWJ265" s="18"/>
      <c r="AWK265" s="18"/>
      <c r="AWL265" s="18"/>
      <c r="AWM265" s="18"/>
      <c r="AWN265" s="18"/>
      <c r="AWO265" s="18"/>
      <c r="AWP265" s="18"/>
      <c r="AWQ265" s="18"/>
      <c r="AWR265" s="18"/>
      <c r="AWS265" s="18"/>
      <c r="AWT265" s="18"/>
      <c r="AWU265" s="18"/>
      <c r="AWV265" s="18"/>
      <c r="AWW265" s="18"/>
      <c r="AWX265" s="18"/>
      <c r="AWY265" s="18"/>
      <c r="AWZ265" s="18"/>
      <c r="AXA265" s="18"/>
      <c r="AXB265" s="18"/>
      <c r="AXC265" s="18"/>
      <c r="AXD265" s="18"/>
      <c r="AXE265" s="18"/>
      <c r="AXF265" s="18"/>
      <c r="AXG265" s="18"/>
      <c r="AXH265" s="18"/>
      <c r="AXI265" s="18"/>
      <c r="AXJ265" s="18"/>
      <c r="AXK265" s="18"/>
      <c r="AXL265" s="18"/>
      <c r="AXM265" s="18"/>
      <c r="AXN265" s="18"/>
      <c r="AXO265" s="18"/>
      <c r="AXP265" s="18"/>
      <c r="AXQ265" s="18"/>
      <c r="AXR265" s="18"/>
      <c r="AXS265" s="18"/>
      <c r="AXT265" s="18"/>
      <c r="AXU265" s="18"/>
      <c r="AXV265" s="18"/>
      <c r="AXW265" s="18"/>
      <c r="AXX265" s="18"/>
      <c r="AXY265" s="18"/>
      <c r="AXZ265" s="18"/>
      <c r="AYA265" s="18"/>
      <c r="AYB265" s="18"/>
      <c r="AYC265" s="18"/>
      <c r="AYD265" s="18"/>
      <c r="AYE265" s="18"/>
      <c r="AYF265" s="18"/>
      <c r="AYG265" s="18"/>
      <c r="AYH265" s="18"/>
      <c r="AYI265" s="18"/>
      <c r="AYJ265" s="18"/>
      <c r="AYK265" s="18"/>
      <c r="AYL265" s="18"/>
      <c r="AYM265" s="18"/>
      <c r="AYN265" s="18"/>
      <c r="AYO265" s="18"/>
      <c r="AYP265" s="18"/>
      <c r="AYQ265" s="18"/>
      <c r="AYR265" s="18"/>
      <c r="AYS265" s="18"/>
      <c r="AYT265" s="18"/>
      <c r="AYU265" s="18"/>
      <c r="AYV265" s="18"/>
      <c r="AYW265" s="18"/>
      <c r="AYX265" s="18"/>
      <c r="AYY265" s="18"/>
      <c r="AYZ265" s="18"/>
      <c r="AZA265" s="18"/>
      <c r="AZB265" s="18"/>
      <c r="AZC265" s="18"/>
      <c r="AZD265" s="18"/>
      <c r="AZE265" s="18"/>
      <c r="AZF265" s="18"/>
      <c r="AZG265" s="18"/>
      <c r="AZH265" s="18"/>
      <c r="AZI265" s="18"/>
      <c r="AZJ265" s="18"/>
      <c r="AZK265" s="18"/>
      <c r="AZL265" s="18"/>
      <c r="AZM265" s="18"/>
      <c r="AZN265" s="18"/>
      <c r="AZO265" s="18"/>
      <c r="AZP265" s="18"/>
      <c r="AZQ265" s="18"/>
      <c r="AZR265" s="18"/>
      <c r="AZS265" s="18"/>
      <c r="AZT265" s="18"/>
      <c r="AZU265" s="18"/>
      <c r="AZV265" s="18"/>
      <c r="AZW265" s="18"/>
      <c r="AZX265" s="18"/>
      <c r="AZY265" s="18"/>
      <c r="AZZ265" s="18"/>
      <c r="BAA265" s="18"/>
      <c r="BAB265" s="18"/>
      <c r="BAC265" s="18"/>
      <c r="BAD265" s="18"/>
      <c r="BAE265" s="18"/>
      <c r="BAF265" s="18"/>
      <c r="BAG265" s="18"/>
      <c r="BAH265" s="18"/>
      <c r="BAI265" s="18"/>
      <c r="BAJ265" s="18"/>
      <c r="BAK265" s="18"/>
      <c r="BAL265" s="18"/>
      <c r="BAM265" s="18"/>
      <c r="BAN265" s="18"/>
      <c r="BAO265" s="18"/>
      <c r="BAP265" s="18"/>
      <c r="BAQ265" s="18"/>
      <c r="BAR265" s="18"/>
      <c r="BAS265" s="18"/>
      <c r="BAT265" s="18"/>
      <c r="BAU265" s="18"/>
      <c r="BAV265" s="18"/>
      <c r="BAW265" s="18"/>
      <c r="BAX265" s="18"/>
      <c r="BAY265" s="18"/>
      <c r="BAZ265" s="18"/>
      <c r="BBA265" s="18"/>
      <c r="BBB265" s="18"/>
      <c r="BBC265" s="18"/>
      <c r="BBD265" s="18"/>
      <c r="BBE265" s="18"/>
      <c r="BBF265" s="18"/>
      <c r="BBG265" s="18"/>
      <c r="BBH265" s="18"/>
      <c r="BBI265" s="18"/>
      <c r="BBJ265" s="18"/>
      <c r="BBK265" s="18"/>
      <c r="BBL265" s="18"/>
      <c r="BBM265" s="18"/>
      <c r="BBN265" s="18"/>
      <c r="BBO265" s="18"/>
      <c r="BBP265" s="18"/>
      <c r="BBQ265" s="18"/>
      <c r="BBR265" s="18"/>
      <c r="BBS265" s="18"/>
      <c r="BBT265" s="18"/>
      <c r="BBU265" s="18"/>
      <c r="BBV265" s="18"/>
      <c r="BBW265" s="18"/>
      <c r="BBX265" s="18"/>
      <c r="BBY265" s="18"/>
      <c r="BBZ265" s="18"/>
      <c r="BCA265" s="18"/>
      <c r="BCB265" s="18"/>
      <c r="BCC265" s="18"/>
      <c r="BCD265" s="18"/>
      <c r="BCE265" s="18"/>
      <c r="BCF265" s="18"/>
      <c r="BCG265" s="18"/>
      <c r="BCH265" s="18"/>
      <c r="BCI265" s="18"/>
      <c r="BCJ265" s="18"/>
      <c r="BCK265" s="18"/>
      <c r="BCL265" s="18"/>
      <c r="BCM265" s="18"/>
      <c r="BCN265" s="18"/>
      <c r="BCO265" s="18"/>
      <c r="BCP265" s="18"/>
      <c r="BCQ265" s="18"/>
      <c r="BCR265" s="18"/>
      <c r="BCS265" s="18"/>
      <c r="BCT265" s="18"/>
      <c r="BCU265" s="18"/>
      <c r="BCV265" s="18"/>
      <c r="BCW265" s="18"/>
      <c r="BCX265" s="18"/>
      <c r="BCY265" s="18"/>
      <c r="BCZ265" s="18"/>
      <c r="BDA265" s="18"/>
      <c r="BDB265" s="18"/>
      <c r="BDC265" s="18"/>
      <c r="BDD265" s="18"/>
      <c r="BDE265" s="18"/>
      <c r="BDF265" s="18"/>
      <c r="BDG265" s="18"/>
      <c r="BDH265" s="18"/>
      <c r="BDI265" s="18"/>
      <c r="BDJ265" s="18"/>
      <c r="BDK265" s="18"/>
      <c r="BDL265" s="18"/>
      <c r="BDM265" s="18"/>
      <c r="BDN265" s="18"/>
      <c r="BDO265" s="18"/>
      <c r="BDP265" s="18"/>
      <c r="BDQ265" s="18"/>
      <c r="BDR265" s="18"/>
      <c r="BDS265" s="18"/>
      <c r="BDT265" s="18"/>
      <c r="BDU265" s="18"/>
      <c r="BDV265" s="18"/>
      <c r="BDW265" s="18"/>
      <c r="BDX265" s="18"/>
      <c r="BDY265" s="18"/>
      <c r="BDZ265" s="18"/>
      <c r="BEA265" s="18"/>
      <c r="BEB265" s="18"/>
      <c r="BEC265" s="18"/>
      <c r="BED265" s="18"/>
      <c r="BEE265" s="18"/>
      <c r="BEF265" s="18"/>
      <c r="BEG265" s="18"/>
      <c r="BEH265" s="18"/>
      <c r="BEI265" s="18"/>
      <c r="BEJ265" s="18"/>
      <c r="BEK265" s="18"/>
      <c r="BEL265" s="18"/>
      <c r="BEM265" s="18"/>
      <c r="BEN265" s="18"/>
      <c r="BEO265" s="18"/>
      <c r="BEP265" s="18"/>
      <c r="BEQ265" s="18"/>
      <c r="BER265" s="18"/>
      <c r="BES265" s="18"/>
      <c r="BET265" s="18"/>
      <c r="BEU265" s="18"/>
      <c r="BEV265" s="18"/>
      <c r="BEW265" s="18"/>
      <c r="BEX265" s="18"/>
      <c r="BEY265" s="18"/>
      <c r="BEZ265" s="18"/>
      <c r="BFA265" s="18"/>
      <c r="BFB265" s="18"/>
      <c r="BFC265" s="18"/>
      <c r="BFD265" s="18"/>
      <c r="BFE265" s="18"/>
      <c r="BFF265" s="18"/>
      <c r="BFG265" s="18"/>
      <c r="BFH265" s="18"/>
      <c r="BFI265" s="18"/>
      <c r="BFJ265" s="18"/>
      <c r="BFK265" s="18"/>
      <c r="BFL265" s="18"/>
      <c r="BFM265" s="18"/>
      <c r="BFN265" s="18"/>
      <c r="BFO265" s="18"/>
      <c r="BFP265" s="18"/>
      <c r="BFQ265" s="18"/>
      <c r="BFR265" s="18"/>
      <c r="BFS265" s="18"/>
      <c r="BFT265" s="18"/>
      <c r="BFU265" s="18"/>
      <c r="BFV265" s="18"/>
      <c r="BFW265" s="18"/>
      <c r="BFX265" s="18"/>
      <c r="BFY265" s="18"/>
      <c r="BFZ265" s="18"/>
      <c r="BGA265" s="18"/>
      <c r="BGB265" s="18"/>
      <c r="BGC265" s="18"/>
      <c r="BGD265" s="18"/>
      <c r="BGE265" s="18"/>
      <c r="BGF265" s="18"/>
      <c r="BGG265" s="18"/>
      <c r="BGH265" s="18"/>
      <c r="BGI265" s="18"/>
      <c r="BGJ265" s="18"/>
      <c r="BGK265" s="18"/>
      <c r="BGL265" s="18"/>
      <c r="BGM265" s="18"/>
      <c r="BGN265" s="18"/>
      <c r="BGO265" s="18"/>
      <c r="BGP265" s="18"/>
      <c r="BGQ265" s="18"/>
      <c r="BGR265" s="18"/>
      <c r="BGS265" s="18"/>
      <c r="BGT265" s="18"/>
      <c r="BGU265" s="18"/>
      <c r="BGV265" s="18"/>
      <c r="BGW265" s="18"/>
      <c r="BGX265" s="18"/>
      <c r="BGY265" s="18"/>
      <c r="BGZ265" s="18"/>
      <c r="BHA265" s="18"/>
      <c r="BHB265" s="18"/>
      <c r="BHC265" s="18"/>
      <c r="BHD265" s="18"/>
      <c r="BHE265" s="18"/>
      <c r="BHF265" s="18"/>
      <c r="BHG265" s="18"/>
      <c r="BHH265" s="18"/>
      <c r="BHI265" s="18"/>
      <c r="BHJ265" s="18"/>
      <c r="BHK265" s="18"/>
      <c r="BHL265" s="18"/>
      <c r="BHM265" s="18"/>
      <c r="BHN265" s="18"/>
      <c r="BHO265" s="18"/>
      <c r="BHP265" s="18"/>
      <c r="BHQ265" s="18"/>
      <c r="BHR265" s="18"/>
      <c r="BHS265" s="18"/>
      <c r="BHT265" s="18"/>
      <c r="BHU265" s="18"/>
      <c r="BHV265" s="18"/>
      <c r="BHW265" s="18"/>
      <c r="BHX265" s="18"/>
      <c r="BHY265" s="18"/>
      <c r="BHZ265" s="18"/>
      <c r="BIA265" s="18"/>
      <c r="BIB265" s="18"/>
      <c r="BIC265" s="18"/>
      <c r="BID265" s="18"/>
      <c r="BIE265" s="18"/>
      <c r="BIF265" s="18"/>
      <c r="BIG265" s="18"/>
      <c r="BIH265" s="18"/>
      <c r="BII265" s="18"/>
      <c r="BIJ265" s="18"/>
      <c r="BIK265" s="18"/>
      <c r="BIL265" s="18"/>
      <c r="BIM265" s="18"/>
      <c r="BIN265" s="18"/>
      <c r="BIO265" s="18"/>
      <c r="BIP265" s="18"/>
      <c r="BIQ265" s="18"/>
      <c r="BIR265" s="18"/>
      <c r="BIS265" s="18"/>
      <c r="BIT265" s="18"/>
      <c r="BIU265" s="18"/>
      <c r="BIV265" s="18"/>
      <c r="BIW265" s="18"/>
      <c r="BIX265" s="18"/>
      <c r="BIY265" s="18"/>
      <c r="BIZ265" s="18"/>
      <c r="BJA265" s="18"/>
      <c r="BJB265" s="18"/>
      <c r="BJC265" s="18"/>
      <c r="BJD265" s="18"/>
      <c r="BJE265" s="18"/>
      <c r="BJF265" s="18"/>
      <c r="BJG265" s="18"/>
      <c r="BJH265" s="18"/>
      <c r="BJI265" s="18"/>
      <c r="BJJ265" s="18"/>
      <c r="BJK265" s="18"/>
      <c r="BJL265" s="18"/>
      <c r="BJM265" s="18"/>
      <c r="BJN265" s="18"/>
      <c r="BJO265" s="18"/>
      <c r="BJP265" s="18"/>
      <c r="BJQ265" s="18"/>
      <c r="BJR265" s="18"/>
      <c r="BJS265" s="18"/>
      <c r="BJT265" s="18"/>
      <c r="BJU265" s="18"/>
      <c r="BJV265" s="18"/>
      <c r="BJW265" s="18"/>
      <c r="BJX265" s="18"/>
      <c r="BJY265" s="18"/>
      <c r="BJZ265" s="18"/>
      <c r="BKA265" s="18"/>
      <c r="BKB265" s="18"/>
      <c r="BKC265" s="18"/>
      <c r="BKD265" s="18"/>
      <c r="BKE265" s="18"/>
      <c r="BKF265" s="18"/>
      <c r="BKG265" s="18"/>
      <c r="BKH265" s="18"/>
      <c r="BKI265" s="18"/>
      <c r="BKJ265" s="18"/>
      <c r="BKK265" s="18"/>
      <c r="BKL265" s="18"/>
      <c r="BKM265" s="18"/>
      <c r="BKN265" s="18"/>
      <c r="BKO265" s="18"/>
      <c r="BKP265" s="18"/>
      <c r="BKQ265" s="18"/>
      <c r="BKR265" s="18"/>
      <c r="BKS265" s="18"/>
      <c r="BKT265" s="18"/>
      <c r="BKU265" s="18"/>
      <c r="BKV265" s="18"/>
      <c r="BKW265" s="18"/>
      <c r="BKX265" s="18"/>
      <c r="BKY265" s="18"/>
      <c r="BKZ265" s="18"/>
      <c r="BLA265" s="18"/>
      <c r="BLB265" s="18"/>
      <c r="BLC265" s="18"/>
      <c r="BLD265" s="18"/>
      <c r="BLE265" s="18"/>
      <c r="BLF265" s="18"/>
      <c r="BLG265" s="18"/>
      <c r="BLH265" s="18"/>
      <c r="BLI265" s="18"/>
      <c r="BLJ265" s="18"/>
      <c r="BLK265" s="18"/>
      <c r="BLL265" s="18"/>
      <c r="BLM265" s="18"/>
      <c r="BLN265" s="18"/>
      <c r="BLO265" s="18"/>
      <c r="BLP265" s="18"/>
      <c r="BLQ265" s="18"/>
      <c r="BLR265" s="18"/>
      <c r="BLS265" s="18"/>
      <c r="BLT265" s="18"/>
      <c r="BLU265" s="18"/>
      <c r="BLV265" s="18"/>
      <c r="BLW265" s="18"/>
      <c r="BLX265" s="18"/>
      <c r="BLY265" s="18"/>
      <c r="BLZ265" s="18"/>
      <c r="BMA265" s="18"/>
      <c r="BMB265" s="18"/>
      <c r="BMC265" s="18"/>
      <c r="BMD265" s="18"/>
      <c r="BME265" s="18"/>
      <c r="BMF265" s="18"/>
      <c r="BMG265" s="18"/>
      <c r="BMH265" s="18"/>
      <c r="BMI265" s="18"/>
      <c r="BMJ265" s="18"/>
      <c r="BMK265" s="18"/>
      <c r="BML265" s="18"/>
      <c r="BMM265" s="18"/>
      <c r="BMN265" s="18"/>
      <c r="BMO265" s="18"/>
      <c r="BMP265" s="18"/>
      <c r="BMQ265" s="18"/>
      <c r="BMR265" s="18"/>
      <c r="BMS265" s="18"/>
      <c r="BMT265" s="18"/>
      <c r="BMU265" s="18"/>
      <c r="BMV265" s="18"/>
      <c r="BMW265" s="18"/>
      <c r="BMX265" s="18"/>
      <c r="BMY265" s="18"/>
      <c r="BMZ265" s="18"/>
      <c r="BNA265" s="18"/>
      <c r="BNB265" s="18"/>
      <c r="BNC265" s="18"/>
      <c r="BND265" s="18"/>
      <c r="BNE265" s="18"/>
      <c r="BNF265" s="18"/>
      <c r="BNG265" s="18"/>
      <c r="BNH265" s="18"/>
      <c r="BNI265" s="18"/>
      <c r="BNJ265" s="18"/>
      <c r="BNK265" s="18"/>
      <c r="BNL265" s="18"/>
      <c r="BNM265" s="18"/>
      <c r="BNN265" s="18"/>
      <c r="BNO265" s="18"/>
      <c r="BNP265" s="18"/>
      <c r="BNQ265" s="18"/>
      <c r="BNR265" s="18"/>
      <c r="BNS265" s="18"/>
      <c r="BNT265" s="18"/>
      <c r="BNU265" s="18"/>
      <c r="BNV265" s="18"/>
      <c r="BNW265" s="18"/>
      <c r="BNX265" s="18"/>
      <c r="BNY265" s="18"/>
      <c r="BNZ265" s="18"/>
      <c r="BOA265" s="18"/>
      <c r="BOB265" s="18"/>
      <c r="BOC265" s="18"/>
      <c r="BOD265" s="18"/>
      <c r="BOE265" s="18"/>
      <c r="BOF265" s="18"/>
      <c r="BOG265" s="18"/>
      <c r="BOH265" s="18"/>
      <c r="BOI265" s="18"/>
      <c r="BOJ265" s="18"/>
      <c r="BOK265" s="18"/>
      <c r="BOL265" s="18"/>
      <c r="BOM265" s="18"/>
      <c r="BON265" s="18"/>
      <c r="BOO265" s="18"/>
      <c r="BOP265" s="18"/>
      <c r="BOQ265" s="18"/>
      <c r="BOR265" s="18"/>
      <c r="BOS265" s="18"/>
      <c r="BOT265" s="18"/>
      <c r="BOU265" s="18"/>
      <c r="BOV265" s="18"/>
      <c r="BOW265" s="18"/>
      <c r="BOX265" s="18"/>
      <c r="BOY265" s="18"/>
      <c r="BOZ265" s="18"/>
      <c r="BPA265" s="18"/>
      <c r="BPB265" s="18"/>
      <c r="BPC265" s="18"/>
      <c r="BPD265" s="18"/>
      <c r="BPE265" s="18"/>
      <c r="BPF265" s="18"/>
      <c r="BPG265" s="18"/>
      <c r="BPH265" s="18"/>
      <c r="BPI265" s="18"/>
      <c r="BPJ265" s="18"/>
      <c r="BPK265" s="18"/>
      <c r="BPL265" s="18"/>
      <c r="BPM265" s="18"/>
      <c r="BPN265" s="18"/>
      <c r="BPO265" s="18"/>
      <c r="BPP265" s="18"/>
      <c r="BPQ265" s="18"/>
      <c r="BPR265" s="18"/>
      <c r="BPS265" s="18"/>
      <c r="BPT265" s="18"/>
      <c r="BPU265" s="18"/>
      <c r="BPV265" s="18"/>
      <c r="BPW265" s="18"/>
      <c r="BPX265" s="18"/>
      <c r="BPY265" s="18"/>
      <c r="BPZ265" s="18"/>
      <c r="BQA265" s="18"/>
      <c r="BQB265" s="18"/>
      <c r="BQC265" s="18"/>
      <c r="BQD265" s="18"/>
      <c r="BQE265" s="18"/>
      <c r="BQF265" s="18"/>
      <c r="BQG265" s="18"/>
      <c r="BQH265" s="18"/>
      <c r="BQI265" s="18"/>
      <c r="BQJ265" s="18"/>
      <c r="BQK265" s="18"/>
      <c r="BQL265" s="18"/>
      <c r="BQM265" s="18"/>
      <c r="BQN265" s="18"/>
      <c r="BQO265" s="18"/>
      <c r="BQP265" s="18"/>
      <c r="BQQ265" s="18"/>
      <c r="BQR265" s="18"/>
      <c r="BQS265" s="18"/>
      <c r="BQT265" s="18"/>
      <c r="BQU265" s="18"/>
      <c r="BQV265" s="18"/>
      <c r="BQW265" s="18"/>
      <c r="BQX265" s="18"/>
      <c r="BQY265" s="18"/>
      <c r="BQZ265" s="18"/>
      <c r="BRA265" s="18"/>
      <c r="BRB265" s="18"/>
      <c r="BRC265" s="18"/>
      <c r="BRD265" s="18"/>
      <c r="BRE265" s="18"/>
      <c r="BRF265" s="18"/>
      <c r="BRG265" s="18"/>
      <c r="BRH265" s="18"/>
      <c r="BRI265" s="18"/>
      <c r="BRJ265" s="18"/>
      <c r="BRK265" s="18"/>
      <c r="BRL265" s="18"/>
      <c r="BRM265" s="18"/>
      <c r="BRN265" s="18"/>
      <c r="BRO265" s="18"/>
      <c r="BRP265" s="18"/>
      <c r="BRQ265" s="18"/>
      <c r="BRR265" s="18"/>
      <c r="BRS265" s="18"/>
      <c r="BRT265" s="18"/>
      <c r="BRU265" s="18"/>
      <c r="BRV265" s="18"/>
      <c r="BRW265" s="18"/>
      <c r="BRX265" s="18"/>
      <c r="BRY265" s="18"/>
      <c r="BRZ265" s="18"/>
      <c r="BSA265" s="18"/>
      <c r="BSB265" s="18"/>
      <c r="BSC265" s="18"/>
      <c r="BSD265" s="18"/>
      <c r="BSE265" s="18"/>
      <c r="BSF265" s="18"/>
      <c r="BSG265" s="18"/>
      <c r="BSH265" s="18"/>
      <c r="BSI265" s="18"/>
      <c r="BSJ265" s="18"/>
      <c r="BSK265" s="18"/>
      <c r="BSL265" s="18"/>
      <c r="BSM265" s="18"/>
      <c r="BSN265" s="18"/>
      <c r="BSO265" s="18"/>
      <c r="BSP265" s="18"/>
      <c r="BSQ265" s="18"/>
      <c r="BSR265" s="18"/>
      <c r="BSS265" s="18"/>
      <c r="BST265" s="18"/>
      <c r="BSU265" s="18"/>
      <c r="BSV265" s="18"/>
      <c r="BSW265" s="18"/>
      <c r="BSX265" s="18"/>
      <c r="BSY265" s="18"/>
      <c r="BSZ265" s="18"/>
      <c r="BTA265" s="18"/>
      <c r="BTB265" s="18"/>
      <c r="BTC265" s="18"/>
      <c r="BTD265" s="18"/>
      <c r="BTE265" s="18"/>
      <c r="BTF265" s="18"/>
      <c r="BTG265" s="18"/>
      <c r="BTH265" s="18"/>
      <c r="BTI265" s="18"/>
    </row>
    <row r="266" spans="1:1881" s="789" customFormat="1" ht="53.25" customHeight="1" x14ac:dyDescent="0.3">
      <c r="A266" s="108">
        <v>599</v>
      </c>
      <c r="B266" s="691" t="s">
        <v>59</v>
      </c>
      <c r="C266" s="691" t="s">
        <v>529</v>
      </c>
      <c r="D266" s="29" t="s">
        <v>679</v>
      </c>
      <c r="E266" s="689" t="e">
        <f>HLOOKUP($D$2,'2020 Data(H)'!$C$1:$CR$397,259,FALSE)</f>
        <v>#N/A</v>
      </c>
      <c r="F266" s="299">
        <v>0</v>
      </c>
      <c r="G266" s="793" t="str">
        <f>IF(ISBLANK(F266),"Please do not leave blank","")</f>
        <v/>
      </c>
      <c r="H266" s="750">
        <f>IF(F266&lt;0,"Error: Enter as positive.",)</f>
        <v>0</v>
      </c>
      <c r="I266" s="79"/>
      <c r="J266" s="787"/>
      <c r="K266" s="18"/>
      <c r="L266" s="18"/>
      <c r="M266" s="18"/>
      <c r="N266" s="301"/>
      <c r="O266" s="18"/>
      <c r="P266" s="18"/>
      <c r="Q266" s="18"/>
      <c r="R266" s="18"/>
      <c r="S266" s="18"/>
      <c r="T266" s="18"/>
      <c r="U266" s="18"/>
      <c r="V266" s="18"/>
      <c r="W266" s="18"/>
      <c r="X266" s="18"/>
      <c r="Y266" s="18"/>
      <c r="Z266" s="108"/>
      <c r="AA266" s="108"/>
      <c r="AB266" s="108"/>
      <c r="AC266" s="108"/>
      <c r="AD266" s="108"/>
      <c r="AE266" s="108"/>
      <c r="AF266" s="108"/>
      <c r="AG266" s="108"/>
      <c r="AH266" s="108"/>
      <c r="AI266" s="108"/>
      <c r="AJ266" s="108"/>
      <c r="AK266" s="108"/>
      <c r="AL266" s="108"/>
      <c r="AM266" s="108"/>
      <c r="AN266" s="108"/>
      <c r="AO266" s="108"/>
      <c r="AP266" s="108"/>
      <c r="AQ266" s="108"/>
      <c r="AR266" s="10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c r="WZ266" s="18"/>
      <c r="XA266" s="18"/>
      <c r="XB266" s="18"/>
      <c r="XC266" s="18"/>
      <c r="XD266" s="18"/>
      <c r="XE266" s="18"/>
      <c r="XF266" s="18"/>
      <c r="XG266" s="18"/>
      <c r="XH266" s="18"/>
      <c r="XI266" s="18"/>
      <c r="XJ266" s="18"/>
      <c r="XK266" s="18"/>
      <c r="XL266" s="18"/>
      <c r="XM266" s="18"/>
      <c r="XN266" s="18"/>
      <c r="XO266" s="18"/>
      <c r="XP266" s="18"/>
      <c r="XQ266" s="18"/>
      <c r="XR266" s="18"/>
      <c r="XS266" s="18"/>
      <c r="XT266" s="18"/>
      <c r="XU266" s="18"/>
      <c r="XV266" s="18"/>
      <c r="XW266" s="18"/>
      <c r="XX266" s="18"/>
      <c r="XY266" s="18"/>
      <c r="XZ266" s="18"/>
      <c r="YA266" s="18"/>
      <c r="YB266" s="18"/>
      <c r="YC266" s="18"/>
      <c r="YD266" s="18"/>
      <c r="YE266" s="18"/>
      <c r="YF266" s="18"/>
      <c r="YG266" s="18"/>
      <c r="YH266" s="18"/>
      <c r="YI266" s="18"/>
      <c r="YJ266" s="18"/>
      <c r="YK266" s="18"/>
      <c r="YL266" s="18"/>
      <c r="YM266" s="18"/>
      <c r="YN266" s="18"/>
      <c r="YO266" s="18"/>
      <c r="YP266" s="18"/>
      <c r="YQ266" s="18"/>
      <c r="YR266" s="18"/>
      <c r="YS266" s="18"/>
      <c r="YT266" s="18"/>
      <c r="YU266" s="18"/>
      <c r="YV266" s="18"/>
      <c r="YW266" s="18"/>
      <c r="YX266" s="18"/>
      <c r="YY266" s="18"/>
      <c r="YZ266" s="18"/>
      <c r="ZA266" s="18"/>
      <c r="ZB266" s="18"/>
      <c r="ZC266" s="18"/>
      <c r="ZD266" s="18"/>
      <c r="ZE266" s="18"/>
      <c r="ZF266" s="18"/>
      <c r="ZG266" s="18"/>
      <c r="ZH266" s="18"/>
      <c r="ZI266" s="18"/>
      <c r="ZJ266" s="18"/>
      <c r="ZK266" s="18"/>
      <c r="ZL266" s="18"/>
      <c r="ZM266" s="18"/>
      <c r="ZN266" s="18"/>
      <c r="ZO266" s="18"/>
      <c r="ZP266" s="18"/>
      <c r="ZQ266" s="18"/>
      <c r="ZR266" s="18"/>
      <c r="ZS266" s="18"/>
      <c r="ZT266" s="18"/>
      <c r="ZU266" s="18"/>
      <c r="ZV266" s="18"/>
      <c r="ZW266" s="18"/>
      <c r="ZX266" s="18"/>
      <c r="ZY266" s="18"/>
      <c r="ZZ266" s="18"/>
      <c r="AAA266" s="18"/>
      <c r="AAB266" s="18"/>
      <c r="AAC266" s="18"/>
      <c r="AAD266" s="18"/>
      <c r="AAE266" s="18"/>
      <c r="AAF266" s="18"/>
      <c r="AAG266" s="18"/>
      <c r="AAH266" s="18"/>
      <c r="AAI266" s="18"/>
      <c r="AAJ266" s="18"/>
      <c r="AAK266" s="18"/>
      <c r="AAL266" s="18"/>
      <c r="AAM266" s="18"/>
      <c r="AAN266" s="18"/>
      <c r="AAO266" s="18"/>
      <c r="AAP266" s="18"/>
      <c r="AAQ266" s="18"/>
      <c r="AAR266" s="18"/>
      <c r="AAS266" s="18"/>
      <c r="AAT266" s="18"/>
      <c r="AAU266" s="18"/>
      <c r="AAV266" s="18"/>
      <c r="AAW266" s="18"/>
      <c r="AAX266" s="18"/>
      <c r="AAY266" s="18"/>
      <c r="AAZ266" s="18"/>
      <c r="ABA266" s="18"/>
      <c r="ABB266" s="18"/>
      <c r="ABC266" s="18"/>
      <c r="ABD266" s="18"/>
      <c r="ABE266" s="18"/>
      <c r="ABF266" s="18"/>
      <c r="ABG266" s="18"/>
      <c r="ABH266" s="18"/>
      <c r="ABI266" s="18"/>
      <c r="ABJ266" s="18"/>
      <c r="ABK266" s="18"/>
      <c r="ABL266" s="18"/>
      <c r="ABM266" s="18"/>
      <c r="ABN266" s="18"/>
      <c r="ABO266" s="18"/>
      <c r="ABP266" s="18"/>
      <c r="ABQ266" s="18"/>
      <c r="ABR266" s="18"/>
      <c r="ABS266" s="18"/>
      <c r="ABT266" s="18"/>
      <c r="ABU266" s="18"/>
      <c r="ABV266" s="18"/>
      <c r="ABW266" s="18"/>
      <c r="ABX266" s="18"/>
      <c r="ABY266" s="18"/>
      <c r="ABZ266" s="18"/>
      <c r="ACA266" s="18"/>
      <c r="ACB266" s="18"/>
      <c r="ACC266" s="18"/>
      <c r="ACD266" s="18"/>
      <c r="ACE266" s="18"/>
      <c r="ACF266" s="18"/>
      <c r="ACG266" s="18"/>
      <c r="ACH266" s="18"/>
      <c r="ACI266" s="18"/>
      <c r="ACJ266" s="18"/>
      <c r="ACK266" s="18"/>
      <c r="ACL266" s="18"/>
      <c r="ACM266" s="18"/>
      <c r="ACN266" s="18"/>
      <c r="ACO266" s="18"/>
      <c r="ACP266" s="18"/>
      <c r="ACQ266" s="18"/>
      <c r="ACR266" s="18"/>
      <c r="ACS266" s="18"/>
      <c r="ACT266" s="18"/>
      <c r="ACU266" s="18"/>
      <c r="ACV266" s="18"/>
      <c r="ACW266" s="18"/>
      <c r="ACX266" s="18"/>
      <c r="ACY266" s="18"/>
      <c r="ACZ266" s="18"/>
      <c r="ADA266" s="18"/>
      <c r="ADB266" s="18"/>
      <c r="ADC266" s="18"/>
      <c r="ADD266" s="18"/>
      <c r="ADE266" s="18"/>
      <c r="ADF266" s="18"/>
      <c r="ADG266" s="18"/>
      <c r="ADH266" s="18"/>
      <c r="ADI266" s="18"/>
      <c r="ADJ266" s="18"/>
      <c r="ADK266" s="18"/>
      <c r="ADL266" s="18"/>
      <c r="ADM266" s="18"/>
      <c r="ADN266" s="18"/>
      <c r="ADO266" s="18"/>
      <c r="ADP266" s="18"/>
      <c r="ADQ266" s="18"/>
      <c r="ADR266" s="18"/>
      <c r="ADS266" s="18"/>
      <c r="ADT266" s="18"/>
      <c r="ADU266" s="18"/>
      <c r="ADV266" s="18"/>
      <c r="ADW266" s="18"/>
      <c r="ADX266" s="18"/>
      <c r="ADY266" s="18"/>
      <c r="ADZ266" s="18"/>
      <c r="AEA266" s="18"/>
      <c r="AEB266" s="18"/>
      <c r="AEC266" s="18"/>
      <c r="AED266" s="18"/>
      <c r="AEE266" s="18"/>
      <c r="AEF266" s="18"/>
      <c r="AEG266" s="18"/>
      <c r="AEH266" s="18"/>
      <c r="AEI266" s="18"/>
      <c r="AEJ266" s="18"/>
      <c r="AEK266" s="18"/>
      <c r="AEL266" s="18"/>
      <c r="AEM266" s="18"/>
      <c r="AEN266" s="18"/>
      <c r="AEO266" s="18"/>
      <c r="AEP266" s="18"/>
      <c r="AEQ266" s="18"/>
      <c r="AER266" s="18"/>
      <c r="AES266" s="18"/>
      <c r="AET266" s="18"/>
      <c r="AEU266" s="18"/>
      <c r="AEV266" s="18"/>
      <c r="AEW266" s="18"/>
      <c r="AEX266" s="18"/>
      <c r="AEY266" s="18"/>
      <c r="AEZ266" s="18"/>
      <c r="AFA266" s="18"/>
      <c r="AFB266" s="18"/>
      <c r="AFC266" s="18"/>
      <c r="AFD266" s="18"/>
      <c r="AFE266" s="18"/>
      <c r="AFF266" s="18"/>
      <c r="AFG266" s="18"/>
      <c r="AFH266" s="18"/>
      <c r="AFI266" s="18"/>
      <c r="AFJ266" s="18"/>
      <c r="AFK266" s="18"/>
      <c r="AFL266" s="18"/>
      <c r="AFM266" s="18"/>
      <c r="AFN266" s="18"/>
      <c r="AFO266" s="18"/>
      <c r="AFP266" s="18"/>
      <c r="AFQ266" s="18"/>
      <c r="AFR266" s="18"/>
      <c r="AFS266" s="18"/>
      <c r="AFT266" s="18"/>
      <c r="AFU266" s="18"/>
      <c r="AFV266" s="18"/>
      <c r="AFW266" s="18"/>
      <c r="AFX266" s="18"/>
      <c r="AFY266" s="18"/>
      <c r="AFZ266" s="18"/>
      <c r="AGA266" s="18"/>
      <c r="AGB266" s="18"/>
      <c r="AGC266" s="18"/>
      <c r="AGD266" s="18"/>
      <c r="AGE266" s="18"/>
      <c r="AGF266" s="18"/>
      <c r="AGG266" s="18"/>
      <c r="AGH266" s="18"/>
      <c r="AGI266" s="18"/>
      <c r="AGJ266" s="18"/>
      <c r="AGK266" s="18"/>
      <c r="AGL266" s="18"/>
      <c r="AGM266" s="18"/>
      <c r="AGN266" s="18"/>
      <c r="AGO266" s="18"/>
      <c r="AGP266" s="18"/>
      <c r="AGQ266" s="18"/>
      <c r="AGR266" s="18"/>
      <c r="AGS266" s="18"/>
      <c r="AGT266" s="18"/>
      <c r="AGU266" s="18"/>
      <c r="AGV266" s="18"/>
      <c r="AGW266" s="18"/>
      <c r="AGX266" s="18"/>
      <c r="AGY266" s="18"/>
      <c r="AGZ266" s="18"/>
      <c r="AHA266" s="18"/>
      <c r="AHB266" s="18"/>
      <c r="AHC266" s="18"/>
      <c r="AHD266" s="18"/>
      <c r="AHE266" s="18"/>
      <c r="AHF266" s="18"/>
      <c r="AHG266" s="18"/>
      <c r="AHH266" s="18"/>
      <c r="AHI266" s="18"/>
      <c r="AHJ266" s="18"/>
      <c r="AHK266" s="18"/>
      <c r="AHL266" s="18"/>
      <c r="AHM266" s="18"/>
      <c r="AHN266" s="18"/>
      <c r="AHO266" s="18"/>
      <c r="AHP266" s="18"/>
      <c r="AHQ266" s="18"/>
      <c r="AHR266" s="18"/>
      <c r="AHS266" s="18"/>
      <c r="AHT266" s="18"/>
      <c r="AHU266" s="18"/>
      <c r="AHV266" s="18"/>
      <c r="AHW266" s="18"/>
      <c r="AHX266" s="18"/>
      <c r="AHY266" s="18"/>
      <c r="AHZ266" s="18"/>
      <c r="AIA266" s="18"/>
      <c r="AIB266" s="18"/>
      <c r="AIC266" s="18"/>
      <c r="AID266" s="18"/>
      <c r="AIE266" s="18"/>
      <c r="AIF266" s="18"/>
      <c r="AIG266" s="18"/>
      <c r="AIH266" s="18"/>
      <c r="AII266" s="18"/>
      <c r="AIJ266" s="18"/>
      <c r="AIK266" s="18"/>
      <c r="AIL266" s="18"/>
      <c r="AIM266" s="18"/>
      <c r="AIN266" s="18"/>
      <c r="AIO266" s="18"/>
      <c r="AIP266" s="18"/>
      <c r="AIQ266" s="18"/>
      <c r="AIR266" s="18"/>
      <c r="AIS266" s="18"/>
      <c r="AIT266" s="18"/>
      <c r="AIU266" s="18"/>
      <c r="AIV266" s="18"/>
      <c r="AIW266" s="18"/>
      <c r="AIX266" s="18"/>
      <c r="AIY266" s="18"/>
      <c r="AIZ266" s="18"/>
      <c r="AJA266" s="18"/>
      <c r="AJB266" s="18"/>
      <c r="AJC266" s="18"/>
      <c r="AJD266" s="18"/>
      <c r="AJE266" s="18"/>
      <c r="AJF266" s="18"/>
      <c r="AJG266" s="18"/>
      <c r="AJH266" s="18"/>
      <c r="AJI266" s="18"/>
      <c r="AJJ266" s="18"/>
      <c r="AJK266" s="18"/>
      <c r="AJL266" s="18"/>
      <c r="AJM266" s="18"/>
      <c r="AJN266" s="18"/>
      <c r="AJO266" s="18"/>
      <c r="AJP266" s="18"/>
      <c r="AJQ266" s="18"/>
      <c r="AJR266" s="18"/>
      <c r="AJS266" s="18"/>
      <c r="AJT266" s="18"/>
      <c r="AJU266" s="18"/>
      <c r="AJV266" s="18"/>
      <c r="AJW266" s="18"/>
      <c r="AJX266" s="18"/>
      <c r="AJY266" s="18"/>
      <c r="AJZ266" s="18"/>
      <c r="AKA266" s="18"/>
      <c r="AKB266" s="18"/>
      <c r="AKC266" s="18"/>
      <c r="AKD266" s="18"/>
      <c r="AKE266" s="18"/>
      <c r="AKF266" s="18"/>
      <c r="AKG266" s="18"/>
      <c r="AKH266" s="18"/>
      <c r="AKI266" s="18"/>
      <c r="AKJ266" s="18"/>
      <c r="AKK266" s="18"/>
      <c r="AKL266" s="18"/>
      <c r="AKM266" s="18"/>
      <c r="AKN266" s="18"/>
      <c r="AKO266" s="18"/>
      <c r="AKP266" s="18"/>
      <c r="AKQ266" s="18"/>
      <c r="AKR266" s="18"/>
      <c r="AKS266" s="18"/>
      <c r="AKT266" s="18"/>
      <c r="AKU266" s="18"/>
      <c r="AKV266" s="18"/>
      <c r="AKW266" s="18"/>
      <c r="AKX266" s="18"/>
      <c r="AKY266" s="18"/>
      <c r="AKZ266" s="18"/>
      <c r="ALA266" s="18"/>
      <c r="ALB266" s="18"/>
      <c r="ALC266" s="18"/>
      <c r="ALD266" s="18"/>
      <c r="ALE266" s="18"/>
      <c r="ALF266" s="18"/>
      <c r="ALG266" s="18"/>
      <c r="ALH266" s="18"/>
      <c r="ALI266" s="18"/>
      <c r="ALJ266" s="18"/>
      <c r="ALK266" s="18"/>
      <c r="ALL266" s="18"/>
      <c r="ALM266" s="18"/>
      <c r="ALN266" s="18"/>
      <c r="ALO266" s="18"/>
      <c r="ALP266" s="18"/>
      <c r="ALQ266" s="18"/>
      <c r="ALR266" s="18"/>
      <c r="ALS266" s="18"/>
      <c r="ALT266" s="18"/>
      <c r="ALU266" s="18"/>
      <c r="ALV266" s="18"/>
      <c r="ALW266" s="18"/>
      <c r="ALX266" s="18"/>
      <c r="ALY266" s="18"/>
      <c r="ALZ266" s="18"/>
      <c r="AMA266" s="18"/>
      <c r="AMB266" s="18"/>
      <c r="AMC266" s="18"/>
      <c r="AMD266" s="18"/>
      <c r="AME266" s="18"/>
      <c r="AMF266" s="18"/>
      <c r="AMG266" s="18"/>
      <c r="AMH266" s="18"/>
      <c r="AMI266" s="18"/>
      <c r="AMJ266" s="18"/>
      <c r="AMK266" s="18"/>
      <c r="AML266" s="18"/>
      <c r="AMM266" s="18"/>
      <c r="AMN266" s="18"/>
      <c r="AMO266" s="18"/>
      <c r="AMP266" s="18"/>
      <c r="AMQ266" s="18"/>
      <c r="AMR266" s="18"/>
      <c r="AMS266" s="18"/>
      <c r="AMT266" s="18"/>
      <c r="AMU266" s="18"/>
      <c r="AMV266" s="18"/>
      <c r="AMW266" s="18"/>
      <c r="AMX266" s="18"/>
      <c r="AMY266" s="18"/>
      <c r="AMZ266" s="18"/>
      <c r="ANA266" s="18"/>
      <c r="ANB266" s="18"/>
      <c r="ANC266" s="18"/>
      <c r="AND266" s="18"/>
      <c r="ANE266" s="18"/>
      <c r="ANF266" s="18"/>
      <c r="ANG266" s="18"/>
      <c r="ANH266" s="18"/>
      <c r="ANI266" s="18"/>
      <c r="ANJ266" s="18"/>
      <c r="ANK266" s="18"/>
      <c r="ANL266" s="18"/>
      <c r="ANM266" s="18"/>
      <c r="ANN266" s="18"/>
      <c r="ANO266" s="18"/>
      <c r="ANP266" s="18"/>
      <c r="ANQ266" s="18"/>
      <c r="ANR266" s="18"/>
      <c r="ANS266" s="18"/>
      <c r="ANT266" s="18"/>
      <c r="ANU266" s="18"/>
      <c r="ANV266" s="18"/>
      <c r="ANW266" s="18"/>
      <c r="ANX266" s="18"/>
      <c r="ANY266" s="18"/>
      <c r="ANZ266" s="18"/>
      <c r="AOA266" s="18"/>
      <c r="AOB266" s="18"/>
      <c r="AOC266" s="18"/>
      <c r="AOD266" s="18"/>
      <c r="AOE266" s="18"/>
      <c r="AOF266" s="18"/>
      <c r="AOG266" s="18"/>
      <c r="AOH266" s="18"/>
      <c r="AOI266" s="18"/>
      <c r="AOJ266" s="18"/>
      <c r="AOK266" s="18"/>
      <c r="AOL266" s="18"/>
      <c r="AOM266" s="18"/>
      <c r="AON266" s="18"/>
      <c r="AOO266" s="18"/>
      <c r="AOP266" s="18"/>
      <c r="AOQ266" s="18"/>
      <c r="AOR266" s="18"/>
      <c r="AOS266" s="18"/>
      <c r="AOT266" s="18"/>
      <c r="AOU266" s="18"/>
      <c r="AOV266" s="18"/>
      <c r="AOW266" s="18"/>
      <c r="AOX266" s="18"/>
      <c r="AOY266" s="18"/>
      <c r="AOZ266" s="18"/>
      <c r="APA266" s="18"/>
      <c r="APB266" s="18"/>
      <c r="APC266" s="18"/>
      <c r="APD266" s="18"/>
      <c r="APE266" s="18"/>
      <c r="APF266" s="18"/>
      <c r="APG266" s="18"/>
      <c r="APH266" s="18"/>
      <c r="API266" s="18"/>
      <c r="APJ266" s="18"/>
      <c r="APK266" s="18"/>
      <c r="APL266" s="18"/>
      <c r="APM266" s="18"/>
      <c r="APN266" s="18"/>
      <c r="APO266" s="18"/>
      <c r="APP266" s="18"/>
      <c r="APQ266" s="18"/>
      <c r="APR266" s="18"/>
      <c r="APS266" s="18"/>
      <c r="APT266" s="18"/>
      <c r="APU266" s="18"/>
      <c r="APV266" s="18"/>
      <c r="APW266" s="18"/>
      <c r="APX266" s="18"/>
      <c r="APY266" s="18"/>
      <c r="APZ266" s="18"/>
      <c r="AQA266" s="18"/>
      <c r="AQB266" s="18"/>
      <c r="AQC266" s="18"/>
      <c r="AQD266" s="18"/>
      <c r="AQE266" s="18"/>
      <c r="AQF266" s="18"/>
      <c r="AQG266" s="18"/>
      <c r="AQH266" s="18"/>
      <c r="AQI266" s="18"/>
      <c r="AQJ266" s="18"/>
      <c r="AQK266" s="18"/>
      <c r="AQL266" s="18"/>
      <c r="AQM266" s="18"/>
      <c r="AQN266" s="18"/>
      <c r="AQO266" s="18"/>
      <c r="AQP266" s="18"/>
      <c r="AQQ266" s="18"/>
      <c r="AQR266" s="18"/>
      <c r="AQS266" s="18"/>
      <c r="AQT266" s="18"/>
      <c r="AQU266" s="18"/>
      <c r="AQV266" s="18"/>
      <c r="AQW266" s="18"/>
      <c r="AQX266" s="18"/>
      <c r="AQY266" s="18"/>
      <c r="AQZ266" s="18"/>
      <c r="ARA266" s="18"/>
      <c r="ARB266" s="18"/>
      <c r="ARC266" s="18"/>
      <c r="ARD266" s="18"/>
      <c r="ARE266" s="18"/>
      <c r="ARF266" s="18"/>
      <c r="ARG266" s="18"/>
      <c r="ARH266" s="18"/>
      <c r="ARI266" s="18"/>
      <c r="ARJ266" s="18"/>
      <c r="ARK266" s="18"/>
      <c r="ARL266" s="18"/>
      <c r="ARM266" s="18"/>
      <c r="ARN266" s="18"/>
      <c r="ARO266" s="18"/>
      <c r="ARP266" s="18"/>
      <c r="ARQ266" s="18"/>
      <c r="ARR266" s="18"/>
      <c r="ARS266" s="18"/>
      <c r="ART266" s="18"/>
      <c r="ARU266" s="18"/>
      <c r="ARV266" s="18"/>
      <c r="ARW266" s="18"/>
      <c r="ARX266" s="18"/>
      <c r="ARY266" s="18"/>
      <c r="ARZ266" s="18"/>
      <c r="ASA266" s="18"/>
      <c r="ASB266" s="18"/>
      <c r="ASC266" s="18"/>
      <c r="ASD266" s="18"/>
      <c r="ASE266" s="18"/>
      <c r="ASF266" s="18"/>
      <c r="ASG266" s="18"/>
      <c r="ASH266" s="18"/>
      <c r="ASI266" s="18"/>
      <c r="ASJ266" s="18"/>
      <c r="ASK266" s="18"/>
      <c r="ASL266" s="18"/>
      <c r="ASM266" s="18"/>
      <c r="ASN266" s="18"/>
      <c r="ASO266" s="18"/>
      <c r="ASP266" s="18"/>
      <c r="ASQ266" s="18"/>
      <c r="ASR266" s="18"/>
      <c r="ASS266" s="18"/>
      <c r="AST266" s="18"/>
      <c r="ASU266" s="18"/>
      <c r="ASV266" s="18"/>
      <c r="ASW266" s="18"/>
      <c r="ASX266" s="18"/>
      <c r="ASY266" s="18"/>
      <c r="ASZ266" s="18"/>
      <c r="ATA266" s="18"/>
      <c r="ATB266" s="18"/>
      <c r="ATC266" s="18"/>
      <c r="ATD266" s="18"/>
      <c r="ATE266" s="18"/>
      <c r="ATF266" s="18"/>
      <c r="ATG266" s="18"/>
      <c r="ATH266" s="18"/>
      <c r="ATI266" s="18"/>
      <c r="ATJ266" s="18"/>
      <c r="ATK266" s="18"/>
      <c r="ATL266" s="18"/>
      <c r="ATM266" s="18"/>
      <c r="ATN266" s="18"/>
      <c r="ATO266" s="18"/>
      <c r="ATP266" s="18"/>
      <c r="ATQ266" s="18"/>
      <c r="ATR266" s="18"/>
      <c r="ATS266" s="18"/>
      <c r="ATT266" s="18"/>
      <c r="ATU266" s="18"/>
      <c r="ATV266" s="18"/>
      <c r="ATW266" s="18"/>
      <c r="ATX266" s="18"/>
      <c r="ATY266" s="18"/>
      <c r="ATZ266" s="18"/>
      <c r="AUA266" s="18"/>
      <c r="AUB266" s="18"/>
      <c r="AUC266" s="18"/>
      <c r="AUD266" s="18"/>
      <c r="AUE266" s="18"/>
      <c r="AUF266" s="18"/>
      <c r="AUG266" s="18"/>
      <c r="AUH266" s="18"/>
      <c r="AUI266" s="18"/>
      <c r="AUJ266" s="18"/>
      <c r="AUK266" s="18"/>
      <c r="AUL266" s="18"/>
      <c r="AUM266" s="18"/>
      <c r="AUN266" s="18"/>
      <c r="AUO266" s="18"/>
      <c r="AUP266" s="18"/>
      <c r="AUQ266" s="18"/>
      <c r="AUR266" s="18"/>
      <c r="AUS266" s="18"/>
      <c r="AUT266" s="18"/>
      <c r="AUU266" s="18"/>
      <c r="AUV266" s="18"/>
      <c r="AUW266" s="18"/>
      <c r="AUX266" s="18"/>
      <c r="AUY266" s="18"/>
      <c r="AUZ266" s="18"/>
      <c r="AVA266" s="18"/>
      <c r="AVB266" s="18"/>
      <c r="AVC266" s="18"/>
      <c r="AVD266" s="18"/>
      <c r="AVE266" s="18"/>
      <c r="AVF266" s="18"/>
      <c r="AVG266" s="18"/>
      <c r="AVH266" s="18"/>
      <c r="AVI266" s="18"/>
      <c r="AVJ266" s="18"/>
      <c r="AVK266" s="18"/>
      <c r="AVL266" s="18"/>
      <c r="AVM266" s="18"/>
      <c r="AVN266" s="18"/>
      <c r="AVO266" s="18"/>
      <c r="AVP266" s="18"/>
      <c r="AVQ266" s="18"/>
      <c r="AVR266" s="18"/>
      <c r="AVS266" s="18"/>
      <c r="AVT266" s="18"/>
      <c r="AVU266" s="18"/>
      <c r="AVV266" s="18"/>
      <c r="AVW266" s="18"/>
      <c r="AVX266" s="18"/>
      <c r="AVY266" s="18"/>
      <c r="AVZ266" s="18"/>
      <c r="AWA266" s="18"/>
      <c r="AWB266" s="18"/>
      <c r="AWC266" s="18"/>
      <c r="AWD266" s="18"/>
      <c r="AWE266" s="18"/>
      <c r="AWF266" s="18"/>
      <c r="AWG266" s="18"/>
      <c r="AWH266" s="18"/>
      <c r="AWI266" s="18"/>
      <c r="AWJ266" s="18"/>
      <c r="AWK266" s="18"/>
      <c r="AWL266" s="18"/>
      <c r="AWM266" s="18"/>
      <c r="AWN266" s="18"/>
      <c r="AWO266" s="18"/>
      <c r="AWP266" s="18"/>
      <c r="AWQ266" s="18"/>
      <c r="AWR266" s="18"/>
      <c r="AWS266" s="18"/>
      <c r="AWT266" s="18"/>
      <c r="AWU266" s="18"/>
      <c r="AWV266" s="18"/>
      <c r="AWW266" s="18"/>
      <c r="AWX266" s="18"/>
      <c r="AWY266" s="18"/>
      <c r="AWZ266" s="18"/>
      <c r="AXA266" s="18"/>
      <c r="AXB266" s="18"/>
      <c r="AXC266" s="18"/>
      <c r="AXD266" s="18"/>
      <c r="AXE266" s="18"/>
      <c r="AXF266" s="18"/>
      <c r="AXG266" s="18"/>
      <c r="AXH266" s="18"/>
      <c r="AXI266" s="18"/>
      <c r="AXJ266" s="18"/>
      <c r="AXK266" s="18"/>
      <c r="AXL266" s="18"/>
      <c r="AXM266" s="18"/>
      <c r="AXN266" s="18"/>
      <c r="AXO266" s="18"/>
      <c r="AXP266" s="18"/>
      <c r="AXQ266" s="18"/>
      <c r="AXR266" s="18"/>
      <c r="AXS266" s="18"/>
      <c r="AXT266" s="18"/>
      <c r="AXU266" s="18"/>
      <c r="AXV266" s="18"/>
      <c r="AXW266" s="18"/>
      <c r="AXX266" s="18"/>
      <c r="AXY266" s="18"/>
      <c r="AXZ266" s="18"/>
      <c r="AYA266" s="18"/>
      <c r="AYB266" s="18"/>
      <c r="AYC266" s="18"/>
      <c r="AYD266" s="18"/>
      <c r="AYE266" s="18"/>
      <c r="AYF266" s="18"/>
      <c r="AYG266" s="18"/>
      <c r="AYH266" s="18"/>
      <c r="AYI266" s="18"/>
      <c r="AYJ266" s="18"/>
      <c r="AYK266" s="18"/>
      <c r="AYL266" s="18"/>
      <c r="AYM266" s="18"/>
      <c r="AYN266" s="18"/>
      <c r="AYO266" s="18"/>
      <c r="AYP266" s="18"/>
      <c r="AYQ266" s="18"/>
      <c r="AYR266" s="18"/>
      <c r="AYS266" s="18"/>
      <c r="AYT266" s="18"/>
      <c r="AYU266" s="18"/>
      <c r="AYV266" s="18"/>
      <c r="AYW266" s="18"/>
      <c r="AYX266" s="18"/>
      <c r="AYY266" s="18"/>
      <c r="AYZ266" s="18"/>
      <c r="AZA266" s="18"/>
      <c r="AZB266" s="18"/>
      <c r="AZC266" s="18"/>
      <c r="AZD266" s="18"/>
      <c r="AZE266" s="18"/>
      <c r="AZF266" s="18"/>
      <c r="AZG266" s="18"/>
      <c r="AZH266" s="18"/>
      <c r="AZI266" s="18"/>
      <c r="AZJ266" s="18"/>
      <c r="AZK266" s="18"/>
      <c r="AZL266" s="18"/>
      <c r="AZM266" s="18"/>
      <c r="AZN266" s="18"/>
      <c r="AZO266" s="18"/>
      <c r="AZP266" s="18"/>
      <c r="AZQ266" s="18"/>
      <c r="AZR266" s="18"/>
      <c r="AZS266" s="18"/>
      <c r="AZT266" s="18"/>
      <c r="AZU266" s="18"/>
      <c r="AZV266" s="18"/>
      <c r="AZW266" s="18"/>
      <c r="AZX266" s="18"/>
      <c r="AZY266" s="18"/>
      <c r="AZZ266" s="18"/>
      <c r="BAA266" s="18"/>
      <c r="BAB266" s="18"/>
      <c r="BAC266" s="18"/>
      <c r="BAD266" s="18"/>
      <c r="BAE266" s="18"/>
      <c r="BAF266" s="18"/>
      <c r="BAG266" s="18"/>
      <c r="BAH266" s="18"/>
      <c r="BAI266" s="18"/>
      <c r="BAJ266" s="18"/>
      <c r="BAK266" s="18"/>
      <c r="BAL266" s="18"/>
      <c r="BAM266" s="18"/>
      <c r="BAN266" s="18"/>
      <c r="BAO266" s="18"/>
      <c r="BAP266" s="18"/>
      <c r="BAQ266" s="18"/>
      <c r="BAR266" s="18"/>
      <c r="BAS266" s="18"/>
      <c r="BAT266" s="18"/>
      <c r="BAU266" s="18"/>
      <c r="BAV266" s="18"/>
      <c r="BAW266" s="18"/>
      <c r="BAX266" s="18"/>
      <c r="BAY266" s="18"/>
      <c r="BAZ266" s="18"/>
      <c r="BBA266" s="18"/>
      <c r="BBB266" s="18"/>
      <c r="BBC266" s="18"/>
      <c r="BBD266" s="18"/>
      <c r="BBE266" s="18"/>
      <c r="BBF266" s="18"/>
      <c r="BBG266" s="18"/>
      <c r="BBH266" s="18"/>
      <c r="BBI266" s="18"/>
      <c r="BBJ266" s="18"/>
      <c r="BBK266" s="18"/>
      <c r="BBL266" s="18"/>
      <c r="BBM266" s="18"/>
      <c r="BBN266" s="18"/>
      <c r="BBO266" s="18"/>
      <c r="BBP266" s="18"/>
      <c r="BBQ266" s="18"/>
      <c r="BBR266" s="18"/>
      <c r="BBS266" s="18"/>
      <c r="BBT266" s="18"/>
      <c r="BBU266" s="18"/>
      <c r="BBV266" s="18"/>
      <c r="BBW266" s="18"/>
      <c r="BBX266" s="18"/>
      <c r="BBY266" s="18"/>
      <c r="BBZ266" s="18"/>
      <c r="BCA266" s="18"/>
      <c r="BCB266" s="18"/>
      <c r="BCC266" s="18"/>
      <c r="BCD266" s="18"/>
      <c r="BCE266" s="18"/>
      <c r="BCF266" s="18"/>
      <c r="BCG266" s="18"/>
      <c r="BCH266" s="18"/>
      <c r="BCI266" s="18"/>
      <c r="BCJ266" s="18"/>
      <c r="BCK266" s="18"/>
      <c r="BCL266" s="18"/>
      <c r="BCM266" s="18"/>
      <c r="BCN266" s="18"/>
      <c r="BCO266" s="18"/>
      <c r="BCP266" s="18"/>
      <c r="BCQ266" s="18"/>
      <c r="BCR266" s="18"/>
      <c r="BCS266" s="18"/>
      <c r="BCT266" s="18"/>
      <c r="BCU266" s="18"/>
      <c r="BCV266" s="18"/>
      <c r="BCW266" s="18"/>
      <c r="BCX266" s="18"/>
      <c r="BCY266" s="18"/>
      <c r="BCZ266" s="18"/>
      <c r="BDA266" s="18"/>
      <c r="BDB266" s="18"/>
      <c r="BDC266" s="18"/>
      <c r="BDD266" s="18"/>
      <c r="BDE266" s="18"/>
      <c r="BDF266" s="18"/>
      <c r="BDG266" s="18"/>
      <c r="BDH266" s="18"/>
      <c r="BDI266" s="18"/>
      <c r="BDJ266" s="18"/>
      <c r="BDK266" s="18"/>
      <c r="BDL266" s="18"/>
      <c r="BDM266" s="18"/>
      <c r="BDN266" s="18"/>
      <c r="BDO266" s="18"/>
      <c r="BDP266" s="18"/>
      <c r="BDQ266" s="18"/>
      <c r="BDR266" s="18"/>
      <c r="BDS266" s="18"/>
      <c r="BDT266" s="18"/>
      <c r="BDU266" s="18"/>
      <c r="BDV266" s="18"/>
      <c r="BDW266" s="18"/>
      <c r="BDX266" s="18"/>
      <c r="BDY266" s="18"/>
      <c r="BDZ266" s="18"/>
      <c r="BEA266" s="18"/>
      <c r="BEB266" s="18"/>
      <c r="BEC266" s="18"/>
      <c r="BED266" s="18"/>
      <c r="BEE266" s="18"/>
      <c r="BEF266" s="18"/>
      <c r="BEG266" s="18"/>
      <c r="BEH266" s="18"/>
      <c r="BEI266" s="18"/>
      <c r="BEJ266" s="18"/>
      <c r="BEK266" s="18"/>
      <c r="BEL266" s="18"/>
      <c r="BEM266" s="18"/>
      <c r="BEN266" s="18"/>
      <c r="BEO266" s="18"/>
      <c r="BEP266" s="18"/>
      <c r="BEQ266" s="18"/>
      <c r="BER266" s="18"/>
      <c r="BES266" s="18"/>
      <c r="BET266" s="18"/>
      <c r="BEU266" s="18"/>
      <c r="BEV266" s="18"/>
      <c r="BEW266" s="18"/>
      <c r="BEX266" s="18"/>
      <c r="BEY266" s="18"/>
      <c r="BEZ266" s="18"/>
      <c r="BFA266" s="18"/>
      <c r="BFB266" s="18"/>
      <c r="BFC266" s="18"/>
      <c r="BFD266" s="18"/>
      <c r="BFE266" s="18"/>
      <c r="BFF266" s="18"/>
      <c r="BFG266" s="18"/>
      <c r="BFH266" s="18"/>
      <c r="BFI266" s="18"/>
      <c r="BFJ266" s="18"/>
      <c r="BFK266" s="18"/>
      <c r="BFL266" s="18"/>
      <c r="BFM266" s="18"/>
      <c r="BFN266" s="18"/>
      <c r="BFO266" s="18"/>
      <c r="BFP266" s="18"/>
      <c r="BFQ266" s="18"/>
      <c r="BFR266" s="18"/>
      <c r="BFS266" s="18"/>
      <c r="BFT266" s="18"/>
      <c r="BFU266" s="18"/>
      <c r="BFV266" s="18"/>
      <c r="BFW266" s="18"/>
      <c r="BFX266" s="18"/>
      <c r="BFY266" s="18"/>
      <c r="BFZ266" s="18"/>
      <c r="BGA266" s="18"/>
      <c r="BGB266" s="18"/>
      <c r="BGC266" s="18"/>
      <c r="BGD266" s="18"/>
      <c r="BGE266" s="18"/>
      <c r="BGF266" s="18"/>
      <c r="BGG266" s="18"/>
      <c r="BGH266" s="18"/>
      <c r="BGI266" s="18"/>
      <c r="BGJ266" s="18"/>
      <c r="BGK266" s="18"/>
      <c r="BGL266" s="18"/>
      <c r="BGM266" s="18"/>
      <c r="BGN266" s="18"/>
      <c r="BGO266" s="18"/>
      <c r="BGP266" s="18"/>
      <c r="BGQ266" s="18"/>
      <c r="BGR266" s="18"/>
      <c r="BGS266" s="18"/>
      <c r="BGT266" s="18"/>
      <c r="BGU266" s="18"/>
      <c r="BGV266" s="18"/>
      <c r="BGW266" s="18"/>
      <c r="BGX266" s="18"/>
      <c r="BGY266" s="18"/>
      <c r="BGZ266" s="18"/>
      <c r="BHA266" s="18"/>
      <c r="BHB266" s="18"/>
      <c r="BHC266" s="18"/>
      <c r="BHD266" s="18"/>
      <c r="BHE266" s="18"/>
      <c r="BHF266" s="18"/>
      <c r="BHG266" s="18"/>
      <c r="BHH266" s="18"/>
      <c r="BHI266" s="18"/>
      <c r="BHJ266" s="18"/>
      <c r="BHK266" s="18"/>
      <c r="BHL266" s="18"/>
      <c r="BHM266" s="18"/>
      <c r="BHN266" s="18"/>
      <c r="BHO266" s="18"/>
      <c r="BHP266" s="18"/>
      <c r="BHQ266" s="18"/>
      <c r="BHR266" s="18"/>
      <c r="BHS266" s="18"/>
      <c r="BHT266" s="18"/>
      <c r="BHU266" s="18"/>
      <c r="BHV266" s="18"/>
      <c r="BHW266" s="18"/>
      <c r="BHX266" s="18"/>
      <c r="BHY266" s="18"/>
      <c r="BHZ266" s="18"/>
      <c r="BIA266" s="18"/>
      <c r="BIB266" s="18"/>
      <c r="BIC266" s="18"/>
      <c r="BID266" s="18"/>
      <c r="BIE266" s="18"/>
      <c r="BIF266" s="18"/>
      <c r="BIG266" s="18"/>
      <c r="BIH266" s="18"/>
      <c r="BII266" s="18"/>
      <c r="BIJ266" s="18"/>
      <c r="BIK266" s="18"/>
      <c r="BIL266" s="18"/>
      <c r="BIM266" s="18"/>
      <c r="BIN266" s="18"/>
      <c r="BIO266" s="18"/>
      <c r="BIP266" s="18"/>
      <c r="BIQ266" s="18"/>
      <c r="BIR266" s="18"/>
      <c r="BIS266" s="18"/>
      <c r="BIT266" s="18"/>
      <c r="BIU266" s="18"/>
      <c r="BIV266" s="18"/>
      <c r="BIW266" s="18"/>
      <c r="BIX266" s="18"/>
      <c r="BIY266" s="18"/>
      <c r="BIZ266" s="18"/>
      <c r="BJA266" s="18"/>
      <c r="BJB266" s="18"/>
      <c r="BJC266" s="18"/>
      <c r="BJD266" s="18"/>
      <c r="BJE266" s="18"/>
      <c r="BJF266" s="18"/>
      <c r="BJG266" s="18"/>
      <c r="BJH266" s="18"/>
      <c r="BJI266" s="18"/>
      <c r="BJJ266" s="18"/>
      <c r="BJK266" s="18"/>
      <c r="BJL266" s="18"/>
      <c r="BJM266" s="18"/>
      <c r="BJN266" s="18"/>
      <c r="BJO266" s="18"/>
      <c r="BJP266" s="18"/>
      <c r="BJQ266" s="18"/>
      <c r="BJR266" s="18"/>
      <c r="BJS266" s="18"/>
      <c r="BJT266" s="18"/>
      <c r="BJU266" s="18"/>
      <c r="BJV266" s="18"/>
      <c r="BJW266" s="18"/>
      <c r="BJX266" s="18"/>
      <c r="BJY266" s="18"/>
      <c r="BJZ266" s="18"/>
      <c r="BKA266" s="18"/>
      <c r="BKB266" s="18"/>
      <c r="BKC266" s="18"/>
      <c r="BKD266" s="18"/>
      <c r="BKE266" s="18"/>
      <c r="BKF266" s="18"/>
      <c r="BKG266" s="18"/>
      <c r="BKH266" s="18"/>
      <c r="BKI266" s="18"/>
      <c r="BKJ266" s="18"/>
      <c r="BKK266" s="18"/>
      <c r="BKL266" s="18"/>
      <c r="BKM266" s="18"/>
      <c r="BKN266" s="18"/>
      <c r="BKO266" s="18"/>
      <c r="BKP266" s="18"/>
      <c r="BKQ266" s="18"/>
      <c r="BKR266" s="18"/>
      <c r="BKS266" s="18"/>
      <c r="BKT266" s="18"/>
      <c r="BKU266" s="18"/>
      <c r="BKV266" s="18"/>
      <c r="BKW266" s="18"/>
      <c r="BKX266" s="18"/>
      <c r="BKY266" s="18"/>
      <c r="BKZ266" s="18"/>
      <c r="BLA266" s="18"/>
      <c r="BLB266" s="18"/>
      <c r="BLC266" s="18"/>
      <c r="BLD266" s="18"/>
      <c r="BLE266" s="18"/>
      <c r="BLF266" s="18"/>
      <c r="BLG266" s="18"/>
      <c r="BLH266" s="18"/>
      <c r="BLI266" s="18"/>
      <c r="BLJ266" s="18"/>
      <c r="BLK266" s="18"/>
      <c r="BLL266" s="18"/>
      <c r="BLM266" s="18"/>
      <c r="BLN266" s="18"/>
      <c r="BLO266" s="18"/>
      <c r="BLP266" s="18"/>
      <c r="BLQ266" s="18"/>
      <c r="BLR266" s="18"/>
      <c r="BLS266" s="18"/>
      <c r="BLT266" s="18"/>
      <c r="BLU266" s="18"/>
      <c r="BLV266" s="18"/>
      <c r="BLW266" s="18"/>
      <c r="BLX266" s="18"/>
      <c r="BLY266" s="18"/>
      <c r="BLZ266" s="18"/>
      <c r="BMA266" s="18"/>
      <c r="BMB266" s="18"/>
      <c r="BMC266" s="18"/>
      <c r="BMD266" s="18"/>
      <c r="BME266" s="18"/>
      <c r="BMF266" s="18"/>
      <c r="BMG266" s="18"/>
      <c r="BMH266" s="18"/>
      <c r="BMI266" s="18"/>
      <c r="BMJ266" s="18"/>
      <c r="BMK266" s="18"/>
      <c r="BML266" s="18"/>
      <c r="BMM266" s="18"/>
      <c r="BMN266" s="18"/>
      <c r="BMO266" s="18"/>
      <c r="BMP266" s="18"/>
      <c r="BMQ266" s="18"/>
      <c r="BMR266" s="18"/>
      <c r="BMS266" s="18"/>
      <c r="BMT266" s="18"/>
      <c r="BMU266" s="18"/>
      <c r="BMV266" s="18"/>
      <c r="BMW266" s="18"/>
      <c r="BMX266" s="18"/>
      <c r="BMY266" s="18"/>
      <c r="BMZ266" s="18"/>
      <c r="BNA266" s="18"/>
      <c r="BNB266" s="18"/>
      <c r="BNC266" s="18"/>
      <c r="BND266" s="18"/>
      <c r="BNE266" s="18"/>
      <c r="BNF266" s="18"/>
      <c r="BNG266" s="18"/>
      <c r="BNH266" s="18"/>
      <c r="BNI266" s="18"/>
      <c r="BNJ266" s="18"/>
      <c r="BNK266" s="18"/>
      <c r="BNL266" s="18"/>
      <c r="BNM266" s="18"/>
      <c r="BNN266" s="18"/>
      <c r="BNO266" s="18"/>
      <c r="BNP266" s="18"/>
      <c r="BNQ266" s="18"/>
      <c r="BNR266" s="18"/>
      <c r="BNS266" s="18"/>
      <c r="BNT266" s="18"/>
      <c r="BNU266" s="18"/>
      <c r="BNV266" s="18"/>
      <c r="BNW266" s="18"/>
      <c r="BNX266" s="18"/>
      <c r="BNY266" s="18"/>
      <c r="BNZ266" s="18"/>
      <c r="BOA266" s="18"/>
      <c r="BOB266" s="18"/>
      <c r="BOC266" s="18"/>
      <c r="BOD266" s="18"/>
      <c r="BOE266" s="18"/>
      <c r="BOF266" s="18"/>
      <c r="BOG266" s="18"/>
      <c r="BOH266" s="18"/>
      <c r="BOI266" s="18"/>
      <c r="BOJ266" s="18"/>
      <c r="BOK266" s="18"/>
      <c r="BOL266" s="18"/>
      <c r="BOM266" s="18"/>
      <c r="BON266" s="18"/>
      <c r="BOO266" s="18"/>
      <c r="BOP266" s="18"/>
      <c r="BOQ266" s="18"/>
      <c r="BOR266" s="18"/>
      <c r="BOS266" s="18"/>
      <c r="BOT266" s="18"/>
      <c r="BOU266" s="18"/>
      <c r="BOV266" s="18"/>
      <c r="BOW266" s="18"/>
      <c r="BOX266" s="18"/>
      <c r="BOY266" s="18"/>
      <c r="BOZ266" s="18"/>
      <c r="BPA266" s="18"/>
      <c r="BPB266" s="18"/>
      <c r="BPC266" s="18"/>
      <c r="BPD266" s="18"/>
      <c r="BPE266" s="18"/>
      <c r="BPF266" s="18"/>
      <c r="BPG266" s="18"/>
      <c r="BPH266" s="18"/>
      <c r="BPI266" s="18"/>
      <c r="BPJ266" s="18"/>
      <c r="BPK266" s="18"/>
      <c r="BPL266" s="18"/>
      <c r="BPM266" s="18"/>
      <c r="BPN266" s="18"/>
      <c r="BPO266" s="18"/>
      <c r="BPP266" s="18"/>
      <c r="BPQ266" s="18"/>
      <c r="BPR266" s="18"/>
      <c r="BPS266" s="18"/>
      <c r="BPT266" s="18"/>
      <c r="BPU266" s="18"/>
      <c r="BPV266" s="18"/>
      <c r="BPW266" s="18"/>
      <c r="BPX266" s="18"/>
      <c r="BPY266" s="18"/>
      <c r="BPZ266" s="18"/>
      <c r="BQA266" s="18"/>
      <c r="BQB266" s="18"/>
      <c r="BQC266" s="18"/>
      <c r="BQD266" s="18"/>
      <c r="BQE266" s="18"/>
      <c r="BQF266" s="18"/>
      <c r="BQG266" s="18"/>
      <c r="BQH266" s="18"/>
      <c r="BQI266" s="18"/>
      <c r="BQJ266" s="18"/>
      <c r="BQK266" s="18"/>
      <c r="BQL266" s="18"/>
      <c r="BQM266" s="18"/>
      <c r="BQN266" s="18"/>
      <c r="BQO266" s="18"/>
      <c r="BQP266" s="18"/>
      <c r="BQQ266" s="18"/>
      <c r="BQR266" s="18"/>
      <c r="BQS266" s="18"/>
      <c r="BQT266" s="18"/>
      <c r="BQU266" s="18"/>
      <c r="BQV266" s="18"/>
      <c r="BQW266" s="18"/>
      <c r="BQX266" s="18"/>
      <c r="BQY266" s="18"/>
      <c r="BQZ266" s="18"/>
      <c r="BRA266" s="18"/>
      <c r="BRB266" s="18"/>
      <c r="BRC266" s="18"/>
      <c r="BRD266" s="18"/>
      <c r="BRE266" s="18"/>
      <c r="BRF266" s="18"/>
      <c r="BRG266" s="18"/>
      <c r="BRH266" s="18"/>
      <c r="BRI266" s="18"/>
      <c r="BRJ266" s="18"/>
      <c r="BRK266" s="18"/>
      <c r="BRL266" s="18"/>
      <c r="BRM266" s="18"/>
      <c r="BRN266" s="18"/>
      <c r="BRO266" s="18"/>
      <c r="BRP266" s="18"/>
      <c r="BRQ266" s="18"/>
      <c r="BRR266" s="18"/>
      <c r="BRS266" s="18"/>
      <c r="BRT266" s="18"/>
      <c r="BRU266" s="18"/>
      <c r="BRV266" s="18"/>
      <c r="BRW266" s="18"/>
      <c r="BRX266" s="18"/>
      <c r="BRY266" s="18"/>
      <c r="BRZ266" s="18"/>
      <c r="BSA266" s="18"/>
      <c r="BSB266" s="18"/>
      <c r="BSC266" s="18"/>
      <c r="BSD266" s="18"/>
      <c r="BSE266" s="18"/>
      <c r="BSF266" s="18"/>
      <c r="BSG266" s="18"/>
      <c r="BSH266" s="18"/>
      <c r="BSI266" s="18"/>
      <c r="BSJ266" s="18"/>
      <c r="BSK266" s="18"/>
      <c r="BSL266" s="18"/>
      <c r="BSM266" s="18"/>
      <c r="BSN266" s="18"/>
      <c r="BSO266" s="18"/>
      <c r="BSP266" s="18"/>
      <c r="BSQ266" s="18"/>
      <c r="BSR266" s="18"/>
      <c r="BSS266" s="18"/>
      <c r="BST266" s="18"/>
      <c r="BSU266" s="18"/>
      <c r="BSV266" s="18"/>
      <c r="BSW266" s="18"/>
      <c r="BSX266" s="18"/>
      <c r="BSY266" s="18"/>
      <c r="BSZ266" s="18"/>
      <c r="BTA266" s="18"/>
      <c r="BTB266" s="18"/>
      <c r="BTC266" s="18"/>
      <c r="BTD266" s="18"/>
      <c r="BTE266" s="18"/>
      <c r="BTF266" s="18"/>
      <c r="BTG266" s="18"/>
      <c r="BTH266" s="18"/>
      <c r="BTI266" s="18"/>
    </row>
    <row r="267" spans="1:1881" s="789" customFormat="1" ht="78.75" customHeight="1" x14ac:dyDescent="0.3">
      <c r="A267" s="108">
        <v>602</v>
      </c>
      <c r="B267" s="691" t="s">
        <v>59</v>
      </c>
      <c r="C267" s="691" t="s">
        <v>529</v>
      </c>
      <c r="D267" s="107" t="s">
        <v>685</v>
      </c>
      <c r="E267" s="689" t="e">
        <f>HLOOKUP($D$2,'2020 Data(H)'!$C$1:$CR$397,262,FALSE)</f>
        <v>#N/A</v>
      </c>
      <c r="F267" s="299">
        <v>0</v>
      </c>
      <c r="G267" s="793" t="str">
        <f>IF(ISBLANK(F267),"Please do not leave blank","")</f>
        <v/>
      </c>
      <c r="H267" s="750">
        <f>IF(F267&lt;0,"Note: Number is normally positive.",)</f>
        <v>0</v>
      </c>
      <c r="I267" s="79"/>
      <c r="J267" s="595"/>
      <c r="K267" s="18"/>
      <c r="L267" s="18"/>
      <c r="M267" s="18"/>
      <c r="N267" s="301"/>
      <c r="O267" s="18"/>
      <c r="P267" s="18"/>
      <c r="Q267" s="18"/>
      <c r="R267" s="18"/>
      <c r="S267" s="18"/>
      <c r="T267" s="18"/>
      <c r="U267" s="18"/>
      <c r="V267" s="18"/>
      <c r="W267" s="18"/>
      <c r="X267" s="18"/>
      <c r="Y267" s="18"/>
      <c r="Z267" s="108"/>
      <c r="AA267" s="108"/>
      <c r="AB267" s="108"/>
      <c r="AC267" s="108"/>
      <c r="AD267" s="108"/>
      <c r="AE267" s="108"/>
      <c r="AF267" s="108"/>
      <c r="AG267" s="108"/>
      <c r="AH267" s="108"/>
      <c r="AI267" s="108"/>
      <c r="AJ267" s="108"/>
      <c r="AK267" s="108"/>
      <c r="AL267" s="108"/>
      <c r="AM267" s="108"/>
      <c r="AN267" s="108"/>
      <c r="AO267" s="108"/>
      <c r="AP267" s="108"/>
      <c r="AQ267" s="108"/>
      <c r="AR267" s="10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c r="WZ267" s="18"/>
      <c r="XA267" s="18"/>
      <c r="XB267" s="18"/>
      <c r="XC267" s="18"/>
      <c r="XD267" s="18"/>
      <c r="XE267" s="18"/>
      <c r="XF267" s="18"/>
      <c r="XG267" s="18"/>
      <c r="XH267" s="18"/>
      <c r="XI267" s="18"/>
      <c r="XJ267" s="18"/>
      <c r="XK267" s="18"/>
      <c r="XL267" s="18"/>
      <c r="XM267" s="18"/>
      <c r="XN267" s="18"/>
      <c r="XO267" s="18"/>
      <c r="XP267" s="18"/>
      <c r="XQ267" s="18"/>
      <c r="XR267" s="18"/>
      <c r="XS267" s="18"/>
      <c r="XT267" s="18"/>
      <c r="XU267" s="18"/>
      <c r="XV267" s="18"/>
      <c r="XW267" s="18"/>
      <c r="XX267" s="18"/>
      <c r="XY267" s="18"/>
      <c r="XZ267" s="18"/>
      <c r="YA267" s="18"/>
      <c r="YB267" s="18"/>
      <c r="YC267" s="18"/>
      <c r="YD267" s="18"/>
      <c r="YE267" s="18"/>
      <c r="YF267" s="18"/>
      <c r="YG267" s="18"/>
      <c r="YH267" s="18"/>
      <c r="YI267" s="18"/>
      <c r="YJ267" s="18"/>
      <c r="YK267" s="18"/>
      <c r="YL267" s="18"/>
      <c r="YM267" s="18"/>
      <c r="YN267" s="18"/>
      <c r="YO267" s="18"/>
      <c r="YP267" s="18"/>
      <c r="YQ267" s="18"/>
      <c r="YR267" s="18"/>
      <c r="YS267" s="18"/>
      <c r="YT267" s="18"/>
      <c r="YU267" s="18"/>
      <c r="YV267" s="18"/>
      <c r="YW267" s="18"/>
      <c r="YX267" s="18"/>
      <c r="YY267" s="18"/>
      <c r="YZ267" s="18"/>
      <c r="ZA267" s="18"/>
      <c r="ZB267" s="18"/>
      <c r="ZC267" s="18"/>
      <c r="ZD267" s="18"/>
      <c r="ZE267" s="18"/>
      <c r="ZF267" s="18"/>
      <c r="ZG267" s="18"/>
      <c r="ZH267" s="18"/>
      <c r="ZI267" s="18"/>
      <c r="ZJ267" s="18"/>
      <c r="ZK267" s="18"/>
      <c r="ZL267" s="18"/>
      <c r="ZM267" s="18"/>
      <c r="ZN267" s="18"/>
      <c r="ZO267" s="18"/>
      <c r="ZP267" s="18"/>
      <c r="ZQ267" s="18"/>
      <c r="ZR267" s="18"/>
      <c r="ZS267" s="18"/>
      <c r="ZT267" s="18"/>
      <c r="ZU267" s="18"/>
      <c r="ZV267" s="18"/>
      <c r="ZW267" s="18"/>
      <c r="ZX267" s="18"/>
      <c r="ZY267" s="18"/>
      <c r="ZZ267" s="18"/>
      <c r="AAA267" s="18"/>
      <c r="AAB267" s="18"/>
      <c r="AAC267" s="18"/>
      <c r="AAD267" s="18"/>
      <c r="AAE267" s="18"/>
      <c r="AAF267" s="18"/>
      <c r="AAG267" s="18"/>
      <c r="AAH267" s="18"/>
      <c r="AAI267" s="18"/>
      <c r="AAJ267" s="18"/>
      <c r="AAK267" s="18"/>
      <c r="AAL267" s="18"/>
      <c r="AAM267" s="18"/>
      <c r="AAN267" s="18"/>
      <c r="AAO267" s="18"/>
      <c r="AAP267" s="18"/>
      <c r="AAQ267" s="18"/>
      <c r="AAR267" s="18"/>
      <c r="AAS267" s="18"/>
      <c r="AAT267" s="18"/>
      <c r="AAU267" s="18"/>
      <c r="AAV267" s="18"/>
      <c r="AAW267" s="18"/>
      <c r="AAX267" s="18"/>
      <c r="AAY267" s="18"/>
      <c r="AAZ267" s="18"/>
      <c r="ABA267" s="18"/>
      <c r="ABB267" s="18"/>
      <c r="ABC267" s="18"/>
      <c r="ABD267" s="18"/>
      <c r="ABE267" s="18"/>
      <c r="ABF267" s="18"/>
      <c r="ABG267" s="18"/>
      <c r="ABH267" s="18"/>
      <c r="ABI267" s="18"/>
      <c r="ABJ267" s="18"/>
      <c r="ABK267" s="18"/>
      <c r="ABL267" s="18"/>
      <c r="ABM267" s="18"/>
      <c r="ABN267" s="18"/>
      <c r="ABO267" s="18"/>
      <c r="ABP267" s="18"/>
      <c r="ABQ267" s="18"/>
      <c r="ABR267" s="18"/>
      <c r="ABS267" s="18"/>
      <c r="ABT267" s="18"/>
      <c r="ABU267" s="18"/>
      <c r="ABV267" s="18"/>
      <c r="ABW267" s="18"/>
      <c r="ABX267" s="18"/>
      <c r="ABY267" s="18"/>
      <c r="ABZ267" s="18"/>
      <c r="ACA267" s="18"/>
      <c r="ACB267" s="18"/>
      <c r="ACC267" s="18"/>
      <c r="ACD267" s="18"/>
      <c r="ACE267" s="18"/>
      <c r="ACF267" s="18"/>
      <c r="ACG267" s="18"/>
      <c r="ACH267" s="18"/>
      <c r="ACI267" s="18"/>
      <c r="ACJ267" s="18"/>
      <c r="ACK267" s="18"/>
      <c r="ACL267" s="18"/>
      <c r="ACM267" s="18"/>
      <c r="ACN267" s="18"/>
      <c r="ACO267" s="18"/>
      <c r="ACP267" s="18"/>
      <c r="ACQ267" s="18"/>
      <c r="ACR267" s="18"/>
      <c r="ACS267" s="18"/>
      <c r="ACT267" s="18"/>
      <c r="ACU267" s="18"/>
      <c r="ACV267" s="18"/>
      <c r="ACW267" s="18"/>
      <c r="ACX267" s="18"/>
      <c r="ACY267" s="18"/>
      <c r="ACZ267" s="18"/>
      <c r="ADA267" s="18"/>
      <c r="ADB267" s="18"/>
      <c r="ADC267" s="18"/>
      <c r="ADD267" s="18"/>
      <c r="ADE267" s="18"/>
      <c r="ADF267" s="18"/>
      <c r="ADG267" s="18"/>
      <c r="ADH267" s="18"/>
      <c r="ADI267" s="18"/>
      <c r="ADJ267" s="18"/>
      <c r="ADK267" s="18"/>
      <c r="ADL267" s="18"/>
      <c r="ADM267" s="18"/>
      <c r="ADN267" s="18"/>
      <c r="ADO267" s="18"/>
      <c r="ADP267" s="18"/>
      <c r="ADQ267" s="18"/>
      <c r="ADR267" s="18"/>
      <c r="ADS267" s="18"/>
      <c r="ADT267" s="18"/>
      <c r="ADU267" s="18"/>
      <c r="ADV267" s="18"/>
      <c r="ADW267" s="18"/>
      <c r="ADX267" s="18"/>
      <c r="ADY267" s="18"/>
      <c r="ADZ267" s="18"/>
      <c r="AEA267" s="18"/>
      <c r="AEB267" s="18"/>
      <c r="AEC267" s="18"/>
      <c r="AED267" s="18"/>
      <c r="AEE267" s="18"/>
      <c r="AEF267" s="18"/>
      <c r="AEG267" s="18"/>
      <c r="AEH267" s="18"/>
      <c r="AEI267" s="18"/>
      <c r="AEJ267" s="18"/>
      <c r="AEK267" s="18"/>
      <c r="AEL267" s="18"/>
      <c r="AEM267" s="18"/>
      <c r="AEN267" s="18"/>
      <c r="AEO267" s="18"/>
      <c r="AEP267" s="18"/>
      <c r="AEQ267" s="18"/>
      <c r="AER267" s="18"/>
      <c r="AES267" s="18"/>
      <c r="AET267" s="18"/>
      <c r="AEU267" s="18"/>
      <c r="AEV267" s="18"/>
      <c r="AEW267" s="18"/>
      <c r="AEX267" s="18"/>
      <c r="AEY267" s="18"/>
      <c r="AEZ267" s="18"/>
      <c r="AFA267" s="18"/>
      <c r="AFB267" s="18"/>
      <c r="AFC267" s="18"/>
      <c r="AFD267" s="18"/>
      <c r="AFE267" s="18"/>
      <c r="AFF267" s="18"/>
      <c r="AFG267" s="18"/>
      <c r="AFH267" s="18"/>
      <c r="AFI267" s="18"/>
      <c r="AFJ267" s="18"/>
      <c r="AFK267" s="18"/>
      <c r="AFL267" s="18"/>
      <c r="AFM267" s="18"/>
      <c r="AFN267" s="18"/>
      <c r="AFO267" s="18"/>
      <c r="AFP267" s="18"/>
      <c r="AFQ267" s="18"/>
      <c r="AFR267" s="18"/>
      <c r="AFS267" s="18"/>
      <c r="AFT267" s="18"/>
      <c r="AFU267" s="18"/>
      <c r="AFV267" s="18"/>
      <c r="AFW267" s="18"/>
      <c r="AFX267" s="18"/>
      <c r="AFY267" s="18"/>
      <c r="AFZ267" s="18"/>
      <c r="AGA267" s="18"/>
      <c r="AGB267" s="18"/>
      <c r="AGC267" s="18"/>
      <c r="AGD267" s="18"/>
      <c r="AGE267" s="18"/>
      <c r="AGF267" s="18"/>
      <c r="AGG267" s="18"/>
      <c r="AGH267" s="18"/>
      <c r="AGI267" s="18"/>
      <c r="AGJ267" s="18"/>
      <c r="AGK267" s="18"/>
      <c r="AGL267" s="18"/>
      <c r="AGM267" s="18"/>
      <c r="AGN267" s="18"/>
      <c r="AGO267" s="18"/>
      <c r="AGP267" s="18"/>
      <c r="AGQ267" s="18"/>
      <c r="AGR267" s="18"/>
      <c r="AGS267" s="18"/>
      <c r="AGT267" s="18"/>
      <c r="AGU267" s="18"/>
      <c r="AGV267" s="18"/>
      <c r="AGW267" s="18"/>
      <c r="AGX267" s="18"/>
      <c r="AGY267" s="18"/>
      <c r="AGZ267" s="18"/>
      <c r="AHA267" s="18"/>
      <c r="AHB267" s="18"/>
      <c r="AHC267" s="18"/>
      <c r="AHD267" s="18"/>
      <c r="AHE267" s="18"/>
      <c r="AHF267" s="18"/>
      <c r="AHG267" s="18"/>
      <c r="AHH267" s="18"/>
      <c r="AHI267" s="18"/>
      <c r="AHJ267" s="18"/>
      <c r="AHK267" s="18"/>
      <c r="AHL267" s="18"/>
      <c r="AHM267" s="18"/>
      <c r="AHN267" s="18"/>
      <c r="AHO267" s="18"/>
      <c r="AHP267" s="18"/>
      <c r="AHQ267" s="18"/>
      <c r="AHR267" s="18"/>
      <c r="AHS267" s="18"/>
      <c r="AHT267" s="18"/>
      <c r="AHU267" s="18"/>
      <c r="AHV267" s="18"/>
      <c r="AHW267" s="18"/>
      <c r="AHX267" s="18"/>
      <c r="AHY267" s="18"/>
      <c r="AHZ267" s="18"/>
      <c r="AIA267" s="18"/>
      <c r="AIB267" s="18"/>
      <c r="AIC267" s="18"/>
      <c r="AID267" s="18"/>
      <c r="AIE267" s="18"/>
      <c r="AIF267" s="18"/>
      <c r="AIG267" s="18"/>
      <c r="AIH267" s="18"/>
      <c r="AII267" s="18"/>
      <c r="AIJ267" s="18"/>
      <c r="AIK267" s="18"/>
      <c r="AIL267" s="18"/>
      <c r="AIM267" s="18"/>
      <c r="AIN267" s="18"/>
      <c r="AIO267" s="18"/>
      <c r="AIP267" s="18"/>
      <c r="AIQ267" s="18"/>
      <c r="AIR267" s="18"/>
      <c r="AIS267" s="18"/>
      <c r="AIT267" s="18"/>
      <c r="AIU267" s="18"/>
      <c r="AIV267" s="18"/>
      <c r="AIW267" s="18"/>
      <c r="AIX267" s="18"/>
      <c r="AIY267" s="18"/>
      <c r="AIZ267" s="18"/>
      <c r="AJA267" s="18"/>
      <c r="AJB267" s="18"/>
      <c r="AJC267" s="18"/>
      <c r="AJD267" s="18"/>
      <c r="AJE267" s="18"/>
      <c r="AJF267" s="18"/>
      <c r="AJG267" s="18"/>
      <c r="AJH267" s="18"/>
      <c r="AJI267" s="18"/>
      <c r="AJJ267" s="18"/>
      <c r="AJK267" s="18"/>
      <c r="AJL267" s="18"/>
      <c r="AJM267" s="18"/>
      <c r="AJN267" s="18"/>
      <c r="AJO267" s="18"/>
      <c r="AJP267" s="18"/>
      <c r="AJQ267" s="18"/>
      <c r="AJR267" s="18"/>
      <c r="AJS267" s="18"/>
      <c r="AJT267" s="18"/>
      <c r="AJU267" s="18"/>
      <c r="AJV267" s="18"/>
      <c r="AJW267" s="18"/>
      <c r="AJX267" s="18"/>
      <c r="AJY267" s="18"/>
      <c r="AJZ267" s="18"/>
      <c r="AKA267" s="18"/>
      <c r="AKB267" s="18"/>
      <c r="AKC267" s="18"/>
      <c r="AKD267" s="18"/>
      <c r="AKE267" s="18"/>
      <c r="AKF267" s="18"/>
      <c r="AKG267" s="18"/>
      <c r="AKH267" s="18"/>
      <c r="AKI267" s="18"/>
      <c r="AKJ267" s="18"/>
      <c r="AKK267" s="18"/>
      <c r="AKL267" s="18"/>
      <c r="AKM267" s="18"/>
      <c r="AKN267" s="18"/>
      <c r="AKO267" s="18"/>
      <c r="AKP267" s="18"/>
      <c r="AKQ267" s="18"/>
      <c r="AKR267" s="18"/>
      <c r="AKS267" s="18"/>
      <c r="AKT267" s="18"/>
      <c r="AKU267" s="18"/>
      <c r="AKV267" s="18"/>
      <c r="AKW267" s="18"/>
      <c r="AKX267" s="18"/>
      <c r="AKY267" s="18"/>
      <c r="AKZ267" s="18"/>
      <c r="ALA267" s="18"/>
      <c r="ALB267" s="18"/>
      <c r="ALC267" s="18"/>
      <c r="ALD267" s="18"/>
      <c r="ALE267" s="18"/>
      <c r="ALF267" s="18"/>
      <c r="ALG267" s="18"/>
      <c r="ALH267" s="18"/>
      <c r="ALI267" s="18"/>
      <c r="ALJ267" s="18"/>
      <c r="ALK267" s="18"/>
      <c r="ALL267" s="18"/>
      <c r="ALM267" s="18"/>
      <c r="ALN267" s="18"/>
      <c r="ALO267" s="18"/>
      <c r="ALP267" s="18"/>
      <c r="ALQ267" s="18"/>
      <c r="ALR267" s="18"/>
      <c r="ALS267" s="18"/>
      <c r="ALT267" s="18"/>
      <c r="ALU267" s="18"/>
      <c r="ALV267" s="18"/>
      <c r="ALW267" s="18"/>
      <c r="ALX267" s="18"/>
      <c r="ALY267" s="18"/>
      <c r="ALZ267" s="18"/>
      <c r="AMA267" s="18"/>
      <c r="AMB267" s="18"/>
      <c r="AMC267" s="18"/>
      <c r="AMD267" s="18"/>
      <c r="AME267" s="18"/>
      <c r="AMF267" s="18"/>
      <c r="AMG267" s="18"/>
      <c r="AMH267" s="18"/>
      <c r="AMI267" s="18"/>
      <c r="AMJ267" s="18"/>
      <c r="AMK267" s="18"/>
      <c r="AML267" s="18"/>
      <c r="AMM267" s="18"/>
      <c r="AMN267" s="18"/>
      <c r="AMO267" s="18"/>
      <c r="AMP267" s="18"/>
      <c r="AMQ267" s="18"/>
      <c r="AMR267" s="18"/>
      <c r="AMS267" s="18"/>
      <c r="AMT267" s="18"/>
      <c r="AMU267" s="18"/>
      <c r="AMV267" s="18"/>
      <c r="AMW267" s="18"/>
      <c r="AMX267" s="18"/>
      <c r="AMY267" s="18"/>
      <c r="AMZ267" s="18"/>
      <c r="ANA267" s="18"/>
      <c r="ANB267" s="18"/>
      <c r="ANC267" s="18"/>
      <c r="AND267" s="18"/>
      <c r="ANE267" s="18"/>
      <c r="ANF267" s="18"/>
      <c r="ANG267" s="18"/>
      <c r="ANH267" s="18"/>
      <c r="ANI267" s="18"/>
      <c r="ANJ267" s="18"/>
      <c r="ANK267" s="18"/>
      <c r="ANL267" s="18"/>
      <c r="ANM267" s="18"/>
      <c r="ANN267" s="18"/>
      <c r="ANO267" s="18"/>
      <c r="ANP267" s="18"/>
      <c r="ANQ267" s="18"/>
      <c r="ANR267" s="18"/>
      <c r="ANS267" s="18"/>
      <c r="ANT267" s="18"/>
      <c r="ANU267" s="18"/>
      <c r="ANV267" s="18"/>
      <c r="ANW267" s="18"/>
      <c r="ANX267" s="18"/>
      <c r="ANY267" s="18"/>
      <c r="ANZ267" s="18"/>
      <c r="AOA267" s="18"/>
      <c r="AOB267" s="18"/>
      <c r="AOC267" s="18"/>
      <c r="AOD267" s="18"/>
      <c r="AOE267" s="18"/>
      <c r="AOF267" s="18"/>
      <c r="AOG267" s="18"/>
      <c r="AOH267" s="18"/>
      <c r="AOI267" s="18"/>
      <c r="AOJ267" s="18"/>
      <c r="AOK267" s="18"/>
      <c r="AOL267" s="18"/>
      <c r="AOM267" s="18"/>
      <c r="AON267" s="18"/>
      <c r="AOO267" s="18"/>
      <c r="AOP267" s="18"/>
      <c r="AOQ267" s="18"/>
      <c r="AOR267" s="18"/>
      <c r="AOS267" s="18"/>
      <c r="AOT267" s="18"/>
      <c r="AOU267" s="18"/>
      <c r="AOV267" s="18"/>
      <c r="AOW267" s="18"/>
      <c r="AOX267" s="18"/>
      <c r="AOY267" s="18"/>
      <c r="AOZ267" s="18"/>
      <c r="APA267" s="18"/>
      <c r="APB267" s="18"/>
      <c r="APC267" s="18"/>
      <c r="APD267" s="18"/>
      <c r="APE267" s="18"/>
      <c r="APF267" s="18"/>
      <c r="APG267" s="18"/>
      <c r="APH267" s="18"/>
      <c r="API267" s="18"/>
      <c r="APJ267" s="18"/>
      <c r="APK267" s="18"/>
      <c r="APL267" s="18"/>
      <c r="APM267" s="18"/>
      <c r="APN267" s="18"/>
      <c r="APO267" s="18"/>
      <c r="APP267" s="18"/>
      <c r="APQ267" s="18"/>
      <c r="APR267" s="18"/>
      <c r="APS267" s="18"/>
      <c r="APT267" s="18"/>
      <c r="APU267" s="18"/>
      <c r="APV267" s="18"/>
      <c r="APW267" s="18"/>
      <c r="APX267" s="18"/>
      <c r="APY267" s="18"/>
      <c r="APZ267" s="18"/>
      <c r="AQA267" s="18"/>
      <c r="AQB267" s="18"/>
      <c r="AQC267" s="18"/>
      <c r="AQD267" s="18"/>
      <c r="AQE267" s="18"/>
      <c r="AQF267" s="18"/>
      <c r="AQG267" s="18"/>
      <c r="AQH267" s="18"/>
      <c r="AQI267" s="18"/>
      <c r="AQJ267" s="18"/>
      <c r="AQK267" s="18"/>
      <c r="AQL267" s="18"/>
      <c r="AQM267" s="18"/>
      <c r="AQN267" s="18"/>
      <c r="AQO267" s="18"/>
      <c r="AQP267" s="18"/>
      <c r="AQQ267" s="18"/>
      <c r="AQR267" s="18"/>
      <c r="AQS267" s="18"/>
      <c r="AQT267" s="18"/>
      <c r="AQU267" s="18"/>
      <c r="AQV267" s="18"/>
      <c r="AQW267" s="18"/>
      <c r="AQX267" s="18"/>
      <c r="AQY267" s="18"/>
      <c r="AQZ267" s="18"/>
      <c r="ARA267" s="18"/>
      <c r="ARB267" s="18"/>
      <c r="ARC267" s="18"/>
      <c r="ARD267" s="18"/>
      <c r="ARE267" s="18"/>
      <c r="ARF267" s="18"/>
      <c r="ARG267" s="18"/>
      <c r="ARH267" s="18"/>
      <c r="ARI267" s="18"/>
      <c r="ARJ267" s="18"/>
      <c r="ARK267" s="18"/>
      <c r="ARL267" s="18"/>
      <c r="ARM267" s="18"/>
      <c r="ARN267" s="18"/>
      <c r="ARO267" s="18"/>
      <c r="ARP267" s="18"/>
      <c r="ARQ267" s="18"/>
      <c r="ARR267" s="18"/>
      <c r="ARS267" s="18"/>
      <c r="ART267" s="18"/>
      <c r="ARU267" s="18"/>
      <c r="ARV267" s="18"/>
      <c r="ARW267" s="18"/>
      <c r="ARX267" s="18"/>
      <c r="ARY267" s="18"/>
      <c r="ARZ267" s="18"/>
      <c r="ASA267" s="18"/>
      <c r="ASB267" s="18"/>
      <c r="ASC267" s="18"/>
      <c r="ASD267" s="18"/>
      <c r="ASE267" s="18"/>
      <c r="ASF267" s="18"/>
      <c r="ASG267" s="18"/>
      <c r="ASH267" s="18"/>
      <c r="ASI267" s="18"/>
      <c r="ASJ267" s="18"/>
      <c r="ASK267" s="18"/>
      <c r="ASL267" s="18"/>
      <c r="ASM267" s="18"/>
      <c r="ASN267" s="18"/>
      <c r="ASO267" s="18"/>
      <c r="ASP267" s="18"/>
      <c r="ASQ267" s="18"/>
      <c r="ASR267" s="18"/>
      <c r="ASS267" s="18"/>
      <c r="AST267" s="18"/>
      <c r="ASU267" s="18"/>
      <c r="ASV267" s="18"/>
      <c r="ASW267" s="18"/>
      <c r="ASX267" s="18"/>
      <c r="ASY267" s="18"/>
      <c r="ASZ267" s="18"/>
      <c r="ATA267" s="18"/>
      <c r="ATB267" s="18"/>
      <c r="ATC267" s="18"/>
      <c r="ATD267" s="18"/>
      <c r="ATE267" s="18"/>
      <c r="ATF267" s="18"/>
      <c r="ATG267" s="18"/>
      <c r="ATH267" s="18"/>
      <c r="ATI267" s="18"/>
      <c r="ATJ267" s="18"/>
      <c r="ATK267" s="18"/>
      <c r="ATL267" s="18"/>
      <c r="ATM267" s="18"/>
      <c r="ATN267" s="18"/>
      <c r="ATO267" s="18"/>
      <c r="ATP267" s="18"/>
      <c r="ATQ267" s="18"/>
      <c r="ATR267" s="18"/>
      <c r="ATS267" s="18"/>
      <c r="ATT267" s="18"/>
      <c r="ATU267" s="18"/>
      <c r="ATV267" s="18"/>
      <c r="ATW267" s="18"/>
      <c r="ATX267" s="18"/>
      <c r="ATY267" s="18"/>
      <c r="ATZ267" s="18"/>
      <c r="AUA267" s="18"/>
      <c r="AUB267" s="18"/>
      <c r="AUC267" s="18"/>
      <c r="AUD267" s="18"/>
      <c r="AUE267" s="18"/>
      <c r="AUF267" s="18"/>
      <c r="AUG267" s="18"/>
      <c r="AUH267" s="18"/>
      <c r="AUI267" s="18"/>
      <c r="AUJ267" s="18"/>
      <c r="AUK267" s="18"/>
      <c r="AUL267" s="18"/>
      <c r="AUM267" s="18"/>
      <c r="AUN267" s="18"/>
      <c r="AUO267" s="18"/>
      <c r="AUP267" s="18"/>
      <c r="AUQ267" s="18"/>
      <c r="AUR267" s="18"/>
      <c r="AUS267" s="18"/>
      <c r="AUT267" s="18"/>
      <c r="AUU267" s="18"/>
      <c r="AUV267" s="18"/>
      <c r="AUW267" s="18"/>
      <c r="AUX267" s="18"/>
      <c r="AUY267" s="18"/>
      <c r="AUZ267" s="18"/>
      <c r="AVA267" s="18"/>
      <c r="AVB267" s="18"/>
      <c r="AVC267" s="18"/>
      <c r="AVD267" s="18"/>
      <c r="AVE267" s="18"/>
      <c r="AVF267" s="18"/>
      <c r="AVG267" s="18"/>
      <c r="AVH267" s="18"/>
      <c r="AVI267" s="18"/>
      <c r="AVJ267" s="18"/>
      <c r="AVK267" s="18"/>
      <c r="AVL267" s="18"/>
      <c r="AVM267" s="18"/>
      <c r="AVN267" s="18"/>
      <c r="AVO267" s="18"/>
      <c r="AVP267" s="18"/>
      <c r="AVQ267" s="18"/>
      <c r="AVR267" s="18"/>
      <c r="AVS267" s="18"/>
      <c r="AVT267" s="18"/>
      <c r="AVU267" s="18"/>
      <c r="AVV267" s="18"/>
      <c r="AVW267" s="18"/>
      <c r="AVX267" s="18"/>
      <c r="AVY267" s="18"/>
      <c r="AVZ267" s="18"/>
      <c r="AWA267" s="18"/>
      <c r="AWB267" s="18"/>
      <c r="AWC267" s="18"/>
      <c r="AWD267" s="18"/>
      <c r="AWE267" s="18"/>
      <c r="AWF267" s="18"/>
      <c r="AWG267" s="18"/>
      <c r="AWH267" s="18"/>
      <c r="AWI267" s="18"/>
      <c r="AWJ267" s="18"/>
      <c r="AWK267" s="18"/>
      <c r="AWL267" s="18"/>
      <c r="AWM267" s="18"/>
      <c r="AWN267" s="18"/>
      <c r="AWO267" s="18"/>
      <c r="AWP267" s="18"/>
      <c r="AWQ267" s="18"/>
      <c r="AWR267" s="18"/>
      <c r="AWS267" s="18"/>
      <c r="AWT267" s="18"/>
      <c r="AWU267" s="18"/>
      <c r="AWV267" s="18"/>
      <c r="AWW267" s="18"/>
      <c r="AWX267" s="18"/>
      <c r="AWY267" s="18"/>
      <c r="AWZ267" s="18"/>
      <c r="AXA267" s="18"/>
      <c r="AXB267" s="18"/>
      <c r="AXC267" s="18"/>
      <c r="AXD267" s="18"/>
      <c r="AXE267" s="18"/>
      <c r="AXF267" s="18"/>
      <c r="AXG267" s="18"/>
      <c r="AXH267" s="18"/>
      <c r="AXI267" s="18"/>
      <c r="AXJ267" s="18"/>
      <c r="AXK267" s="18"/>
      <c r="AXL267" s="18"/>
      <c r="AXM267" s="18"/>
      <c r="AXN267" s="18"/>
      <c r="AXO267" s="18"/>
      <c r="AXP267" s="18"/>
      <c r="AXQ267" s="18"/>
      <c r="AXR267" s="18"/>
      <c r="AXS267" s="18"/>
      <c r="AXT267" s="18"/>
      <c r="AXU267" s="18"/>
      <c r="AXV267" s="18"/>
      <c r="AXW267" s="18"/>
      <c r="AXX267" s="18"/>
      <c r="AXY267" s="18"/>
      <c r="AXZ267" s="18"/>
      <c r="AYA267" s="18"/>
      <c r="AYB267" s="18"/>
      <c r="AYC267" s="18"/>
      <c r="AYD267" s="18"/>
      <c r="AYE267" s="18"/>
      <c r="AYF267" s="18"/>
      <c r="AYG267" s="18"/>
      <c r="AYH267" s="18"/>
      <c r="AYI267" s="18"/>
      <c r="AYJ267" s="18"/>
      <c r="AYK267" s="18"/>
      <c r="AYL267" s="18"/>
      <c r="AYM267" s="18"/>
      <c r="AYN267" s="18"/>
      <c r="AYO267" s="18"/>
      <c r="AYP267" s="18"/>
      <c r="AYQ267" s="18"/>
      <c r="AYR267" s="18"/>
      <c r="AYS267" s="18"/>
      <c r="AYT267" s="18"/>
      <c r="AYU267" s="18"/>
      <c r="AYV267" s="18"/>
      <c r="AYW267" s="18"/>
      <c r="AYX267" s="18"/>
      <c r="AYY267" s="18"/>
      <c r="AYZ267" s="18"/>
      <c r="AZA267" s="18"/>
      <c r="AZB267" s="18"/>
      <c r="AZC267" s="18"/>
      <c r="AZD267" s="18"/>
      <c r="AZE267" s="18"/>
      <c r="AZF267" s="18"/>
      <c r="AZG267" s="18"/>
      <c r="AZH267" s="18"/>
      <c r="AZI267" s="18"/>
      <c r="AZJ267" s="18"/>
      <c r="AZK267" s="18"/>
      <c r="AZL267" s="18"/>
      <c r="AZM267" s="18"/>
      <c r="AZN267" s="18"/>
      <c r="AZO267" s="18"/>
      <c r="AZP267" s="18"/>
      <c r="AZQ267" s="18"/>
      <c r="AZR267" s="18"/>
      <c r="AZS267" s="18"/>
      <c r="AZT267" s="18"/>
      <c r="AZU267" s="18"/>
      <c r="AZV267" s="18"/>
      <c r="AZW267" s="18"/>
      <c r="AZX267" s="18"/>
      <c r="AZY267" s="18"/>
      <c r="AZZ267" s="18"/>
      <c r="BAA267" s="18"/>
      <c r="BAB267" s="18"/>
      <c r="BAC267" s="18"/>
      <c r="BAD267" s="18"/>
      <c r="BAE267" s="18"/>
      <c r="BAF267" s="18"/>
      <c r="BAG267" s="18"/>
      <c r="BAH267" s="18"/>
      <c r="BAI267" s="18"/>
      <c r="BAJ267" s="18"/>
      <c r="BAK267" s="18"/>
      <c r="BAL267" s="18"/>
      <c r="BAM267" s="18"/>
      <c r="BAN267" s="18"/>
      <c r="BAO267" s="18"/>
      <c r="BAP267" s="18"/>
      <c r="BAQ267" s="18"/>
      <c r="BAR267" s="18"/>
      <c r="BAS267" s="18"/>
      <c r="BAT267" s="18"/>
      <c r="BAU267" s="18"/>
      <c r="BAV267" s="18"/>
      <c r="BAW267" s="18"/>
      <c r="BAX267" s="18"/>
      <c r="BAY267" s="18"/>
      <c r="BAZ267" s="18"/>
      <c r="BBA267" s="18"/>
      <c r="BBB267" s="18"/>
      <c r="BBC267" s="18"/>
      <c r="BBD267" s="18"/>
      <c r="BBE267" s="18"/>
      <c r="BBF267" s="18"/>
      <c r="BBG267" s="18"/>
      <c r="BBH267" s="18"/>
      <c r="BBI267" s="18"/>
      <c r="BBJ267" s="18"/>
      <c r="BBK267" s="18"/>
      <c r="BBL267" s="18"/>
      <c r="BBM267" s="18"/>
      <c r="BBN267" s="18"/>
      <c r="BBO267" s="18"/>
      <c r="BBP267" s="18"/>
      <c r="BBQ267" s="18"/>
      <c r="BBR267" s="18"/>
      <c r="BBS267" s="18"/>
      <c r="BBT267" s="18"/>
      <c r="BBU267" s="18"/>
      <c r="BBV267" s="18"/>
      <c r="BBW267" s="18"/>
      <c r="BBX267" s="18"/>
      <c r="BBY267" s="18"/>
      <c r="BBZ267" s="18"/>
      <c r="BCA267" s="18"/>
      <c r="BCB267" s="18"/>
      <c r="BCC267" s="18"/>
      <c r="BCD267" s="18"/>
      <c r="BCE267" s="18"/>
      <c r="BCF267" s="18"/>
      <c r="BCG267" s="18"/>
      <c r="BCH267" s="18"/>
      <c r="BCI267" s="18"/>
      <c r="BCJ267" s="18"/>
      <c r="BCK267" s="18"/>
      <c r="BCL267" s="18"/>
      <c r="BCM267" s="18"/>
      <c r="BCN267" s="18"/>
      <c r="BCO267" s="18"/>
      <c r="BCP267" s="18"/>
      <c r="BCQ267" s="18"/>
      <c r="BCR267" s="18"/>
      <c r="BCS267" s="18"/>
      <c r="BCT267" s="18"/>
      <c r="BCU267" s="18"/>
      <c r="BCV267" s="18"/>
      <c r="BCW267" s="18"/>
      <c r="BCX267" s="18"/>
      <c r="BCY267" s="18"/>
      <c r="BCZ267" s="18"/>
      <c r="BDA267" s="18"/>
      <c r="BDB267" s="18"/>
      <c r="BDC267" s="18"/>
      <c r="BDD267" s="18"/>
      <c r="BDE267" s="18"/>
      <c r="BDF267" s="18"/>
      <c r="BDG267" s="18"/>
      <c r="BDH267" s="18"/>
      <c r="BDI267" s="18"/>
      <c r="BDJ267" s="18"/>
      <c r="BDK267" s="18"/>
      <c r="BDL267" s="18"/>
      <c r="BDM267" s="18"/>
      <c r="BDN267" s="18"/>
      <c r="BDO267" s="18"/>
      <c r="BDP267" s="18"/>
      <c r="BDQ267" s="18"/>
      <c r="BDR267" s="18"/>
      <c r="BDS267" s="18"/>
      <c r="BDT267" s="18"/>
      <c r="BDU267" s="18"/>
      <c r="BDV267" s="18"/>
      <c r="BDW267" s="18"/>
      <c r="BDX267" s="18"/>
      <c r="BDY267" s="18"/>
      <c r="BDZ267" s="18"/>
      <c r="BEA267" s="18"/>
      <c r="BEB267" s="18"/>
      <c r="BEC267" s="18"/>
      <c r="BED267" s="18"/>
      <c r="BEE267" s="18"/>
      <c r="BEF267" s="18"/>
      <c r="BEG267" s="18"/>
      <c r="BEH267" s="18"/>
      <c r="BEI267" s="18"/>
      <c r="BEJ267" s="18"/>
      <c r="BEK267" s="18"/>
      <c r="BEL267" s="18"/>
      <c r="BEM267" s="18"/>
      <c r="BEN267" s="18"/>
      <c r="BEO267" s="18"/>
      <c r="BEP267" s="18"/>
      <c r="BEQ267" s="18"/>
      <c r="BER267" s="18"/>
      <c r="BES267" s="18"/>
      <c r="BET267" s="18"/>
      <c r="BEU267" s="18"/>
      <c r="BEV267" s="18"/>
      <c r="BEW267" s="18"/>
      <c r="BEX267" s="18"/>
      <c r="BEY267" s="18"/>
      <c r="BEZ267" s="18"/>
      <c r="BFA267" s="18"/>
      <c r="BFB267" s="18"/>
      <c r="BFC267" s="18"/>
      <c r="BFD267" s="18"/>
      <c r="BFE267" s="18"/>
      <c r="BFF267" s="18"/>
      <c r="BFG267" s="18"/>
      <c r="BFH267" s="18"/>
      <c r="BFI267" s="18"/>
      <c r="BFJ267" s="18"/>
      <c r="BFK267" s="18"/>
      <c r="BFL267" s="18"/>
      <c r="BFM267" s="18"/>
      <c r="BFN267" s="18"/>
      <c r="BFO267" s="18"/>
      <c r="BFP267" s="18"/>
      <c r="BFQ267" s="18"/>
      <c r="BFR267" s="18"/>
      <c r="BFS267" s="18"/>
      <c r="BFT267" s="18"/>
      <c r="BFU267" s="18"/>
      <c r="BFV267" s="18"/>
      <c r="BFW267" s="18"/>
      <c r="BFX267" s="18"/>
      <c r="BFY267" s="18"/>
      <c r="BFZ267" s="18"/>
      <c r="BGA267" s="18"/>
      <c r="BGB267" s="18"/>
      <c r="BGC267" s="18"/>
      <c r="BGD267" s="18"/>
      <c r="BGE267" s="18"/>
      <c r="BGF267" s="18"/>
      <c r="BGG267" s="18"/>
      <c r="BGH267" s="18"/>
      <c r="BGI267" s="18"/>
      <c r="BGJ267" s="18"/>
      <c r="BGK267" s="18"/>
      <c r="BGL267" s="18"/>
      <c r="BGM267" s="18"/>
      <c r="BGN267" s="18"/>
      <c r="BGO267" s="18"/>
      <c r="BGP267" s="18"/>
      <c r="BGQ267" s="18"/>
      <c r="BGR267" s="18"/>
      <c r="BGS267" s="18"/>
      <c r="BGT267" s="18"/>
      <c r="BGU267" s="18"/>
      <c r="BGV267" s="18"/>
      <c r="BGW267" s="18"/>
      <c r="BGX267" s="18"/>
      <c r="BGY267" s="18"/>
      <c r="BGZ267" s="18"/>
      <c r="BHA267" s="18"/>
      <c r="BHB267" s="18"/>
      <c r="BHC267" s="18"/>
      <c r="BHD267" s="18"/>
      <c r="BHE267" s="18"/>
      <c r="BHF267" s="18"/>
      <c r="BHG267" s="18"/>
      <c r="BHH267" s="18"/>
      <c r="BHI267" s="18"/>
      <c r="BHJ267" s="18"/>
      <c r="BHK267" s="18"/>
      <c r="BHL267" s="18"/>
      <c r="BHM267" s="18"/>
      <c r="BHN267" s="18"/>
      <c r="BHO267" s="18"/>
      <c r="BHP267" s="18"/>
      <c r="BHQ267" s="18"/>
      <c r="BHR267" s="18"/>
      <c r="BHS267" s="18"/>
      <c r="BHT267" s="18"/>
      <c r="BHU267" s="18"/>
      <c r="BHV267" s="18"/>
      <c r="BHW267" s="18"/>
      <c r="BHX267" s="18"/>
      <c r="BHY267" s="18"/>
      <c r="BHZ267" s="18"/>
      <c r="BIA267" s="18"/>
      <c r="BIB267" s="18"/>
      <c r="BIC267" s="18"/>
      <c r="BID267" s="18"/>
      <c r="BIE267" s="18"/>
      <c r="BIF267" s="18"/>
      <c r="BIG267" s="18"/>
      <c r="BIH267" s="18"/>
      <c r="BII267" s="18"/>
      <c r="BIJ267" s="18"/>
      <c r="BIK267" s="18"/>
      <c r="BIL267" s="18"/>
      <c r="BIM267" s="18"/>
      <c r="BIN267" s="18"/>
      <c r="BIO267" s="18"/>
      <c r="BIP267" s="18"/>
      <c r="BIQ267" s="18"/>
      <c r="BIR267" s="18"/>
      <c r="BIS267" s="18"/>
      <c r="BIT267" s="18"/>
      <c r="BIU267" s="18"/>
      <c r="BIV267" s="18"/>
      <c r="BIW267" s="18"/>
      <c r="BIX267" s="18"/>
      <c r="BIY267" s="18"/>
      <c r="BIZ267" s="18"/>
      <c r="BJA267" s="18"/>
      <c r="BJB267" s="18"/>
      <c r="BJC267" s="18"/>
      <c r="BJD267" s="18"/>
      <c r="BJE267" s="18"/>
      <c r="BJF267" s="18"/>
      <c r="BJG267" s="18"/>
      <c r="BJH267" s="18"/>
      <c r="BJI267" s="18"/>
      <c r="BJJ267" s="18"/>
      <c r="BJK267" s="18"/>
      <c r="BJL267" s="18"/>
      <c r="BJM267" s="18"/>
      <c r="BJN267" s="18"/>
      <c r="BJO267" s="18"/>
      <c r="BJP267" s="18"/>
      <c r="BJQ267" s="18"/>
      <c r="BJR267" s="18"/>
      <c r="BJS267" s="18"/>
      <c r="BJT267" s="18"/>
      <c r="BJU267" s="18"/>
      <c r="BJV267" s="18"/>
      <c r="BJW267" s="18"/>
      <c r="BJX267" s="18"/>
      <c r="BJY267" s="18"/>
      <c r="BJZ267" s="18"/>
      <c r="BKA267" s="18"/>
      <c r="BKB267" s="18"/>
      <c r="BKC267" s="18"/>
      <c r="BKD267" s="18"/>
      <c r="BKE267" s="18"/>
      <c r="BKF267" s="18"/>
      <c r="BKG267" s="18"/>
      <c r="BKH267" s="18"/>
      <c r="BKI267" s="18"/>
      <c r="BKJ267" s="18"/>
      <c r="BKK267" s="18"/>
      <c r="BKL267" s="18"/>
      <c r="BKM267" s="18"/>
      <c r="BKN267" s="18"/>
      <c r="BKO267" s="18"/>
      <c r="BKP267" s="18"/>
      <c r="BKQ267" s="18"/>
      <c r="BKR267" s="18"/>
      <c r="BKS267" s="18"/>
      <c r="BKT267" s="18"/>
      <c r="BKU267" s="18"/>
      <c r="BKV267" s="18"/>
      <c r="BKW267" s="18"/>
      <c r="BKX267" s="18"/>
      <c r="BKY267" s="18"/>
      <c r="BKZ267" s="18"/>
      <c r="BLA267" s="18"/>
      <c r="BLB267" s="18"/>
      <c r="BLC267" s="18"/>
      <c r="BLD267" s="18"/>
      <c r="BLE267" s="18"/>
      <c r="BLF267" s="18"/>
      <c r="BLG267" s="18"/>
      <c r="BLH267" s="18"/>
      <c r="BLI267" s="18"/>
      <c r="BLJ267" s="18"/>
      <c r="BLK267" s="18"/>
      <c r="BLL267" s="18"/>
      <c r="BLM267" s="18"/>
      <c r="BLN267" s="18"/>
      <c r="BLO267" s="18"/>
      <c r="BLP267" s="18"/>
      <c r="BLQ267" s="18"/>
      <c r="BLR267" s="18"/>
      <c r="BLS267" s="18"/>
      <c r="BLT267" s="18"/>
      <c r="BLU267" s="18"/>
      <c r="BLV267" s="18"/>
      <c r="BLW267" s="18"/>
      <c r="BLX267" s="18"/>
      <c r="BLY267" s="18"/>
      <c r="BLZ267" s="18"/>
      <c r="BMA267" s="18"/>
      <c r="BMB267" s="18"/>
      <c r="BMC267" s="18"/>
      <c r="BMD267" s="18"/>
      <c r="BME267" s="18"/>
      <c r="BMF267" s="18"/>
      <c r="BMG267" s="18"/>
      <c r="BMH267" s="18"/>
      <c r="BMI267" s="18"/>
      <c r="BMJ267" s="18"/>
      <c r="BMK267" s="18"/>
      <c r="BML267" s="18"/>
      <c r="BMM267" s="18"/>
      <c r="BMN267" s="18"/>
      <c r="BMO267" s="18"/>
      <c r="BMP267" s="18"/>
      <c r="BMQ267" s="18"/>
      <c r="BMR267" s="18"/>
      <c r="BMS267" s="18"/>
      <c r="BMT267" s="18"/>
      <c r="BMU267" s="18"/>
      <c r="BMV267" s="18"/>
      <c r="BMW267" s="18"/>
      <c r="BMX267" s="18"/>
      <c r="BMY267" s="18"/>
      <c r="BMZ267" s="18"/>
      <c r="BNA267" s="18"/>
      <c r="BNB267" s="18"/>
      <c r="BNC267" s="18"/>
      <c r="BND267" s="18"/>
      <c r="BNE267" s="18"/>
      <c r="BNF267" s="18"/>
      <c r="BNG267" s="18"/>
      <c r="BNH267" s="18"/>
      <c r="BNI267" s="18"/>
      <c r="BNJ267" s="18"/>
      <c r="BNK267" s="18"/>
      <c r="BNL267" s="18"/>
      <c r="BNM267" s="18"/>
      <c r="BNN267" s="18"/>
      <c r="BNO267" s="18"/>
      <c r="BNP267" s="18"/>
      <c r="BNQ267" s="18"/>
      <c r="BNR267" s="18"/>
      <c r="BNS267" s="18"/>
      <c r="BNT267" s="18"/>
      <c r="BNU267" s="18"/>
      <c r="BNV267" s="18"/>
      <c r="BNW267" s="18"/>
      <c r="BNX267" s="18"/>
      <c r="BNY267" s="18"/>
      <c r="BNZ267" s="18"/>
      <c r="BOA267" s="18"/>
      <c r="BOB267" s="18"/>
      <c r="BOC267" s="18"/>
      <c r="BOD267" s="18"/>
      <c r="BOE267" s="18"/>
      <c r="BOF267" s="18"/>
      <c r="BOG267" s="18"/>
      <c r="BOH267" s="18"/>
      <c r="BOI267" s="18"/>
      <c r="BOJ267" s="18"/>
      <c r="BOK267" s="18"/>
      <c r="BOL267" s="18"/>
      <c r="BOM267" s="18"/>
      <c r="BON267" s="18"/>
      <c r="BOO267" s="18"/>
      <c r="BOP267" s="18"/>
      <c r="BOQ267" s="18"/>
      <c r="BOR267" s="18"/>
      <c r="BOS267" s="18"/>
      <c r="BOT267" s="18"/>
      <c r="BOU267" s="18"/>
      <c r="BOV267" s="18"/>
      <c r="BOW267" s="18"/>
      <c r="BOX267" s="18"/>
      <c r="BOY267" s="18"/>
      <c r="BOZ267" s="18"/>
      <c r="BPA267" s="18"/>
      <c r="BPB267" s="18"/>
      <c r="BPC267" s="18"/>
      <c r="BPD267" s="18"/>
      <c r="BPE267" s="18"/>
      <c r="BPF267" s="18"/>
      <c r="BPG267" s="18"/>
      <c r="BPH267" s="18"/>
      <c r="BPI267" s="18"/>
      <c r="BPJ267" s="18"/>
      <c r="BPK267" s="18"/>
      <c r="BPL267" s="18"/>
      <c r="BPM267" s="18"/>
      <c r="BPN267" s="18"/>
      <c r="BPO267" s="18"/>
      <c r="BPP267" s="18"/>
      <c r="BPQ267" s="18"/>
      <c r="BPR267" s="18"/>
      <c r="BPS267" s="18"/>
      <c r="BPT267" s="18"/>
      <c r="BPU267" s="18"/>
      <c r="BPV267" s="18"/>
      <c r="BPW267" s="18"/>
      <c r="BPX267" s="18"/>
      <c r="BPY267" s="18"/>
      <c r="BPZ267" s="18"/>
      <c r="BQA267" s="18"/>
      <c r="BQB267" s="18"/>
      <c r="BQC267" s="18"/>
      <c r="BQD267" s="18"/>
      <c r="BQE267" s="18"/>
      <c r="BQF267" s="18"/>
      <c r="BQG267" s="18"/>
      <c r="BQH267" s="18"/>
      <c r="BQI267" s="18"/>
      <c r="BQJ267" s="18"/>
      <c r="BQK267" s="18"/>
      <c r="BQL267" s="18"/>
      <c r="BQM267" s="18"/>
      <c r="BQN267" s="18"/>
      <c r="BQO267" s="18"/>
      <c r="BQP267" s="18"/>
      <c r="BQQ267" s="18"/>
      <c r="BQR267" s="18"/>
      <c r="BQS267" s="18"/>
      <c r="BQT267" s="18"/>
      <c r="BQU267" s="18"/>
      <c r="BQV267" s="18"/>
      <c r="BQW267" s="18"/>
      <c r="BQX267" s="18"/>
      <c r="BQY267" s="18"/>
      <c r="BQZ267" s="18"/>
      <c r="BRA267" s="18"/>
      <c r="BRB267" s="18"/>
      <c r="BRC267" s="18"/>
      <c r="BRD267" s="18"/>
      <c r="BRE267" s="18"/>
      <c r="BRF267" s="18"/>
      <c r="BRG267" s="18"/>
      <c r="BRH267" s="18"/>
      <c r="BRI267" s="18"/>
      <c r="BRJ267" s="18"/>
      <c r="BRK267" s="18"/>
      <c r="BRL267" s="18"/>
      <c r="BRM267" s="18"/>
      <c r="BRN267" s="18"/>
      <c r="BRO267" s="18"/>
      <c r="BRP267" s="18"/>
      <c r="BRQ267" s="18"/>
      <c r="BRR267" s="18"/>
      <c r="BRS267" s="18"/>
      <c r="BRT267" s="18"/>
      <c r="BRU267" s="18"/>
      <c r="BRV267" s="18"/>
      <c r="BRW267" s="18"/>
      <c r="BRX267" s="18"/>
      <c r="BRY267" s="18"/>
      <c r="BRZ267" s="18"/>
      <c r="BSA267" s="18"/>
      <c r="BSB267" s="18"/>
      <c r="BSC267" s="18"/>
      <c r="BSD267" s="18"/>
      <c r="BSE267" s="18"/>
      <c r="BSF267" s="18"/>
      <c r="BSG267" s="18"/>
      <c r="BSH267" s="18"/>
      <c r="BSI267" s="18"/>
      <c r="BSJ267" s="18"/>
      <c r="BSK267" s="18"/>
      <c r="BSL267" s="18"/>
      <c r="BSM267" s="18"/>
      <c r="BSN267" s="18"/>
      <c r="BSO267" s="18"/>
      <c r="BSP267" s="18"/>
      <c r="BSQ267" s="18"/>
      <c r="BSR267" s="18"/>
      <c r="BSS267" s="18"/>
      <c r="BST267" s="18"/>
      <c r="BSU267" s="18"/>
      <c r="BSV267" s="18"/>
      <c r="BSW267" s="18"/>
      <c r="BSX267" s="18"/>
      <c r="BSY267" s="18"/>
      <c r="BSZ267" s="18"/>
      <c r="BTA267" s="18"/>
      <c r="BTB267" s="18"/>
      <c r="BTC267" s="18"/>
      <c r="BTD267" s="18"/>
      <c r="BTE267" s="18"/>
      <c r="BTF267" s="18"/>
      <c r="BTG267" s="18"/>
      <c r="BTH267" s="18"/>
      <c r="BTI267" s="18"/>
    </row>
    <row r="268" spans="1:1881" s="789" customFormat="1" ht="90" customHeight="1" x14ac:dyDescent="0.3">
      <c r="A268" s="108">
        <v>619</v>
      </c>
      <c r="B268" s="691" t="s">
        <v>59</v>
      </c>
      <c r="C268" s="691" t="s">
        <v>700</v>
      </c>
      <c r="D268" s="94" t="s">
        <v>711</v>
      </c>
      <c r="E268" s="35" t="e">
        <f>HLOOKUP($D$2,'2020 Data(H)'!$C$1:$CR$397,279,FALSE)</f>
        <v>#N/A</v>
      </c>
      <c r="F268" s="919">
        <v>0</v>
      </c>
      <c r="G268" s="793" t="str">
        <f>IF(ISBLANK(F268),"Please do not leave blank ",IF(F268=H268,"","Please review percentage"))</f>
        <v/>
      </c>
      <c r="H268" s="794">
        <f>ROUND(IFERROR((F267/F266)*100,0),1)</f>
        <v>0</v>
      </c>
      <c r="I268" s="301"/>
      <c r="J268" s="18"/>
      <c r="K268" s="18"/>
      <c r="L268" s="18"/>
      <c r="M268" s="18"/>
      <c r="N268" s="301"/>
      <c r="O268" s="18"/>
      <c r="P268" s="18"/>
      <c r="Q268" s="18"/>
      <c r="R268" s="18"/>
      <c r="S268" s="18"/>
      <c r="T268" s="18"/>
      <c r="U268" s="18"/>
      <c r="V268" s="18"/>
      <c r="W268" s="18"/>
      <c r="X268" s="18"/>
      <c r="Y268" s="18"/>
      <c r="Z268" s="108"/>
      <c r="AA268" s="108"/>
      <c r="AB268" s="108"/>
      <c r="AC268" s="108"/>
      <c r="AD268" s="108"/>
      <c r="AE268" s="108"/>
      <c r="AF268" s="108"/>
      <c r="AG268" s="108"/>
      <c r="AH268" s="108"/>
      <c r="AI268" s="108"/>
      <c r="AJ268" s="108"/>
      <c r="AK268" s="108"/>
      <c r="AL268" s="108"/>
      <c r="AM268" s="108"/>
      <c r="AN268" s="108"/>
      <c r="AO268" s="108"/>
      <c r="AP268" s="108"/>
      <c r="AQ268" s="108"/>
      <c r="AR268" s="10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c r="WZ268" s="18"/>
      <c r="XA268" s="18"/>
      <c r="XB268" s="18"/>
      <c r="XC268" s="18"/>
      <c r="XD268" s="18"/>
      <c r="XE268" s="18"/>
      <c r="XF268" s="18"/>
      <c r="XG268" s="18"/>
      <c r="XH268" s="18"/>
      <c r="XI268" s="18"/>
      <c r="XJ268" s="18"/>
      <c r="XK268" s="18"/>
      <c r="XL268" s="18"/>
      <c r="XM268" s="18"/>
      <c r="XN268" s="18"/>
      <c r="XO268" s="18"/>
      <c r="XP268" s="18"/>
      <c r="XQ268" s="18"/>
      <c r="XR268" s="18"/>
      <c r="XS268" s="18"/>
      <c r="XT268" s="18"/>
      <c r="XU268" s="18"/>
      <c r="XV268" s="18"/>
      <c r="XW268" s="18"/>
      <c r="XX268" s="18"/>
      <c r="XY268" s="18"/>
      <c r="XZ268" s="18"/>
      <c r="YA268" s="18"/>
      <c r="YB268" s="18"/>
      <c r="YC268" s="18"/>
      <c r="YD268" s="18"/>
      <c r="YE268" s="18"/>
      <c r="YF268" s="18"/>
      <c r="YG268" s="18"/>
      <c r="YH268" s="18"/>
      <c r="YI268" s="18"/>
      <c r="YJ268" s="18"/>
      <c r="YK268" s="18"/>
      <c r="YL268" s="18"/>
      <c r="YM268" s="18"/>
      <c r="YN268" s="18"/>
      <c r="YO268" s="18"/>
      <c r="YP268" s="18"/>
      <c r="YQ268" s="18"/>
      <c r="YR268" s="18"/>
      <c r="YS268" s="18"/>
      <c r="YT268" s="18"/>
      <c r="YU268" s="18"/>
      <c r="YV268" s="18"/>
      <c r="YW268" s="18"/>
      <c r="YX268" s="18"/>
      <c r="YY268" s="18"/>
      <c r="YZ268" s="18"/>
      <c r="ZA268" s="18"/>
      <c r="ZB268" s="18"/>
      <c r="ZC268" s="18"/>
      <c r="ZD268" s="18"/>
      <c r="ZE268" s="18"/>
      <c r="ZF268" s="18"/>
      <c r="ZG268" s="18"/>
      <c r="ZH268" s="18"/>
      <c r="ZI268" s="18"/>
      <c r="ZJ268" s="18"/>
      <c r="ZK268" s="18"/>
      <c r="ZL268" s="18"/>
      <c r="ZM268" s="18"/>
      <c r="ZN268" s="18"/>
      <c r="ZO268" s="18"/>
      <c r="ZP268" s="18"/>
      <c r="ZQ268" s="18"/>
      <c r="ZR268" s="18"/>
      <c r="ZS268" s="18"/>
      <c r="ZT268" s="18"/>
      <c r="ZU268" s="18"/>
      <c r="ZV268" s="18"/>
      <c r="ZW268" s="18"/>
      <c r="ZX268" s="18"/>
      <c r="ZY268" s="18"/>
      <c r="ZZ268" s="18"/>
      <c r="AAA268" s="18"/>
      <c r="AAB268" s="18"/>
      <c r="AAC268" s="18"/>
      <c r="AAD268" s="18"/>
      <c r="AAE268" s="18"/>
      <c r="AAF268" s="18"/>
      <c r="AAG268" s="18"/>
      <c r="AAH268" s="18"/>
      <c r="AAI268" s="18"/>
      <c r="AAJ268" s="18"/>
      <c r="AAK268" s="18"/>
      <c r="AAL268" s="18"/>
      <c r="AAM268" s="18"/>
      <c r="AAN268" s="18"/>
      <c r="AAO268" s="18"/>
      <c r="AAP268" s="18"/>
      <c r="AAQ268" s="18"/>
      <c r="AAR268" s="18"/>
      <c r="AAS268" s="18"/>
      <c r="AAT268" s="18"/>
      <c r="AAU268" s="18"/>
      <c r="AAV268" s="18"/>
      <c r="AAW268" s="18"/>
      <c r="AAX268" s="18"/>
      <c r="AAY268" s="18"/>
      <c r="AAZ268" s="18"/>
      <c r="ABA268" s="18"/>
      <c r="ABB268" s="18"/>
      <c r="ABC268" s="18"/>
      <c r="ABD268" s="18"/>
      <c r="ABE268" s="18"/>
      <c r="ABF268" s="18"/>
      <c r="ABG268" s="18"/>
      <c r="ABH268" s="18"/>
      <c r="ABI268" s="18"/>
      <c r="ABJ268" s="18"/>
      <c r="ABK268" s="18"/>
      <c r="ABL268" s="18"/>
      <c r="ABM268" s="18"/>
      <c r="ABN268" s="18"/>
      <c r="ABO268" s="18"/>
      <c r="ABP268" s="18"/>
      <c r="ABQ268" s="18"/>
      <c r="ABR268" s="18"/>
      <c r="ABS268" s="18"/>
      <c r="ABT268" s="18"/>
      <c r="ABU268" s="18"/>
      <c r="ABV268" s="18"/>
      <c r="ABW268" s="18"/>
      <c r="ABX268" s="18"/>
      <c r="ABY268" s="18"/>
      <c r="ABZ268" s="18"/>
      <c r="ACA268" s="18"/>
      <c r="ACB268" s="18"/>
      <c r="ACC268" s="18"/>
      <c r="ACD268" s="18"/>
      <c r="ACE268" s="18"/>
      <c r="ACF268" s="18"/>
      <c r="ACG268" s="18"/>
      <c r="ACH268" s="18"/>
      <c r="ACI268" s="18"/>
      <c r="ACJ268" s="18"/>
      <c r="ACK268" s="18"/>
      <c r="ACL268" s="18"/>
      <c r="ACM268" s="18"/>
      <c r="ACN268" s="18"/>
      <c r="ACO268" s="18"/>
      <c r="ACP268" s="18"/>
      <c r="ACQ268" s="18"/>
      <c r="ACR268" s="18"/>
      <c r="ACS268" s="18"/>
      <c r="ACT268" s="18"/>
      <c r="ACU268" s="18"/>
      <c r="ACV268" s="18"/>
      <c r="ACW268" s="18"/>
      <c r="ACX268" s="18"/>
      <c r="ACY268" s="18"/>
      <c r="ACZ268" s="18"/>
      <c r="ADA268" s="18"/>
      <c r="ADB268" s="18"/>
      <c r="ADC268" s="18"/>
      <c r="ADD268" s="18"/>
      <c r="ADE268" s="18"/>
      <c r="ADF268" s="18"/>
      <c r="ADG268" s="18"/>
      <c r="ADH268" s="18"/>
      <c r="ADI268" s="18"/>
      <c r="ADJ268" s="18"/>
      <c r="ADK268" s="18"/>
      <c r="ADL268" s="18"/>
      <c r="ADM268" s="18"/>
      <c r="ADN268" s="18"/>
      <c r="ADO268" s="18"/>
      <c r="ADP268" s="18"/>
      <c r="ADQ268" s="18"/>
      <c r="ADR268" s="18"/>
      <c r="ADS268" s="18"/>
      <c r="ADT268" s="18"/>
      <c r="ADU268" s="18"/>
      <c r="ADV268" s="18"/>
      <c r="ADW268" s="18"/>
      <c r="ADX268" s="18"/>
      <c r="ADY268" s="18"/>
      <c r="ADZ268" s="18"/>
      <c r="AEA268" s="18"/>
      <c r="AEB268" s="18"/>
      <c r="AEC268" s="18"/>
      <c r="AED268" s="18"/>
      <c r="AEE268" s="18"/>
      <c r="AEF268" s="18"/>
      <c r="AEG268" s="18"/>
      <c r="AEH268" s="18"/>
      <c r="AEI268" s="18"/>
      <c r="AEJ268" s="18"/>
      <c r="AEK268" s="18"/>
      <c r="AEL268" s="18"/>
      <c r="AEM268" s="18"/>
      <c r="AEN268" s="18"/>
      <c r="AEO268" s="18"/>
      <c r="AEP268" s="18"/>
      <c r="AEQ268" s="18"/>
      <c r="AER268" s="18"/>
      <c r="AES268" s="18"/>
      <c r="AET268" s="18"/>
      <c r="AEU268" s="18"/>
      <c r="AEV268" s="18"/>
      <c r="AEW268" s="18"/>
      <c r="AEX268" s="18"/>
      <c r="AEY268" s="18"/>
      <c r="AEZ268" s="18"/>
      <c r="AFA268" s="18"/>
      <c r="AFB268" s="18"/>
      <c r="AFC268" s="18"/>
      <c r="AFD268" s="18"/>
      <c r="AFE268" s="18"/>
      <c r="AFF268" s="18"/>
      <c r="AFG268" s="18"/>
      <c r="AFH268" s="18"/>
      <c r="AFI268" s="18"/>
      <c r="AFJ268" s="18"/>
      <c r="AFK268" s="18"/>
      <c r="AFL268" s="18"/>
      <c r="AFM268" s="18"/>
      <c r="AFN268" s="18"/>
      <c r="AFO268" s="18"/>
      <c r="AFP268" s="18"/>
      <c r="AFQ268" s="18"/>
      <c r="AFR268" s="18"/>
      <c r="AFS268" s="18"/>
      <c r="AFT268" s="18"/>
      <c r="AFU268" s="18"/>
      <c r="AFV268" s="18"/>
      <c r="AFW268" s="18"/>
      <c r="AFX268" s="18"/>
      <c r="AFY268" s="18"/>
      <c r="AFZ268" s="18"/>
      <c r="AGA268" s="18"/>
      <c r="AGB268" s="18"/>
      <c r="AGC268" s="18"/>
      <c r="AGD268" s="18"/>
      <c r="AGE268" s="18"/>
      <c r="AGF268" s="18"/>
      <c r="AGG268" s="18"/>
      <c r="AGH268" s="18"/>
      <c r="AGI268" s="18"/>
      <c r="AGJ268" s="18"/>
      <c r="AGK268" s="18"/>
      <c r="AGL268" s="18"/>
      <c r="AGM268" s="18"/>
      <c r="AGN268" s="18"/>
      <c r="AGO268" s="18"/>
      <c r="AGP268" s="18"/>
      <c r="AGQ268" s="18"/>
      <c r="AGR268" s="18"/>
      <c r="AGS268" s="18"/>
      <c r="AGT268" s="18"/>
      <c r="AGU268" s="18"/>
      <c r="AGV268" s="18"/>
      <c r="AGW268" s="18"/>
      <c r="AGX268" s="18"/>
      <c r="AGY268" s="18"/>
      <c r="AGZ268" s="18"/>
      <c r="AHA268" s="18"/>
      <c r="AHB268" s="18"/>
      <c r="AHC268" s="18"/>
      <c r="AHD268" s="18"/>
      <c r="AHE268" s="18"/>
      <c r="AHF268" s="18"/>
      <c r="AHG268" s="18"/>
      <c r="AHH268" s="18"/>
      <c r="AHI268" s="18"/>
      <c r="AHJ268" s="18"/>
      <c r="AHK268" s="18"/>
      <c r="AHL268" s="18"/>
      <c r="AHM268" s="18"/>
      <c r="AHN268" s="18"/>
      <c r="AHO268" s="18"/>
      <c r="AHP268" s="18"/>
      <c r="AHQ268" s="18"/>
      <c r="AHR268" s="18"/>
      <c r="AHS268" s="18"/>
      <c r="AHT268" s="18"/>
      <c r="AHU268" s="18"/>
      <c r="AHV268" s="18"/>
      <c r="AHW268" s="18"/>
      <c r="AHX268" s="18"/>
      <c r="AHY268" s="18"/>
      <c r="AHZ268" s="18"/>
      <c r="AIA268" s="18"/>
      <c r="AIB268" s="18"/>
      <c r="AIC268" s="18"/>
      <c r="AID268" s="18"/>
      <c r="AIE268" s="18"/>
      <c r="AIF268" s="18"/>
      <c r="AIG268" s="18"/>
      <c r="AIH268" s="18"/>
      <c r="AII268" s="18"/>
      <c r="AIJ268" s="18"/>
      <c r="AIK268" s="18"/>
      <c r="AIL268" s="18"/>
      <c r="AIM268" s="18"/>
      <c r="AIN268" s="18"/>
      <c r="AIO268" s="18"/>
      <c r="AIP268" s="18"/>
      <c r="AIQ268" s="18"/>
      <c r="AIR268" s="18"/>
      <c r="AIS268" s="18"/>
      <c r="AIT268" s="18"/>
      <c r="AIU268" s="18"/>
      <c r="AIV268" s="18"/>
      <c r="AIW268" s="18"/>
      <c r="AIX268" s="18"/>
      <c r="AIY268" s="18"/>
      <c r="AIZ268" s="18"/>
      <c r="AJA268" s="18"/>
      <c r="AJB268" s="18"/>
      <c r="AJC268" s="18"/>
      <c r="AJD268" s="18"/>
      <c r="AJE268" s="18"/>
      <c r="AJF268" s="18"/>
      <c r="AJG268" s="18"/>
      <c r="AJH268" s="18"/>
      <c r="AJI268" s="18"/>
      <c r="AJJ268" s="18"/>
      <c r="AJK268" s="18"/>
      <c r="AJL268" s="18"/>
      <c r="AJM268" s="18"/>
      <c r="AJN268" s="18"/>
      <c r="AJO268" s="18"/>
      <c r="AJP268" s="18"/>
      <c r="AJQ268" s="18"/>
      <c r="AJR268" s="18"/>
      <c r="AJS268" s="18"/>
      <c r="AJT268" s="18"/>
      <c r="AJU268" s="18"/>
      <c r="AJV268" s="18"/>
      <c r="AJW268" s="18"/>
      <c r="AJX268" s="18"/>
      <c r="AJY268" s="18"/>
      <c r="AJZ268" s="18"/>
      <c r="AKA268" s="18"/>
      <c r="AKB268" s="18"/>
      <c r="AKC268" s="18"/>
      <c r="AKD268" s="18"/>
      <c r="AKE268" s="18"/>
      <c r="AKF268" s="18"/>
      <c r="AKG268" s="18"/>
      <c r="AKH268" s="18"/>
      <c r="AKI268" s="18"/>
      <c r="AKJ268" s="18"/>
      <c r="AKK268" s="18"/>
      <c r="AKL268" s="18"/>
      <c r="AKM268" s="18"/>
      <c r="AKN268" s="18"/>
      <c r="AKO268" s="18"/>
      <c r="AKP268" s="18"/>
      <c r="AKQ268" s="18"/>
      <c r="AKR268" s="18"/>
      <c r="AKS268" s="18"/>
      <c r="AKT268" s="18"/>
      <c r="AKU268" s="18"/>
      <c r="AKV268" s="18"/>
      <c r="AKW268" s="18"/>
      <c r="AKX268" s="18"/>
      <c r="AKY268" s="18"/>
      <c r="AKZ268" s="18"/>
      <c r="ALA268" s="18"/>
      <c r="ALB268" s="18"/>
      <c r="ALC268" s="18"/>
      <c r="ALD268" s="18"/>
      <c r="ALE268" s="18"/>
      <c r="ALF268" s="18"/>
      <c r="ALG268" s="18"/>
      <c r="ALH268" s="18"/>
      <c r="ALI268" s="18"/>
      <c r="ALJ268" s="18"/>
      <c r="ALK268" s="18"/>
      <c r="ALL268" s="18"/>
      <c r="ALM268" s="18"/>
      <c r="ALN268" s="18"/>
      <c r="ALO268" s="18"/>
      <c r="ALP268" s="18"/>
      <c r="ALQ268" s="18"/>
      <c r="ALR268" s="18"/>
      <c r="ALS268" s="18"/>
      <c r="ALT268" s="18"/>
      <c r="ALU268" s="18"/>
      <c r="ALV268" s="18"/>
      <c r="ALW268" s="18"/>
      <c r="ALX268" s="18"/>
      <c r="ALY268" s="18"/>
      <c r="ALZ268" s="18"/>
      <c r="AMA268" s="18"/>
      <c r="AMB268" s="18"/>
      <c r="AMC268" s="18"/>
      <c r="AMD268" s="18"/>
      <c r="AME268" s="18"/>
      <c r="AMF268" s="18"/>
      <c r="AMG268" s="18"/>
      <c r="AMH268" s="18"/>
      <c r="AMI268" s="18"/>
      <c r="AMJ268" s="18"/>
      <c r="AMK268" s="18"/>
      <c r="AML268" s="18"/>
      <c r="AMM268" s="18"/>
      <c r="AMN268" s="18"/>
      <c r="AMO268" s="18"/>
      <c r="AMP268" s="18"/>
      <c r="AMQ268" s="18"/>
      <c r="AMR268" s="18"/>
      <c r="AMS268" s="18"/>
      <c r="AMT268" s="18"/>
      <c r="AMU268" s="18"/>
      <c r="AMV268" s="18"/>
      <c r="AMW268" s="18"/>
      <c r="AMX268" s="18"/>
      <c r="AMY268" s="18"/>
      <c r="AMZ268" s="18"/>
      <c r="ANA268" s="18"/>
      <c r="ANB268" s="18"/>
      <c r="ANC268" s="18"/>
      <c r="AND268" s="18"/>
      <c r="ANE268" s="18"/>
      <c r="ANF268" s="18"/>
      <c r="ANG268" s="18"/>
      <c r="ANH268" s="18"/>
      <c r="ANI268" s="18"/>
      <c r="ANJ268" s="18"/>
      <c r="ANK268" s="18"/>
      <c r="ANL268" s="18"/>
      <c r="ANM268" s="18"/>
      <c r="ANN268" s="18"/>
      <c r="ANO268" s="18"/>
      <c r="ANP268" s="18"/>
      <c r="ANQ268" s="18"/>
      <c r="ANR268" s="18"/>
      <c r="ANS268" s="18"/>
      <c r="ANT268" s="18"/>
      <c r="ANU268" s="18"/>
      <c r="ANV268" s="18"/>
      <c r="ANW268" s="18"/>
      <c r="ANX268" s="18"/>
      <c r="ANY268" s="18"/>
      <c r="ANZ268" s="18"/>
      <c r="AOA268" s="18"/>
      <c r="AOB268" s="18"/>
      <c r="AOC268" s="18"/>
      <c r="AOD268" s="18"/>
      <c r="AOE268" s="18"/>
      <c r="AOF268" s="18"/>
      <c r="AOG268" s="18"/>
      <c r="AOH268" s="18"/>
      <c r="AOI268" s="18"/>
      <c r="AOJ268" s="18"/>
      <c r="AOK268" s="18"/>
      <c r="AOL268" s="18"/>
      <c r="AOM268" s="18"/>
      <c r="AON268" s="18"/>
      <c r="AOO268" s="18"/>
      <c r="AOP268" s="18"/>
      <c r="AOQ268" s="18"/>
      <c r="AOR268" s="18"/>
      <c r="AOS268" s="18"/>
      <c r="AOT268" s="18"/>
      <c r="AOU268" s="18"/>
      <c r="AOV268" s="18"/>
      <c r="AOW268" s="18"/>
      <c r="AOX268" s="18"/>
      <c r="AOY268" s="18"/>
      <c r="AOZ268" s="18"/>
      <c r="APA268" s="18"/>
      <c r="APB268" s="18"/>
      <c r="APC268" s="18"/>
      <c r="APD268" s="18"/>
      <c r="APE268" s="18"/>
      <c r="APF268" s="18"/>
      <c r="APG268" s="18"/>
      <c r="APH268" s="18"/>
      <c r="API268" s="18"/>
      <c r="APJ268" s="18"/>
      <c r="APK268" s="18"/>
      <c r="APL268" s="18"/>
      <c r="APM268" s="18"/>
      <c r="APN268" s="18"/>
      <c r="APO268" s="18"/>
      <c r="APP268" s="18"/>
      <c r="APQ268" s="18"/>
      <c r="APR268" s="18"/>
      <c r="APS268" s="18"/>
      <c r="APT268" s="18"/>
      <c r="APU268" s="18"/>
      <c r="APV268" s="18"/>
      <c r="APW268" s="18"/>
      <c r="APX268" s="18"/>
      <c r="APY268" s="18"/>
      <c r="APZ268" s="18"/>
      <c r="AQA268" s="18"/>
      <c r="AQB268" s="18"/>
      <c r="AQC268" s="18"/>
      <c r="AQD268" s="18"/>
      <c r="AQE268" s="18"/>
      <c r="AQF268" s="18"/>
      <c r="AQG268" s="18"/>
      <c r="AQH268" s="18"/>
      <c r="AQI268" s="18"/>
      <c r="AQJ268" s="18"/>
      <c r="AQK268" s="18"/>
      <c r="AQL268" s="18"/>
      <c r="AQM268" s="18"/>
      <c r="AQN268" s="18"/>
      <c r="AQO268" s="18"/>
      <c r="AQP268" s="18"/>
      <c r="AQQ268" s="18"/>
      <c r="AQR268" s="18"/>
      <c r="AQS268" s="18"/>
      <c r="AQT268" s="18"/>
      <c r="AQU268" s="18"/>
      <c r="AQV268" s="18"/>
      <c r="AQW268" s="18"/>
      <c r="AQX268" s="18"/>
      <c r="AQY268" s="18"/>
      <c r="AQZ268" s="18"/>
      <c r="ARA268" s="18"/>
      <c r="ARB268" s="18"/>
      <c r="ARC268" s="18"/>
      <c r="ARD268" s="18"/>
      <c r="ARE268" s="18"/>
      <c r="ARF268" s="18"/>
      <c r="ARG268" s="18"/>
      <c r="ARH268" s="18"/>
      <c r="ARI268" s="18"/>
      <c r="ARJ268" s="18"/>
      <c r="ARK268" s="18"/>
      <c r="ARL268" s="18"/>
      <c r="ARM268" s="18"/>
      <c r="ARN268" s="18"/>
      <c r="ARO268" s="18"/>
      <c r="ARP268" s="18"/>
      <c r="ARQ268" s="18"/>
      <c r="ARR268" s="18"/>
      <c r="ARS268" s="18"/>
      <c r="ART268" s="18"/>
      <c r="ARU268" s="18"/>
      <c r="ARV268" s="18"/>
      <c r="ARW268" s="18"/>
      <c r="ARX268" s="18"/>
      <c r="ARY268" s="18"/>
      <c r="ARZ268" s="18"/>
      <c r="ASA268" s="18"/>
      <c r="ASB268" s="18"/>
      <c r="ASC268" s="18"/>
      <c r="ASD268" s="18"/>
      <c r="ASE268" s="18"/>
      <c r="ASF268" s="18"/>
      <c r="ASG268" s="18"/>
      <c r="ASH268" s="18"/>
      <c r="ASI268" s="18"/>
      <c r="ASJ268" s="18"/>
      <c r="ASK268" s="18"/>
      <c r="ASL268" s="18"/>
      <c r="ASM268" s="18"/>
      <c r="ASN268" s="18"/>
      <c r="ASO268" s="18"/>
      <c r="ASP268" s="18"/>
      <c r="ASQ268" s="18"/>
      <c r="ASR268" s="18"/>
      <c r="ASS268" s="18"/>
      <c r="AST268" s="18"/>
      <c r="ASU268" s="18"/>
      <c r="ASV268" s="18"/>
      <c r="ASW268" s="18"/>
      <c r="ASX268" s="18"/>
      <c r="ASY268" s="18"/>
      <c r="ASZ268" s="18"/>
      <c r="ATA268" s="18"/>
      <c r="ATB268" s="18"/>
      <c r="ATC268" s="18"/>
      <c r="ATD268" s="18"/>
      <c r="ATE268" s="18"/>
      <c r="ATF268" s="18"/>
      <c r="ATG268" s="18"/>
      <c r="ATH268" s="18"/>
      <c r="ATI268" s="18"/>
      <c r="ATJ268" s="18"/>
      <c r="ATK268" s="18"/>
      <c r="ATL268" s="18"/>
      <c r="ATM268" s="18"/>
      <c r="ATN268" s="18"/>
      <c r="ATO268" s="18"/>
      <c r="ATP268" s="18"/>
      <c r="ATQ268" s="18"/>
      <c r="ATR268" s="18"/>
      <c r="ATS268" s="18"/>
      <c r="ATT268" s="18"/>
      <c r="ATU268" s="18"/>
      <c r="ATV268" s="18"/>
      <c r="ATW268" s="18"/>
      <c r="ATX268" s="18"/>
      <c r="ATY268" s="18"/>
      <c r="ATZ268" s="18"/>
      <c r="AUA268" s="18"/>
      <c r="AUB268" s="18"/>
      <c r="AUC268" s="18"/>
      <c r="AUD268" s="18"/>
      <c r="AUE268" s="18"/>
      <c r="AUF268" s="18"/>
      <c r="AUG268" s="18"/>
      <c r="AUH268" s="18"/>
      <c r="AUI268" s="18"/>
      <c r="AUJ268" s="18"/>
      <c r="AUK268" s="18"/>
      <c r="AUL268" s="18"/>
      <c r="AUM268" s="18"/>
      <c r="AUN268" s="18"/>
      <c r="AUO268" s="18"/>
      <c r="AUP268" s="18"/>
      <c r="AUQ268" s="18"/>
      <c r="AUR268" s="18"/>
      <c r="AUS268" s="18"/>
      <c r="AUT268" s="18"/>
      <c r="AUU268" s="18"/>
      <c r="AUV268" s="18"/>
      <c r="AUW268" s="18"/>
      <c r="AUX268" s="18"/>
      <c r="AUY268" s="18"/>
      <c r="AUZ268" s="18"/>
      <c r="AVA268" s="18"/>
      <c r="AVB268" s="18"/>
      <c r="AVC268" s="18"/>
      <c r="AVD268" s="18"/>
      <c r="AVE268" s="18"/>
      <c r="AVF268" s="18"/>
      <c r="AVG268" s="18"/>
      <c r="AVH268" s="18"/>
      <c r="AVI268" s="18"/>
      <c r="AVJ268" s="18"/>
      <c r="AVK268" s="18"/>
      <c r="AVL268" s="18"/>
      <c r="AVM268" s="18"/>
      <c r="AVN268" s="18"/>
      <c r="AVO268" s="18"/>
      <c r="AVP268" s="18"/>
      <c r="AVQ268" s="18"/>
      <c r="AVR268" s="18"/>
      <c r="AVS268" s="18"/>
      <c r="AVT268" s="18"/>
      <c r="AVU268" s="18"/>
      <c r="AVV268" s="18"/>
      <c r="AVW268" s="18"/>
      <c r="AVX268" s="18"/>
      <c r="AVY268" s="18"/>
      <c r="AVZ268" s="18"/>
      <c r="AWA268" s="18"/>
      <c r="AWB268" s="18"/>
      <c r="AWC268" s="18"/>
      <c r="AWD268" s="18"/>
      <c r="AWE268" s="18"/>
      <c r="AWF268" s="18"/>
      <c r="AWG268" s="18"/>
      <c r="AWH268" s="18"/>
      <c r="AWI268" s="18"/>
      <c r="AWJ268" s="18"/>
      <c r="AWK268" s="18"/>
      <c r="AWL268" s="18"/>
      <c r="AWM268" s="18"/>
      <c r="AWN268" s="18"/>
      <c r="AWO268" s="18"/>
      <c r="AWP268" s="18"/>
      <c r="AWQ268" s="18"/>
      <c r="AWR268" s="18"/>
      <c r="AWS268" s="18"/>
      <c r="AWT268" s="18"/>
      <c r="AWU268" s="18"/>
      <c r="AWV268" s="18"/>
      <c r="AWW268" s="18"/>
      <c r="AWX268" s="18"/>
      <c r="AWY268" s="18"/>
      <c r="AWZ268" s="18"/>
      <c r="AXA268" s="18"/>
      <c r="AXB268" s="18"/>
      <c r="AXC268" s="18"/>
      <c r="AXD268" s="18"/>
      <c r="AXE268" s="18"/>
      <c r="AXF268" s="18"/>
      <c r="AXG268" s="18"/>
      <c r="AXH268" s="18"/>
      <c r="AXI268" s="18"/>
      <c r="AXJ268" s="18"/>
      <c r="AXK268" s="18"/>
      <c r="AXL268" s="18"/>
      <c r="AXM268" s="18"/>
      <c r="AXN268" s="18"/>
      <c r="AXO268" s="18"/>
      <c r="AXP268" s="18"/>
      <c r="AXQ268" s="18"/>
      <c r="AXR268" s="18"/>
      <c r="AXS268" s="18"/>
      <c r="AXT268" s="18"/>
      <c r="AXU268" s="18"/>
      <c r="AXV268" s="18"/>
      <c r="AXW268" s="18"/>
      <c r="AXX268" s="18"/>
      <c r="AXY268" s="18"/>
      <c r="AXZ268" s="18"/>
      <c r="AYA268" s="18"/>
      <c r="AYB268" s="18"/>
      <c r="AYC268" s="18"/>
      <c r="AYD268" s="18"/>
      <c r="AYE268" s="18"/>
      <c r="AYF268" s="18"/>
      <c r="AYG268" s="18"/>
      <c r="AYH268" s="18"/>
      <c r="AYI268" s="18"/>
      <c r="AYJ268" s="18"/>
      <c r="AYK268" s="18"/>
      <c r="AYL268" s="18"/>
      <c r="AYM268" s="18"/>
      <c r="AYN268" s="18"/>
      <c r="AYO268" s="18"/>
      <c r="AYP268" s="18"/>
      <c r="AYQ268" s="18"/>
      <c r="AYR268" s="18"/>
      <c r="AYS268" s="18"/>
      <c r="AYT268" s="18"/>
      <c r="AYU268" s="18"/>
      <c r="AYV268" s="18"/>
      <c r="AYW268" s="18"/>
      <c r="AYX268" s="18"/>
      <c r="AYY268" s="18"/>
      <c r="AYZ268" s="18"/>
      <c r="AZA268" s="18"/>
      <c r="AZB268" s="18"/>
      <c r="AZC268" s="18"/>
      <c r="AZD268" s="18"/>
      <c r="AZE268" s="18"/>
      <c r="AZF268" s="18"/>
      <c r="AZG268" s="18"/>
      <c r="AZH268" s="18"/>
      <c r="AZI268" s="18"/>
      <c r="AZJ268" s="18"/>
      <c r="AZK268" s="18"/>
      <c r="AZL268" s="18"/>
      <c r="AZM268" s="18"/>
      <c r="AZN268" s="18"/>
      <c r="AZO268" s="18"/>
      <c r="AZP268" s="18"/>
      <c r="AZQ268" s="18"/>
      <c r="AZR268" s="18"/>
      <c r="AZS268" s="18"/>
      <c r="AZT268" s="18"/>
      <c r="AZU268" s="18"/>
      <c r="AZV268" s="18"/>
      <c r="AZW268" s="18"/>
      <c r="AZX268" s="18"/>
      <c r="AZY268" s="18"/>
      <c r="AZZ268" s="18"/>
      <c r="BAA268" s="18"/>
      <c r="BAB268" s="18"/>
      <c r="BAC268" s="18"/>
      <c r="BAD268" s="18"/>
      <c r="BAE268" s="18"/>
      <c r="BAF268" s="18"/>
      <c r="BAG268" s="18"/>
      <c r="BAH268" s="18"/>
      <c r="BAI268" s="18"/>
      <c r="BAJ268" s="18"/>
      <c r="BAK268" s="18"/>
      <c r="BAL268" s="18"/>
      <c r="BAM268" s="18"/>
      <c r="BAN268" s="18"/>
      <c r="BAO268" s="18"/>
      <c r="BAP268" s="18"/>
      <c r="BAQ268" s="18"/>
      <c r="BAR268" s="18"/>
      <c r="BAS268" s="18"/>
      <c r="BAT268" s="18"/>
      <c r="BAU268" s="18"/>
      <c r="BAV268" s="18"/>
      <c r="BAW268" s="18"/>
      <c r="BAX268" s="18"/>
      <c r="BAY268" s="18"/>
      <c r="BAZ268" s="18"/>
      <c r="BBA268" s="18"/>
      <c r="BBB268" s="18"/>
      <c r="BBC268" s="18"/>
      <c r="BBD268" s="18"/>
      <c r="BBE268" s="18"/>
      <c r="BBF268" s="18"/>
      <c r="BBG268" s="18"/>
      <c r="BBH268" s="18"/>
      <c r="BBI268" s="18"/>
      <c r="BBJ268" s="18"/>
      <c r="BBK268" s="18"/>
      <c r="BBL268" s="18"/>
      <c r="BBM268" s="18"/>
      <c r="BBN268" s="18"/>
      <c r="BBO268" s="18"/>
      <c r="BBP268" s="18"/>
      <c r="BBQ268" s="18"/>
      <c r="BBR268" s="18"/>
      <c r="BBS268" s="18"/>
      <c r="BBT268" s="18"/>
      <c r="BBU268" s="18"/>
      <c r="BBV268" s="18"/>
      <c r="BBW268" s="18"/>
      <c r="BBX268" s="18"/>
      <c r="BBY268" s="18"/>
      <c r="BBZ268" s="18"/>
      <c r="BCA268" s="18"/>
      <c r="BCB268" s="18"/>
      <c r="BCC268" s="18"/>
      <c r="BCD268" s="18"/>
      <c r="BCE268" s="18"/>
      <c r="BCF268" s="18"/>
      <c r="BCG268" s="18"/>
      <c r="BCH268" s="18"/>
      <c r="BCI268" s="18"/>
      <c r="BCJ268" s="18"/>
      <c r="BCK268" s="18"/>
      <c r="BCL268" s="18"/>
      <c r="BCM268" s="18"/>
      <c r="BCN268" s="18"/>
      <c r="BCO268" s="18"/>
      <c r="BCP268" s="18"/>
      <c r="BCQ268" s="18"/>
      <c r="BCR268" s="18"/>
      <c r="BCS268" s="18"/>
      <c r="BCT268" s="18"/>
      <c r="BCU268" s="18"/>
      <c r="BCV268" s="18"/>
      <c r="BCW268" s="18"/>
      <c r="BCX268" s="18"/>
      <c r="BCY268" s="18"/>
      <c r="BCZ268" s="18"/>
      <c r="BDA268" s="18"/>
      <c r="BDB268" s="18"/>
      <c r="BDC268" s="18"/>
      <c r="BDD268" s="18"/>
      <c r="BDE268" s="18"/>
      <c r="BDF268" s="18"/>
      <c r="BDG268" s="18"/>
      <c r="BDH268" s="18"/>
      <c r="BDI268" s="18"/>
      <c r="BDJ268" s="18"/>
      <c r="BDK268" s="18"/>
      <c r="BDL268" s="18"/>
      <c r="BDM268" s="18"/>
      <c r="BDN268" s="18"/>
      <c r="BDO268" s="18"/>
      <c r="BDP268" s="18"/>
      <c r="BDQ268" s="18"/>
      <c r="BDR268" s="18"/>
      <c r="BDS268" s="18"/>
      <c r="BDT268" s="18"/>
      <c r="BDU268" s="18"/>
      <c r="BDV268" s="18"/>
      <c r="BDW268" s="18"/>
      <c r="BDX268" s="18"/>
      <c r="BDY268" s="18"/>
      <c r="BDZ268" s="18"/>
      <c r="BEA268" s="18"/>
      <c r="BEB268" s="18"/>
      <c r="BEC268" s="18"/>
      <c r="BED268" s="18"/>
      <c r="BEE268" s="18"/>
      <c r="BEF268" s="18"/>
      <c r="BEG268" s="18"/>
      <c r="BEH268" s="18"/>
      <c r="BEI268" s="18"/>
      <c r="BEJ268" s="18"/>
      <c r="BEK268" s="18"/>
      <c r="BEL268" s="18"/>
      <c r="BEM268" s="18"/>
      <c r="BEN268" s="18"/>
      <c r="BEO268" s="18"/>
      <c r="BEP268" s="18"/>
      <c r="BEQ268" s="18"/>
      <c r="BER268" s="18"/>
      <c r="BES268" s="18"/>
      <c r="BET268" s="18"/>
      <c r="BEU268" s="18"/>
      <c r="BEV268" s="18"/>
      <c r="BEW268" s="18"/>
      <c r="BEX268" s="18"/>
      <c r="BEY268" s="18"/>
      <c r="BEZ268" s="18"/>
      <c r="BFA268" s="18"/>
      <c r="BFB268" s="18"/>
      <c r="BFC268" s="18"/>
      <c r="BFD268" s="18"/>
      <c r="BFE268" s="18"/>
      <c r="BFF268" s="18"/>
      <c r="BFG268" s="18"/>
      <c r="BFH268" s="18"/>
      <c r="BFI268" s="18"/>
      <c r="BFJ268" s="18"/>
      <c r="BFK268" s="18"/>
      <c r="BFL268" s="18"/>
      <c r="BFM268" s="18"/>
      <c r="BFN268" s="18"/>
      <c r="BFO268" s="18"/>
      <c r="BFP268" s="18"/>
      <c r="BFQ268" s="18"/>
      <c r="BFR268" s="18"/>
      <c r="BFS268" s="18"/>
      <c r="BFT268" s="18"/>
      <c r="BFU268" s="18"/>
      <c r="BFV268" s="18"/>
      <c r="BFW268" s="18"/>
      <c r="BFX268" s="18"/>
      <c r="BFY268" s="18"/>
      <c r="BFZ268" s="18"/>
      <c r="BGA268" s="18"/>
      <c r="BGB268" s="18"/>
      <c r="BGC268" s="18"/>
      <c r="BGD268" s="18"/>
      <c r="BGE268" s="18"/>
      <c r="BGF268" s="18"/>
      <c r="BGG268" s="18"/>
      <c r="BGH268" s="18"/>
      <c r="BGI268" s="18"/>
      <c r="BGJ268" s="18"/>
      <c r="BGK268" s="18"/>
      <c r="BGL268" s="18"/>
      <c r="BGM268" s="18"/>
      <c r="BGN268" s="18"/>
      <c r="BGO268" s="18"/>
      <c r="BGP268" s="18"/>
      <c r="BGQ268" s="18"/>
      <c r="BGR268" s="18"/>
      <c r="BGS268" s="18"/>
      <c r="BGT268" s="18"/>
      <c r="BGU268" s="18"/>
      <c r="BGV268" s="18"/>
      <c r="BGW268" s="18"/>
      <c r="BGX268" s="18"/>
      <c r="BGY268" s="18"/>
      <c r="BGZ268" s="18"/>
      <c r="BHA268" s="18"/>
      <c r="BHB268" s="18"/>
      <c r="BHC268" s="18"/>
      <c r="BHD268" s="18"/>
      <c r="BHE268" s="18"/>
      <c r="BHF268" s="18"/>
      <c r="BHG268" s="18"/>
      <c r="BHH268" s="18"/>
      <c r="BHI268" s="18"/>
      <c r="BHJ268" s="18"/>
      <c r="BHK268" s="18"/>
      <c r="BHL268" s="18"/>
      <c r="BHM268" s="18"/>
      <c r="BHN268" s="18"/>
      <c r="BHO268" s="18"/>
      <c r="BHP268" s="18"/>
      <c r="BHQ268" s="18"/>
      <c r="BHR268" s="18"/>
      <c r="BHS268" s="18"/>
      <c r="BHT268" s="18"/>
      <c r="BHU268" s="18"/>
      <c r="BHV268" s="18"/>
      <c r="BHW268" s="18"/>
      <c r="BHX268" s="18"/>
      <c r="BHY268" s="18"/>
      <c r="BHZ268" s="18"/>
      <c r="BIA268" s="18"/>
      <c r="BIB268" s="18"/>
      <c r="BIC268" s="18"/>
      <c r="BID268" s="18"/>
      <c r="BIE268" s="18"/>
      <c r="BIF268" s="18"/>
      <c r="BIG268" s="18"/>
      <c r="BIH268" s="18"/>
      <c r="BII268" s="18"/>
      <c r="BIJ268" s="18"/>
      <c r="BIK268" s="18"/>
      <c r="BIL268" s="18"/>
      <c r="BIM268" s="18"/>
      <c r="BIN268" s="18"/>
      <c r="BIO268" s="18"/>
      <c r="BIP268" s="18"/>
      <c r="BIQ268" s="18"/>
      <c r="BIR268" s="18"/>
      <c r="BIS268" s="18"/>
      <c r="BIT268" s="18"/>
      <c r="BIU268" s="18"/>
      <c r="BIV268" s="18"/>
      <c r="BIW268" s="18"/>
      <c r="BIX268" s="18"/>
      <c r="BIY268" s="18"/>
      <c r="BIZ268" s="18"/>
      <c r="BJA268" s="18"/>
      <c r="BJB268" s="18"/>
      <c r="BJC268" s="18"/>
      <c r="BJD268" s="18"/>
      <c r="BJE268" s="18"/>
      <c r="BJF268" s="18"/>
      <c r="BJG268" s="18"/>
      <c r="BJH268" s="18"/>
      <c r="BJI268" s="18"/>
      <c r="BJJ268" s="18"/>
      <c r="BJK268" s="18"/>
      <c r="BJL268" s="18"/>
      <c r="BJM268" s="18"/>
      <c r="BJN268" s="18"/>
      <c r="BJO268" s="18"/>
      <c r="BJP268" s="18"/>
      <c r="BJQ268" s="18"/>
      <c r="BJR268" s="18"/>
      <c r="BJS268" s="18"/>
      <c r="BJT268" s="18"/>
      <c r="BJU268" s="18"/>
      <c r="BJV268" s="18"/>
      <c r="BJW268" s="18"/>
      <c r="BJX268" s="18"/>
      <c r="BJY268" s="18"/>
      <c r="BJZ268" s="18"/>
      <c r="BKA268" s="18"/>
      <c r="BKB268" s="18"/>
      <c r="BKC268" s="18"/>
      <c r="BKD268" s="18"/>
      <c r="BKE268" s="18"/>
      <c r="BKF268" s="18"/>
      <c r="BKG268" s="18"/>
      <c r="BKH268" s="18"/>
      <c r="BKI268" s="18"/>
      <c r="BKJ268" s="18"/>
      <c r="BKK268" s="18"/>
      <c r="BKL268" s="18"/>
      <c r="BKM268" s="18"/>
      <c r="BKN268" s="18"/>
      <c r="BKO268" s="18"/>
      <c r="BKP268" s="18"/>
      <c r="BKQ268" s="18"/>
      <c r="BKR268" s="18"/>
      <c r="BKS268" s="18"/>
      <c r="BKT268" s="18"/>
      <c r="BKU268" s="18"/>
      <c r="BKV268" s="18"/>
      <c r="BKW268" s="18"/>
      <c r="BKX268" s="18"/>
      <c r="BKY268" s="18"/>
      <c r="BKZ268" s="18"/>
      <c r="BLA268" s="18"/>
      <c r="BLB268" s="18"/>
      <c r="BLC268" s="18"/>
      <c r="BLD268" s="18"/>
      <c r="BLE268" s="18"/>
      <c r="BLF268" s="18"/>
      <c r="BLG268" s="18"/>
      <c r="BLH268" s="18"/>
      <c r="BLI268" s="18"/>
      <c r="BLJ268" s="18"/>
      <c r="BLK268" s="18"/>
      <c r="BLL268" s="18"/>
      <c r="BLM268" s="18"/>
      <c r="BLN268" s="18"/>
      <c r="BLO268" s="18"/>
      <c r="BLP268" s="18"/>
      <c r="BLQ268" s="18"/>
      <c r="BLR268" s="18"/>
      <c r="BLS268" s="18"/>
      <c r="BLT268" s="18"/>
      <c r="BLU268" s="18"/>
      <c r="BLV268" s="18"/>
      <c r="BLW268" s="18"/>
      <c r="BLX268" s="18"/>
      <c r="BLY268" s="18"/>
      <c r="BLZ268" s="18"/>
      <c r="BMA268" s="18"/>
      <c r="BMB268" s="18"/>
      <c r="BMC268" s="18"/>
      <c r="BMD268" s="18"/>
      <c r="BME268" s="18"/>
      <c r="BMF268" s="18"/>
      <c r="BMG268" s="18"/>
      <c r="BMH268" s="18"/>
      <c r="BMI268" s="18"/>
      <c r="BMJ268" s="18"/>
      <c r="BMK268" s="18"/>
      <c r="BML268" s="18"/>
      <c r="BMM268" s="18"/>
      <c r="BMN268" s="18"/>
      <c r="BMO268" s="18"/>
      <c r="BMP268" s="18"/>
      <c r="BMQ268" s="18"/>
      <c r="BMR268" s="18"/>
      <c r="BMS268" s="18"/>
      <c r="BMT268" s="18"/>
      <c r="BMU268" s="18"/>
      <c r="BMV268" s="18"/>
      <c r="BMW268" s="18"/>
      <c r="BMX268" s="18"/>
      <c r="BMY268" s="18"/>
      <c r="BMZ268" s="18"/>
      <c r="BNA268" s="18"/>
      <c r="BNB268" s="18"/>
      <c r="BNC268" s="18"/>
      <c r="BND268" s="18"/>
      <c r="BNE268" s="18"/>
      <c r="BNF268" s="18"/>
      <c r="BNG268" s="18"/>
      <c r="BNH268" s="18"/>
      <c r="BNI268" s="18"/>
      <c r="BNJ268" s="18"/>
      <c r="BNK268" s="18"/>
      <c r="BNL268" s="18"/>
      <c r="BNM268" s="18"/>
      <c r="BNN268" s="18"/>
      <c r="BNO268" s="18"/>
      <c r="BNP268" s="18"/>
      <c r="BNQ268" s="18"/>
      <c r="BNR268" s="18"/>
      <c r="BNS268" s="18"/>
      <c r="BNT268" s="18"/>
      <c r="BNU268" s="18"/>
      <c r="BNV268" s="18"/>
      <c r="BNW268" s="18"/>
      <c r="BNX268" s="18"/>
      <c r="BNY268" s="18"/>
      <c r="BNZ268" s="18"/>
      <c r="BOA268" s="18"/>
      <c r="BOB268" s="18"/>
      <c r="BOC268" s="18"/>
      <c r="BOD268" s="18"/>
      <c r="BOE268" s="18"/>
      <c r="BOF268" s="18"/>
      <c r="BOG268" s="18"/>
      <c r="BOH268" s="18"/>
      <c r="BOI268" s="18"/>
      <c r="BOJ268" s="18"/>
      <c r="BOK268" s="18"/>
      <c r="BOL268" s="18"/>
      <c r="BOM268" s="18"/>
      <c r="BON268" s="18"/>
      <c r="BOO268" s="18"/>
      <c r="BOP268" s="18"/>
      <c r="BOQ268" s="18"/>
      <c r="BOR268" s="18"/>
      <c r="BOS268" s="18"/>
      <c r="BOT268" s="18"/>
      <c r="BOU268" s="18"/>
      <c r="BOV268" s="18"/>
      <c r="BOW268" s="18"/>
      <c r="BOX268" s="18"/>
      <c r="BOY268" s="18"/>
      <c r="BOZ268" s="18"/>
      <c r="BPA268" s="18"/>
      <c r="BPB268" s="18"/>
      <c r="BPC268" s="18"/>
      <c r="BPD268" s="18"/>
      <c r="BPE268" s="18"/>
      <c r="BPF268" s="18"/>
      <c r="BPG268" s="18"/>
      <c r="BPH268" s="18"/>
      <c r="BPI268" s="18"/>
      <c r="BPJ268" s="18"/>
      <c r="BPK268" s="18"/>
      <c r="BPL268" s="18"/>
      <c r="BPM268" s="18"/>
      <c r="BPN268" s="18"/>
      <c r="BPO268" s="18"/>
      <c r="BPP268" s="18"/>
      <c r="BPQ268" s="18"/>
      <c r="BPR268" s="18"/>
      <c r="BPS268" s="18"/>
      <c r="BPT268" s="18"/>
      <c r="BPU268" s="18"/>
      <c r="BPV268" s="18"/>
      <c r="BPW268" s="18"/>
      <c r="BPX268" s="18"/>
      <c r="BPY268" s="18"/>
      <c r="BPZ268" s="18"/>
      <c r="BQA268" s="18"/>
      <c r="BQB268" s="18"/>
      <c r="BQC268" s="18"/>
      <c r="BQD268" s="18"/>
      <c r="BQE268" s="18"/>
      <c r="BQF268" s="18"/>
      <c r="BQG268" s="18"/>
      <c r="BQH268" s="18"/>
      <c r="BQI268" s="18"/>
      <c r="BQJ268" s="18"/>
      <c r="BQK268" s="18"/>
      <c r="BQL268" s="18"/>
      <c r="BQM268" s="18"/>
      <c r="BQN268" s="18"/>
      <c r="BQO268" s="18"/>
      <c r="BQP268" s="18"/>
      <c r="BQQ268" s="18"/>
      <c r="BQR268" s="18"/>
      <c r="BQS268" s="18"/>
      <c r="BQT268" s="18"/>
      <c r="BQU268" s="18"/>
      <c r="BQV268" s="18"/>
      <c r="BQW268" s="18"/>
      <c r="BQX268" s="18"/>
      <c r="BQY268" s="18"/>
      <c r="BQZ268" s="18"/>
      <c r="BRA268" s="18"/>
      <c r="BRB268" s="18"/>
      <c r="BRC268" s="18"/>
      <c r="BRD268" s="18"/>
      <c r="BRE268" s="18"/>
      <c r="BRF268" s="18"/>
      <c r="BRG268" s="18"/>
      <c r="BRH268" s="18"/>
      <c r="BRI268" s="18"/>
      <c r="BRJ268" s="18"/>
      <c r="BRK268" s="18"/>
      <c r="BRL268" s="18"/>
      <c r="BRM268" s="18"/>
      <c r="BRN268" s="18"/>
      <c r="BRO268" s="18"/>
      <c r="BRP268" s="18"/>
      <c r="BRQ268" s="18"/>
      <c r="BRR268" s="18"/>
      <c r="BRS268" s="18"/>
      <c r="BRT268" s="18"/>
      <c r="BRU268" s="18"/>
      <c r="BRV268" s="18"/>
      <c r="BRW268" s="18"/>
      <c r="BRX268" s="18"/>
      <c r="BRY268" s="18"/>
      <c r="BRZ268" s="18"/>
      <c r="BSA268" s="18"/>
      <c r="BSB268" s="18"/>
      <c r="BSC268" s="18"/>
      <c r="BSD268" s="18"/>
      <c r="BSE268" s="18"/>
      <c r="BSF268" s="18"/>
      <c r="BSG268" s="18"/>
      <c r="BSH268" s="18"/>
      <c r="BSI268" s="18"/>
      <c r="BSJ268" s="18"/>
      <c r="BSK268" s="18"/>
      <c r="BSL268" s="18"/>
      <c r="BSM268" s="18"/>
      <c r="BSN268" s="18"/>
      <c r="BSO268" s="18"/>
      <c r="BSP268" s="18"/>
      <c r="BSQ268" s="18"/>
      <c r="BSR268" s="18"/>
      <c r="BSS268" s="18"/>
      <c r="BST268" s="18"/>
      <c r="BSU268" s="18"/>
      <c r="BSV268" s="18"/>
      <c r="BSW268" s="18"/>
      <c r="BSX268" s="18"/>
      <c r="BSY268" s="18"/>
      <c r="BSZ268" s="18"/>
      <c r="BTA268" s="18"/>
      <c r="BTB268" s="18"/>
      <c r="BTC268" s="18"/>
      <c r="BTD268" s="18"/>
      <c r="BTE268" s="18"/>
      <c r="BTF268" s="18"/>
      <c r="BTG268" s="18"/>
      <c r="BTH268" s="18"/>
      <c r="BTI268" s="18"/>
    </row>
    <row r="269" spans="1:1881" ht="35.25" customHeight="1" x14ac:dyDescent="0.3">
      <c r="A269" s="108"/>
      <c r="B269" s="884" t="s">
        <v>25</v>
      </c>
      <c r="C269" s="885"/>
      <c r="D269" s="887"/>
      <c r="E269" s="901"/>
      <c r="F269" s="902"/>
      <c r="G269" s="869"/>
      <c r="H269" s="17"/>
      <c r="I269" s="79"/>
      <c r="J269" s="595"/>
      <c r="Z269" s="108"/>
      <c r="AA269" s="108"/>
      <c r="AB269" s="108"/>
      <c r="AC269" s="108"/>
      <c r="AD269" s="108"/>
      <c r="AE269" s="108"/>
      <c r="AF269" s="108"/>
      <c r="AG269" s="108"/>
      <c r="AH269" s="108"/>
      <c r="AI269" s="108"/>
      <c r="AJ269" s="108"/>
      <c r="AK269" s="108"/>
      <c r="AL269" s="108"/>
      <c r="AM269" s="108"/>
      <c r="AN269" s="108"/>
      <c r="AO269" s="108"/>
      <c r="AP269" s="108"/>
      <c r="AQ269" s="108"/>
      <c r="AR269" s="108"/>
    </row>
    <row r="270" spans="1:1881" ht="168" customHeight="1" x14ac:dyDescent="0.3">
      <c r="A270" s="125">
        <v>621</v>
      </c>
      <c r="B270" s="125" t="s">
        <v>607</v>
      </c>
      <c r="C270" s="124" t="s">
        <v>718</v>
      </c>
      <c r="D270" s="124" t="s">
        <v>1423</v>
      </c>
      <c r="E270" s="689" t="e">
        <f>HLOOKUP($D$2,'2020 Data(H)'!$C$1:$CR$397,281,FALSE)</f>
        <v>#N/A</v>
      </c>
      <c r="F270" s="299">
        <v>0</v>
      </c>
      <c r="G270" s="793" t="s">
        <v>1424</v>
      </c>
      <c r="Z270" s="125"/>
      <c r="AA270" s="125"/>
      <c r="AB270" s="125"/>
      <c r="AC270" s="125"/>
      <c r="AD270" s="125"/>
      <c r="AE270" s="125"/>
      <c r="AF270" s="125"/>
      <c r="AG270" s="125"/>
      <c r="AH270" s="125"/>
      <c r="AI270" s="125"/>
      <c r="AJ270" s="125"/>
      <c r="AK270" s="125"/>
      <c r="AL270" s="125"/>
      <c r="AM270" s="125"/>
      <c r="AN270" s="125"/>
      <c r="AO270" s="125"/>
      <c r="AP270" s="125"/>
      <c r="AQ270" s="125"/>
      <c r="AR270" s="125"/>
    </row>
    <row r="271" spans="1:1881" ht="176.25" customHeight="1" x14ac:dyDescent="0.3">
      <c r="A271" s="108">
        <v>547</v>
      </c>
      <c r="B271" s="691"/>
      <c r="C271" s="691" t="s">
        <v>167</v>
      </c>
      <c r="D271" s="688" t="s">
        <v>532</v>
      </c>
      <c r="E271" s="689" t="e">
        <f>HLOOKUP($D$2,'2020 Data(H)'!$C$1:$CR$397,197,FALSE)</f>
        <v>#N/A</v>
      </c>
      <c r="F271" s="758"/>
      <c r="G271" s="792" t="str">
        <f>IF(F271&lt;1,"Please answer this question","")</f>
        <v>Please answer this question</v>
      </c>
      <c r="H271" s="751"/>
      <c r="I271" s="752"/>
      <c r="Z271" s="108"/>
      <c r="AA271" s="108"/>
      <c r="AB271" s="108"/>
      <c r="AC271" s="108"/>
      <c r="AD271" s="108"/>
      <c r="AE271" s="108"/>
      <c r="AF271" s="108"/>
      <c r="AG271" s="108"/>
      <c r="AH271" s="108"/>
      <c r="AI271" s="108"/>
      <c r="AJ271" s="108"/>
      <c r="AK271" s="108"/>
      <c r="AL271" s="108"/>
      <c r="AM271" s="108"/>
      <c r="AN271" s="108"/>
      <c r="AO271" s="108"/>
      <c r="AP271" s="108"/>
      <c r="AQ271" s="108"/>
      <c r="AR271" s="108"/>
    </row>
    <row r="272" spans="1:1881" s="18" customFormat="1" ht="221.25" customHeight="1" x14ac:dyDescent="0.3">
      <c r="A272" s="313">
        <v>659</v>
      </c>
      <c r="B272" s="844" t="s">
        <v>59</v>
      </c>
      <c r="C272" s="844" t="s">
        <v>695</v>
      </c>
      <c r="D272" s="316" t="s">
        <v>1425</v>
      </c>
      <c r="E272" s="689" t="e">
        <f>HLOOKUP($D$2,'2020 Data(H)'!$C$1:$CR$397,312,FALSE)</f>
        <v>#N/A</v>
      </c>
      <c r="F272" s="300">
        <v>0</v>
      </c>
      <c r="G272" s="793" t="s">
        <v>1426</v>
      </c>
      <c r="H272" s="750">
        <f>IF(F269&lt;0,"Error: Enter as positive.",)</f>
        <v>0</v>
      </c>
      <c r="I272" s="380"/>
      <c r="N272" s="301"/>
      <c r="Z272" s="313"/>
      <c r="AA272" s="313"/>
      <c r="AB272" s="313"/>
      <c r="AC272" s="313"/>
      <c r="AD272" s="313"/>
      <c r="AE272" s="313"/>
      <c r="AF272" s="313"/>
      <c r="AG272" s="313"/>
      <c r="AH272" s="313"/>
      <c r="AI272" s="313"/>
      <c r="AJ272" s="313"/>
      <c r="AK272" s="313"/>
      <c r="AL272" s="313"/>
      <c r="AM272" s="313"/>
      <c r="AN272" s="313"/>
      <c r="AO272" s="313"/>
      <c r="AP272" s="313"/>
      <c r="AQ272" s="313"/>
      <c r="AR272" s="313"/>
    </row>
    <row r="273" spans="1:44" ht="65.25" customHeight="1" x14ac:dyDescent="0.3">
      <c r="A273" s="313">
        <v>660</v>
      </c>
      <c r="B273" s="844" t="s">
        <v>59</v>
      </c>
      <c r="C273" s="844" t="s">
        <v>695</v>
      </c>
      <c r="D273" s="316" t="s">
        <v>1427</v>
      </c>
      <c r="E273" s="689" t="e">
        <f>HLOOKUP($D$2,'2020 Data(H)'!$C$1:$CR$397,313,FALSE)</f>
        <v>#N/A</v>
      </c>
      <c r="F273" s="300">
        <v>0</v>
      </c>
      <c r="G273" s="793" t="str">
        <f>IF(ISBLANK(F273),"Please do not leave blank","")</f>
        <v/>
      </c>
      <c r="H273" s="750">
        <f>IF(F270&lt;0,"Note: Number is normally positive.",)</f>
        <v>0</v>
      </c>
      <c r="I273" s="17"/>
      <c r="Z273" s="313"/>
      <c r="AA273" s="313"/>
      <c r="AB273" s="313"/>
      <c r="AC273" s="313"/>
      <c r="AD273" s="313"/>
      <c r="AE273" s="313"/>
      <c r="AF273" s="313"/>
      <c r="AG273" s="313"/>
      <c r="AH273" s="313"/>
      <c r="AI273" s="313"/>
      <c r="AJ273" s="313"/>
      <c r="AK273" s="313"/>
      <c r="AL273" s="313"/>
      <c r="AM273" s="313"/>
      <c r="AN273" s="313"/>
      <c r="AO273" s="313"/>
      <c r="AP273" s="313"/>
      <c r="AQ273" s="313"/>
      <c r="AR273" s="313"/>
    </row>
    <row r="274" spans="1:44" ht="94.5" customHeight="1" x14ac:dyDescent="0.3">
      <c r="A274" s="313">
        <v>661</v>
      </c>
      <c r="B274" s="844" t="s">
        <v>59</v>
      </c>
      <c r="C274" s="844" t="s">
        <v>699</v>
      </c>
      <c r="D274" s="656" t="s">
        <v>1428</v>
      </c>
      <c r="E274" s="382" t="e">
        <f>HLOOKUP($D$2,'2020 Data(H)'!$C$1:$CR$397,314,FALSE)</f>
        <v>#N/A</v>
      </c>
      <c r="F274" s="278">
        <v>0</v>
      </c>
      <c r="G274" s="793" t="str">
        <f>IF(ISBLANK(F274),"Please do not leave blank ",IF(F274=H274,"","Please review percentage"))</f>
        <v/>
      </c>
      <c r="H274" s="794">
        <f>ROUND(IFERROR((F273/F272)*100,0),1)</f>
        <v>0</v>
      </c>
      <c r="I274" s="794"/>
      <c r="Z274" s="313"/>
      <c r="AA274" s="313"/>
      <c r="AB274" s="313"/>
      <c r="AC274" s="313"/>
      <c r="AD274" s="313"/>
      <c r="AE274" s="313"/>
      <c r="AF274" s="313"/>
      <c r="AG274" s="313"/>
      <c r="AH274" s="313"/>
      <c r="AI274" s="313"/>
      <c r="AJ274" s="313"/>
      <c r="AK274" s="313"/>
      <c r="AL274" s="313"/>
      <c r="AM274" s="313"/>
      <c r="AN274" s="313"/>
      <c r="AO274" s="313"/>
      <c r="AP274" s="313"/>
      <c r="AQ274" s="313"/>
      <c r="AR274" s="313"/>
    </row>
    <row r="275" spans="1:44" ht="111.75" customHeight="1" x14ac:dyDescent="0.3">
      <c r="A275" s="108"/>
      <c r="B275" s="691"/>
      <c r="C275" s="691"/>
      <c r="D275" s="27" t="s">
        <v>26</v>
      </c>
      <c r="E275" s="693"/>
      <c r="F275" s="696"/>
      <c r="G275" s="793"/>
      <c r="H275" s="794"/>
      <c r="I275" s="795"/>
      <c r="Z275" s="108"/>
      <c r="AA275" s="108"/>
      <c r="AB275" s="108"/>
      <c r="AC275" s="108"/>
      <c r="AD275" s="108"/>
      <c r="AE275" s="108"/>
      <c r="AF275" s="108"/>
      <c r="AG275" s="108"/>
      <c r="AH275" s="108"/>
      <c r="AI275" s="108"/>
      <c r="AJ275" s="108"/>
      <c r="AK275" s="108"/>
      <c r="AL275" s="108"/>
      <c r="AM275" s="108"/>
      <c r="AN275" s="108"/>
      <c r="AO275" s="108"/>
      <c r="AP275" s="108"/>
      <c r="AQ275" s="108"/>
      <c r="AR275" s="108"/>
    </row>
    <row r="276" spans="1:44" ht="32.25" customHeight="1" x14ac:dyDescent="0.3">
      <c r="A276" s="108"/>
      <c r="B276" s="884" t="s">
        <v>27</v>
      </c>
      <c r="C276" s="885"/>
      <c r="D276" s="887"/>
      <c r="E276" s="901"/>
      <c r="F276" s="901"/>
      <c r="G276" s="869"/>
      <c r="H276" s="17"/>
      <c r="I276" s="79"/>
      <c r="Z276" s="108"/>
      <c r="AA276" s="108"/>
      <c r="AB276" s="108"/>
      <c r="AC276" s="108"/>
      <c r="AD276" s="108"/>
      <c r="AE276" s="108"/>
      <c r="AF276" s="108"/>
      <c r="AG276" s="108"/>
      <c r="AH276" s="108"/>
      <c r="AI276" s="108"/>
      <c r="AJ276" s="108"/>
      <c r="AK276" s="108"/>
      <c r="AL276" s="108"/>
      <c r="AM276" s="108"/>
      <c r="AN276" s="108"/>
      <c r="AO276" s="108"/>
      <c r="AP276" s="108"/>
      <c r="AQ276" s="108"/>
      <c r="AR276" s="108"/>
    </row>
    <row r="277" spans="1:44" ht="63.75" customHeight="1" x14ac:dyDescent="0.3">
      <c r="A277" s="33">
        <v>371</v>
      </c>
      <c r="B277" s="4" t="s">
        <v>56</v>
      </c>
      <c r="C277" s="4" t="s">
        <v>168</v>
      </c>
      <c r="D277" s="24" t="s">
        <v>1530</v>
      </c>
      <c r="E277" s="689" t="e">
        <f>HLOOKUP($D$2,'2020 Data(H)'!$C$1:$CR$397,132,FALSE)</f>
        <v>#N/A</v>
      </c>
      <c r="F277" s="300">
        <v>0</v>
      </c>
      <c r="G277" s="750">
        <f>IF(F277&lt;0,"Error: Enter as positive.",)</f>
        <v>0</v>
      </c>
      <c r="H277" s="17"/>
      <c r="I277" s="79"/>
      <c r="Z277" s="33"/>
      <c r="AA277" s="33"/>
      <c r="AB277" s="33"/>
      <c r="AC277" s="33"/>
      <c r="AD277" s="33"/>
      <c r="AE277" s="33"/>
      <c r="AF277" s="33"/>
      <c r="AG277" s="33"/>
      <c r="AH277" s="33"/>
      <c r="AI277" s="33"/>
      <c r="AJ277" s="33"/>
      <c r="AK277" s="33"/>
      <c r="AL277" s="33"/>
      <c r="AM277" s="33"/>
      <c r="AN277" s="33"/>
      <c r="AO277" s="33"/>
      <c r="AP277" s="33"/>
      <c r="AQ277" s="33"/>
      <c r="AR277" s="33"/>
    </row>
    <row r="278" spans="1:44" ht="70.5" customHeight="1" x14ac:dyDescent="0.3">
      <c r="A278" s="108">
        <v>513</v>
      </c>
      <c r="B278" s="842" t="s">
        <v>58</v>
      </c>
      <c r="C278" s="4" t="s">
        <v>168</v>
      </c>
      <c r="D278" s="24" t="s">
        <v>1531</v>
      </c>
      <c r="E278" s="689" t="e">
        <f>HLOOKUP($D$2,'2020 Data(H)'!$C$1:$CR$397,163,FALSE)</f>
        <v>#N/A</v>
      </c>
      <c r="F278" s="300">
        <v>0</v>
      </c>
      <c r="G278" s="750">
        <f>IF(F278&lt;0,"Error: Enter as positive.",)</f>
        <v>0</v>
      </c>
      <c r="H278" s="751"/>
      <c r="I278" s="752"/>
      <c r="Z278" s="108"/>
      <c r="AA278" s="108"/>
      <c r="AB278" s="108"/>
      <c r="AC278" s="108"/>
      <c r="AD278" s="108"/>
      <c r="AE278" s="108"/>
      <c r="AF278" s="108"/>
      <c r="AG278" s="108"/>
      <c r="AH278" s="108"/>
      <c r="AI278" s="108"/>
      <c r="AJ278" s="108"/>
      <c r="AK278" s="108"/>
      <c r="AL278" s="108"/>
      <c r="AM278" s="108"/>
      <c r="AN278" s="108"/>
      <c r="AO278" s="108"/>
      <c r="AP278" s="108"/>
      <c r="AQ278" s="108"/>
      <c r="AR278" s="108"/>
    </row>
    <row r="279" spans="1:44" ht="80.25" customHeight="1" x14ac:dyDescent="0.3">
      <c r="A279" s="108">
        <v>514</v>
      </c>
      <c r="B279" s="842" t="s">
        <v>58</v>
      </c>
      <c r="C279" s="4" t="s">
        <v>168</v>
      </c>
      <c r="D279" s="24" t="s">
        <v>1532</v>
      </c>
      <c r="E279" s="689" t="e">
        <f>HLOOKUP($D$2,'2020 Data(H)'!$C$1:$CR$397,164,FALSE)</f>
        <v>#N/A</v>
      </c>
      <c r="F279" s="300">
        <v>0</v>
      </c>
      <c r="G279" s="750">
        <f>IF(F279&lt;0,"Error: Enter as positive.",)</f>
        <v>0</v>
      </c>
      <c r="H279" s="17"/>
      <c r="I279" s="752"/>
      <c r="Z279" s="108"/>
      <c r="AA279" s="108"/>
      <c r="AB279" s="108"/>
      <c r="AC279" s="108"/>
      <c r="AD279" s="108"/>
      <c r="AE279" s="108"/>
      <c r="AF279" s="108"/>
      <c r="AG279" s="108"/>
      <c r="AH279" s="108"/>
      <c r="AI279" s="108"/>
      <c r="AJ279" s="108"/>
      <c r="AK279" s="108"/>
      <c r="AL279" s="108"/>
      <c r="AM279" s="108"/>
      <c r="AN279" s="108"/>
      <c r="AO279" s="108"/>
      <c r="AP279" s="108"/>
      <c r="AQ279" s="108"/>
      <c r="AR279" s="108"/>
    </row>
    <row r="280" spans="1:44" ht="80.25" customHeight="1" x14ac:dyDescent="0.3">
      <c r="A280" s="108">
        <v>990</v>
      </c>
      <c r="B280" s="851" t="s">
        <v>1045</v>
      </c>
      <c r="C280" s="848" t="s">
        <v>168</v>
      </c>
      <c r="D280" s="777" t="s">
        <v>1046</v>
      </c>
      <c r="E280" s="691" t="s">
        <v>1022</v>
      </c>
      <c r="F280" s="300">
        <v>0</v>
      </c>
      <c r="G280" s="750"/>
      <c r="H280" s="17"/>
      <c r="I280" s="752"/>
      <c r="Z280" s="108"/>
      <c r="AA280" s="108"/>
      <c r="AB280" s="108"/>
      <c r="AC280" s="108"/>
      <c r="AD280" s="108"/>
      <c r="AE280" s="108"/>
      <c r="AF280" s="108"/>
      <c r="AG280" s="108"/>
      <c r="AH280" s="108"/>
      <c r="AI280" s="108"/>
      <c r="AJ280" s="108"/>
      <c r="AK280" s="108"/>
      <c r="AL280" s="108"/>
      <c r="AM280" s="108"/>
      <c r="AN280" s="108"/>
      <c r="AO280" s="108"/>
      <c r="AP280" s="108"/>
      <c r="AQ280" s="108"/>
      <c r="AR280" s="108"/>
    </row>
    <row r="281" spans="1:44" ht="32.25" customHeight="1" x14ac:dyDescent="0.3">
      <c r="A281" s="108"/>
      <c r="B281" s="884" t="s">
        <v>28</v>
      </c>
      <c r="C281" s="885"/>
      <c r="D281" s="887"/>
      <c r="E281" s="901"/>
      <c r="F281" s="869"/>
      <c r="G281" s="869"/>
      <c r="H281" s="17"/>
      <c r="I281" s="79"/>
      <c r="Z281" s="108"/>
      <c r="AA281" s="108"/>
      <c r="AB281" s="108"/>
      <c r="AC281" s="108"/>
      <c r="AD281" s="108"/>
      <c r="AE281" s="108"/>
      <c r="AF281" s="108"/>
      <c r="AG281" s="108"/>
      <c r="AH281" s="108"/>
      <c r="AI281" s="108"/>
      <c r="AJ281" s="108"/>
      <c r="AK281" s="108"/>
      <c r="AL281" s="108"/>
      <c r="AM281" s="108"/>
      <c r="AN281" s="108"/>
      <c r="AO281" s="108"/>
      <c r="AP281" s="108"/>
      <c r="AQ281" s="108"/>
      <c r="AR281" s="108"/>
    </row>
    <row r="282" spans="1:44" ht="68.25" customHeight="1" x14ac:dyDescent="0.3">
      <c r="A282" s="108">
        <v>6</v>
      </c>
      <c r="B282" s="4" t="s">
        <v>55</v>
      </c>
      <c r="C282" s="4" t="s">
        <v>169</v>
      </c>
      <c r="D282" s="24" t="s">
        <v>1533</v>
      </c>
      <c r="E282" s="689" t="e">
        <f>HLOOKUP($D$2,'2020 Data(H)'!$C$1:$CR$397,5,FALSE)</f>
        <v>#N/A</v>
      </c>
      <c r="F282" s="300">
        <v>0</v>
      </c>
      <c r="G282" s="750">
        <f>IF(F282&lt;0,"Error: Enter as positive.",)</f>
        <v>0</v>
      </c>
      <c r="H282" s="17"/>
      <c r="I282" s="79"/>
      <c r="J282" s="595"/>
      <c r="Z282" s="108"/>
      <c r="AA282" s="108"/>
      <c r="AB282" s="108"/>
      <c r="AC282" s="108"/>
      <c r="AD282" s="108"/>
      <c r="AE282" s="108"/>
      <c r="AF282" s="108"/>
      <c r="AG282" s="108"/>
      <c r="AH282" s="108"/>
      <c r="AI282" s="108"/>
      <c r="AJ282" s="108"/>
      <c r="AK282" s="108"/>
      <c r="AL282" s="108"/>
      <c r="AM282" s="108"/>
      <c r="AN282" s="108"/>
      <c r="AO282" s="108"/>
      <c r="AP282" s="108"/>
      <c r="AQ282" s="108"/>
      <c r="AR282" s="108"/>
    </row>
    <row r="283" spans="1:44" ht="33" customHeight="1" x14ac:dyDescent="0.3">
      <c r="A283" s="108"/>
      <c r="B283" s="884" t="s">
        <v>180</v>
      </c>
      <c r="C283" s="885"/>
      <c r="D283" s="887"/>
      <c r="E283" s="903"/>
      <c r="F283" s="879"/>
      <c r="G283" s="879"/>
      <c r="H283" s="751"/>
      <c r="I283" s="752"/>
      <c r="J283" s="595"/>
      <c r="Z283" s="108"/>
      <c r="AA283" s="108"/>
      <c r="AB283" s="108"/>
      <c r="AC283" s="108"/>
      <c r="AD283" s="108"/>
      <c r="AE283" s="108"/>
      <c r="AF283" s="108"/>
      <c r="AG283" s="108"/>
      <c r="AH283" s="108"/>
      <c r="AI283" s="108"/>
      <c r="AJ283" s="108"/>
      <c r="AK283" s="108"/>
      <c r="AL283" s="108"/>
      <c r="AM283" s="108"/>
      <c r="AN283" s="108"/>
      <c r="AO283" s="108"/>
      <c r="AP283" s="108"/>
      <c r="AQ283" s="108"/>
      <c r="AR283" s="108"/>
    </row>
    <row r="284" spans="1:44" ht="141" customHeight="1" x14ac:dyDescent="0.3">
      <c r="A284" s="108">
        <v>541</v>
      </c>
      <c r="B284" s="691" t="s">
        <v>59</v>
      </c>
      <c r="C284" s="691" t="s">
        <v>1534</v>
      </c>
      <c r="D284" s="688" t="s">
        <v>1535</v>
      </c>
      <c r="E284" s="689" t="e">
        <f>HLOOKUP($D$2,'2020 Data(H)'!$C$1:$CR$397,191,FALSE)</f>
        <v>#N/A</v>
      </c>
      <c r="F284" s="300">
        <v>0</v>
      </c>
      <c r="G284" s="750"/>
      <c r="H284" s="751"/>
      <c r="I284" s="752"/>
      <c r="J284" s="595"/>
      <c r="Z284" s="108"/>
      <c r="AA284" s="108"/>
      <c r="AB284" s="108"/>
      <c r="AC284" s="108"/>
      <c r="AD284" s="108"/>
      <c r="AE284" s="108"/>
      <c r="AF284" s="108"/>
      <c r="AG284" s="108"/>
      <c r="AH284" s="108"/>
      <c r="AI284" s="108"/>
      <c r="AJ284" s="108"/>
      <c r="AK284" s="108"/>
      <c r="AL284" s="108"/>
      <c r="AM284" s="108"/>
      <c r="AN284" s="108"/>
      <c r="AO284" s="108"/>
      <c r="AP284" s="108"/>
      <c r="AQ284" s="108"/>
      <c r="AR284" s="108"/>
    </row>
    <row r="285" spans="1:44" ht="28.5" customHeight="1" x14ac:dyDescent="0.3">
      <c r="A285" s="108"/>
      <c r="B285" s="885" t="s">
        <v>50</v>
      </c>
      <c r="C285" s="885"/>
      <c r="D285" s="887"/>
      <c r="E285" s="903"/>
      <c r="F285" s="899"/>
      <c r="G285" s="899"/>
      <c r="H285" s="751"/>
      <c r="I285" s="752"/>
      <c r="Z285" s="108"/>
      <c r="AA285" s="108"/>
      <c r="AB285" s="108"/>
      <c r="AC285" s="108"/>
      <c r="AD285" s="108"/>
      <c r="AE285" s="108"/>
      <c r="AF285" s="108"/>
      <c r="AG285" s="108"/>
      <c r="AH285" s="108"/>
      <c r="AI285" s="108"/>
      <c r="AJ285" s="108"/>
      <c r="AK285" s="108"/>
      <c r="AL285" s="108"/>
      <c r="AM285" s="108"/>
      <c r="AN285" s="108"/>
      <c r="AO285" s="108"/>
      <c r="AP285" s="108"/>
      <c r="AQ285" s="108"/>
      <c r="AR285" s="108"/>
    </row>
    <row r="286" spans="1:44" ht="77.25" customHeight="1" x14ac:dyDescent="0.3">
      <c r="A286" s="108">
        <v>542</v>
      </c>
      <c r="B286" s="691" t="s">
        <v>59</v>
      </c>
      <c r="C286" s="852" t="s">
        <v>1536</v>
      </c>
      <c r="D286" s="29" t="s">
        <v>170</v>
      </c>
      <c r="E286" s="689" t="e">
        <f>HLOOKUP($D$2,'2020 Data(H)'!$C$1:$CR$397,192,FALSE)</f>
        <v>#N/A</v>
      </c>
      <c r="F286" s="300">
        <v>0</v>
      </c>
      <c r="G286" s="750"/>
      <c r="H286" s="751"/>
      <c r="I286" s="796"/>
      <c r="Z286" s="108"/>
      <c r="AA286" s="108"/>
      <c r="AB286" s="108"/>
      <c r="AC286" s="108"/>
      <c r="AD286" s="108"/>
      <c r="AE286" s="108"/>
      <c r="AF286" s="108"/>
      <c r="AG286" s="108"/>
      <c r="AH286" s="108"/>
      <c r="AI286" s="108"/>
      <c r="AJ286" s="108"/>
      <c r="AK286" s="108"/>
      <c r="AL286" s="108"/>
      <c r="AM286" s="108"/>
      <c r="AN286" s="108"/>
      <c r="AO286" s="108"/>
      <c r="AP286" s="108"/>
      <c r="AQ286" s="108"/>
      <c r="AR286" s="108"/>
    </row>
    <row r="287" spans="1:44" ht="24.75" customHeight="1" x14ac:dyDescent="0.3">
      <c r="A287" s="108"/>
      <c r="B287" s="884" t="s">
        <v>1537</v>
      </c>
      <c r="C287" s="884"/>
      <c r="D287" s="860"/>
      <c r="E287" s="861"/>
      <c r="F287" s="881"/>
      <c r="G287" s="881"/>
      <c r="H287" s="17"/>
      <c r="I287" s="79"/>
      <c r="Z287" s="108"/>
      <c r="AA287" s="108"/>
      <c r="AB287" s="108"/>
      <c r="AC287" s="108"/>
      <c r="AD287" s="108"/>
      <c r="AE287" s="108"/>
      <c r="AF287" s="108"/>
      <c r="AG287" s="108"/>
      <c r="AH287" s="108"/>
      <c r="AI287" s="108"/>
      <c r="AJ287" s="108"/>
      <c r="AK287" s="108"/>
      <c r="AL287" s="108"/>
      <c r="AM287" s="108"/>
      <c r="AN287" s="108"/>
      <c r="AO287" s="108"/>
      <c r="AP287" s="108"/>
      <c r="AQ287" s="108"/>
      <c r="AR287" s="108"/>
    </row>
    <row r="288" spans="1:44" ht="25.5" customHeight="1" x14ac:dyDescent="0.3">
      <c r="A288" s="108"/>
      <c r="B288" s="904" t="s">
        <v>12</v>
      </c>
      <c r="C288" s="904"/>
      <c r="D288" s="860"/>
      <c r="E288" s="861"/>
      <c r="F288" s="905"/>
      <c r="G288" s="881"/>
      <c r="H288" s="17"/>
      <c r="I288" s="79"/>
      <c r="Z288" s="108"/>
      <c r="AA288" s="108"/>
      <c r="AB288" s="108"/>
      <c r="AC288" s="108"/>
      <c r="AD288" s="108"/>
      <c r="AE288" s="108"/>
      <c r="AF288" s="108"/>
      <c r="AG288" s="108"/>
      <c r="AH288" s="108"/>
      <c r="AI288" s="108"/>
      <c r="AJ288" s="108"/>
      <c r="AK288" s="108"/>
      <c r="AL288" s="108"/>
      <c r="AM288" s="108"/>
      <c r="AN288" s="108"/>
      <c r="AO288" s="108"/>
      <c r="AP288" s="108"/>
      <c r="AQ288" s="108"/>
      <c r="AR288" s="108"/>
    </row>
    <row r="289" spans="1:44" ht="77.25" customHeight="1" x14ac:dyDescent="0.3">
      <c r="A289" s="34">
        <v>528</v>
      </c>
      <c r="B289" s="691" t="s">
        <v>55</v>
      </c>
      <c r="C289" s="4" t="s">
        <v>171</v>
      </c>
      <c r="D289" s="628" t="s">
        <v>1574</v>
      </c>
      <c r="E289" s="689" t="e">
        <f>HLOOKUP($D$2,'2020 Data(H)'!$C$1:$CR$397,178,FALSE)</f>
        <v>#N/A</v>
      </c>
      <c r="F289" s="300">
        <v>0</v>
      </c>
      <c r="G289" s="750">
        <f>IF(F289="","Error: Unit must enter this information if they levy taxes.",)</f>
        <v>0</v>
      </c>
      <c r="H289" s="797"/>
      <c r="I289" s="79"/>
      <c r="J289" s="798"/>
      <c r="Z289" s="34"/>
      <c r="AA289" s="34"/>
      <c r="AB289" s="34"/>
      <c r="AC289" s="34"/>
      <c r="AD289" s="34"/>
      <c r="AE289" s="34"/>
      <c r="AF289" s="34"/>
      <c r="AG289" s="34"/>
      <c r="AH289" s="34"/>
      <c r="AI289" s="34"/>
      <c r="AJ289" s="34"/>
      <c r="AK289" s="34"/>
      <c r="AL289" s="34"/>
      <c r="AM289" s="34"/>
      <c r="AN289" s="34"/>
      <c r="AO289" s="34"/>
      <c r="AP289" s="34"/>
      <c r="AQ289" s="34"/>
      <c r="AR289" s="34"/>
    </row>
    <row r="290" spans="1:44" ht="69" customHeight="1" x14ac:dyDescent="0.3">
      <c r="A290" s="34">
        <v>529</v>
      </c>
      <c r="B290" s="691" t="s">
        <v>55</v>
      </c>
      <c r="C290" s="4" t="s">
        <v>171</v>
      </c>
      <c r="D290" s="628" t="s">
        <v>1538</v>
      </c>
      <c r="E290" s="689" t="e">
        <f>HLOOKUP($D$2,'2020 Data(H)'!$C$1:$CR$397,179,FALSE)</f>
        <v>#N/A</v>
      </c>
      <c r="F290" s="300">
        <v>0</v>
      </c>
      <c r="G290" s="750">
        <f>IF(F290="","Error: Unit must enter this information if they levy taxes.",)</f>
        <v>0</v>
      </c>
      <c r="H290" s="17"/>
      <c r="I290" s="79"/>
      <c r="Z290" s="34"/>
      <c r="AA290" s="34"/>
      <c r="AB290" s="34"/>
      <c r="AC290" s="34"/>
      <c r="AD290" s="34"/>
      <c r="AE290" s="34"/>
      <c r="AF290" s="34"/>
      <c r="AG290" s="34"/>
      <c r="AH290" s="34"/>
      <c r="AI290" s="34"/>
      <c r="AJ290" s="34"/>
      <c r="AK290" s="34"/>
      <c r="AL290" s="34"/>
      <c r="AM290" s="34"/>
      <c r="AN290" s="34"/>
      <c r="AO290" s="34"/>
      <c r="AP290" s="34"/>
      <c r="AQ290" s="34"/>
      <c r="AR290" s="34"/>
    </row>
    <row r="291" spans="1:44" ht="69" customHeight="1" x14ac:dyDescent="0.3">
      <c r="A291" s="34">
        <v>530</v>
      </c>
      <c r="B291" s="691" t="s">
        <v>55</v>
      </c>
      <c r="C291" s="4" t="s">
        <v>171</v>
      </c>
      <c r="D291" s="853" t="s">
        <v>1539</v>
      </c>
      <c r="E291" s="689" t="e">
        <f>HLOOKUP($D$2,'2020 Data(H)'!$C$1:$CR$397,180,FALSE)</f>
        <v>#N/A</v>
      </c>
      <c r="F291" s="300">
        <v>0</v>
      </c>
      <c r="G291" s="750">
        <f>IF(F291="","Error: Unit must enter this information if they levy taxes.",)</f>
        <v>0</v>
      </c>
      <c r="H291" s="17"/>
      <c r="I291" s="79"/>
      <c r="Z291" s="34"/>
      <c r="AA291" s="34"/>
      <c r="AB291" s="34"/>
      <c r="AC291" s="34"/>
      <c r="AD291" s="34"/>
      <c r="AE291" s="34"/>
      <c r="AF291" s="34"/>
      <c r="AG291" s="34"/>
      <c r="AH291" s="34"/>
      <c r="AI291" s="34"/>
      <c r="AJ291" s="34"/>
      <c r="AK291" s="34"/>
      <c r="AL291" s="34"/>
      <c r="AM291" s="34"/>
      <c r="AN291" s="34"/>
      <c r="AO291" s="34"/>
      <c r="AP291" s="34"/>
      <c r="AQ291" s="34"/>
      <c r="AR291" s="34"/>
    </row>
    <row r="292" spans="1:44" ht="55.5" customHeight="1" x14ac:dyDescent="0.3">
      <c r="A292" s="34">
        <v>531</v>
      </c>
      <c r="B292" s="691" t="s">
        <v>55</v>
      </c>
      <c r="C292" s="4" t="s">
        <v>171</v>
      </c>
      <c r="D292" s="853" t="s">
        <v>1540</v>
      </c>
      <c r="E292" s="689" t="e">
        <f>HLOOKUP($D$2,'2020 Data(H)'!$C$1:$CR$397,181,FALSE)</f>
        <v>#N/A</v>
      </c>
      <c r="F292" s="300">
        <v>0</v>
      </c>
      <c r="G292" s="750">
        <f>IF(F292="","Error: Unit must enter this information if they levy taxes.",)</f>
        <v>0</v>
      </c>
      <c r="H292" s="17"/>
      <c r="I292" s="79"/>
      <c r="Z292" s="34"/>
      <c r="AA292" s="34"/>
      <c r="AB292" s="34"/>
      <c r="AC292" s="34"/>
      <c r="AD292" s="34"/>
      <c r="AE292" s="34"/>
      <c r="AF292" s="34"/>
      <c r="AG292" s="34"/>
      <c r="AH292" s="34"/>
      <c r="AI292" s="34"/>
      <c r="AJ292" s="34"/>
      <c r="AK292" s="34"/>
      <c r="AL292" s="34"/>
      <c r="AM292" s="34"/>
      <c r="AN292" s="34"/>
      <c r="AO292" s="34"/>
      <c r="AP292" s="34"/>
      <c r="AQ292" s="34"/>
      <c r="AR292" s="34"/>
    </row>
    <row r="293" spans="1:44" ht="69" customHeight="1" x14ac:dyDescent="0.3">
      <c r="A293" s="108">
        <v>61</v>
      </c>
      <c r="B293" s="4" t="s">
        <v>59</v>
      </c>
      <c r="C293" s="4" t="s">
        <v>171</v>
      </c>
      <c r="D293" s="29" t="s">
        <v>1541</v>
      </c>
      <c r="E293" s="35" t="e">
        <f>HLOOKUP($D$2,'2020 Data(H)'!$C$1:$CR$397,43,FALSE)</f>
        <v>#N/A</v>
      </c>
      <c r="F293" s="287">
        <v>0</v>
      </c>
      <c r="G293" s="750" t="e">
        <f>IF(F293=H293," ","Please check values in account 528, 529, 530 and  531.")</f>
        <v>#DIV/0!</v>
      </c>
      <c r="H293" s="799" t="e">
        <f>ROUND((F289+F290-F291-F292)/(F289+F290)*100,2)</f>
        <v>#DIV/0!</v>
      </c>
      <c r="I293" s="79"/>
      <c r="Z293" s="108"/>
      <c r="AA293" s="108"/>
      <c r="AB293" s="108"/>
      <c r="AC293" s="108"/>
      <c r="AD293" s="108"/>
      <c r="AE293" s="108"/>
      <c r="AF293" s="108"/>
      <c r="AG293" s="108"/>
      <c r="AH293" s="108"/>
      <c r="AI293" s="108"/>
      <c r="AJ293" s="108"/>
      <c r="AK293" s="108"/>
      <c r="AL293" s="108"/>
      <c r="AM293" s="108"/>
      <c r="AN293" s="108"/>
      <c r="AO293" s="108"/>
      <c r="AP293" s="108"/>
      <c r="AQ293" s="108"/>
      <c r="AR293" s="108"/>
    </row>
    <row r="294" spans="1:44" ht="69" customHeight="1" x14ac:dyDescent="0.3">
      <c r="A294" s="108">
        <v>102</v>
      </c>
      <c r="B294" s="4" t="s">
        <v>59</v>
      </c>
      <c r="C294" s="4" t="s">
        <v>171</v>
      </c>
      <c r="D294" s="60" t="s">
        <v>1542</v>
      </c>
      <c r="E294" s="35" t="e">
        <f>HLOOKUP($D$2,'2020 Data(H)'!$C$1:$CR$397,62,FALSE)</f>
        <v>#N/A</v>
      </c>
      <c r="F294" s="287">
        <v>0</v>
      </c>
      <c r="G294" s="750" t="e">
        <f>IF(F294=H294," ","Please check values in account 528 and 530.")</f>
        <v>#DIV/0!</v>
      </c>
      <c r="H294" s="799" t="e">
        <f>ROUND((F289-F291)/(F289)*100,2)</f>
        <v>#DIV/0!</v>
      </c>
      <c r="I294" s="79"/>
      <c r="Z294" s="108"/>
      <c r="AA294" s="108"/>
      <c r="AB294" s="108"/>
      <c r="AC294" s="108"/>
      <c r="AD294" s="108"/>
      <c r="AE294" s="108"/>
      <c r="AF294" s="108"/>
      <c r="AG294" s="108"/>
      <c r="AH294" s="108"/>
      <c r="AI294" s="108"/>
      <c r="AJ294" s="108"/>
      <c r="AK294" s="108"/>
      <c r="AL294" s="108"/>
      <c r="AM294" s="108"/>
      <c r="AN294" s="108"/>
      <c r="AO294" s="108"/>
      <c r="AP294" s="108"/>
      <c r="AQ294" s="108"/>
      <c r="AR294" s="108"/>
    </row>
    <row r="295" spans="1:44" ht="63.75" customHeight="1" x14ac:dyDescent="0.3">
      <c r="A295" s="108">
        <v>103</v>
      </c>
      <c r="B295" s="4" t="s">
        <v>59</v>
      </c>
      <c r="C295" s="4" t="s">
        <v>171</v>
      </c>
      <c r="D295" s="29" t="s">
        <v>1543</v>
      </c>
      <c r="E295" s="35" t="e">
        <f>HLOOKUP($D$2,'2020 Data(H)'!$C$1:$CR$397,63,FALSE)</f>
        <v>#N/A</v>
      </c>
      <c r="F295" s="287">
        <v>0</v>
      </c>
      <c r="G295" s="750" t="e">
        <f>IF(F295=H295," ","Please check values in account 529 and 531.")</f>
        <v>#DIV/0!</v>
      </c>
      <c r="H295" s="799" t="e">
        <f>ROUND((F290-F292)/F290*100,2)</f>
        <v>#DIV/0!</v>
      </c>
      <c r="I295" s="79"/>
      <c r="M295" s="18" t="s">
        <v>1023</v>
      </c>
      <c r="Z295" s="108"/>
      <c r="AA295" s="108"/>
      <c r="AB295" s="108"/>
      <c r="AC295" s="108"/>
      <c r="AD295" s="108"/>
      <c r="AE295" s="108"/>
      <c r="AF295" s="108"/>
      <c r="AG295" s="108"/>
      <c r="AH295" s="108"/>
      <c r="AI295" s="108"/>
      <c r="AJ295" s="108"/>
      <c r="AK295" s="108"/>
      <c r="AL295" s="108"/>
      <c r="AM295" s="108"/>
      <c r="AN295" s="108"/>
      <c r="AO295" s="108"/>
      <c r="AP295" s="108"/>
      <c r="AQ295" s="108"/>
      <c r="AR295" s="108"/>
    </row>
    <row r="296" spans="1:44" ht="72" customHeight="1" x14ac:dyDescent="0.3">
      <c r="A296" s="108">
        <v>544</v>
      </c>
      <c r="B296" s="691" t="s">
        <v>59</v>
      </c>
      <c r="C296" s="691" t="s">
        <v>171</v>
      </c>
      <c r="D296" s="24" t="s">
        <v>1544</v>
      </c>
      <c r="E296" s="36" t="e">
        <f>HLOOKUP($D$2,'2020 Data(H)'!$C$1:$CR$397,194,FALSE)</f>
        <v>#N/A</v>
      </c>
      <c r="F296" s="371">
        <v>0</v>
      </c>
      <c r="G296" s="750"/>
      <c r="H296" s="17"/>
      <c r="I296" s="108"/>
      <c r="J296" s="854"/>
      <c r="M296" s="18" t="s">
        <v>51</v>
      </c>
      <c r="Z296" s="108"/>
      <c r="AA296" s="108"/>
      <c r="AB296" s="108"/>
      <c r="AC296" s="108"/>
      <c r="AD296" s="108"/>
      <c r="AE296" s="108"/>
      <c r="AF296" s="108"/>
      <c r="AG296" s="108"/>
      <c r="AH296" s="108"/>
      <c r="AI296" s="108"/>
      <c r="AJ296" s="108"/>
      <c r="AK296" s="108"/>
      <c r="AL296" s="108"/>
      <c r="AM296" s="108"/>
      <c r="AN296" s="108"/>
      <c r="AO296" s="108"/>
      <c r="AP296" s="108"/>
      <c r="AQ296" s="108"/>
      <c r="AR296" s="108"/>
    </row>
    <row r="297" spans="1:44" ht="73.5" customHeight="1" x14ac:dyDescent="0.3">
      <c r="A297" s="108">
        <v>545</v>
      </c>
      <c r="B297" s="691" t="s">
        <v>59</v>
      </c>
      <c r="C297" s="691" t="s">
        <v>171</v>
      </c>
      <c r="D297" s="24" t="s">
        <v>1545</v>
      </c>
      <c r="E297" s="1110"/>
      <c r="F297" s="371">
        <v>0</v>
      </c>
      <c r="G297" s="750"/>
      <c r="H297" s="17"/>
      <c r="I297" s="137"/>
      <c r="J297" s="854"/>
      <c r="M297" s="18" t="s">
        <v>52</v>
      </c>
      <c r="Z297" s="108"/>
      <c r="AA297" s="108"/>
      <c r="AB297" s="108"/>
      <c r="AC297" s="108"/>
      <c r="AD297" s="108"/>
      <c r="AE297" s="108"/>
      <c r="AF297" s="108"/>
      <c r="AG297" s="108"/>
      <c r="AH297" s="108"/>
      <c r="AI297" s="108"/>
      <c r="AJ297" s="108"/>
      <c r="AK297" s="108"/>
      <c r="AL297" s="108"/>
      <c r="AM297" s="108"/>
      <c r="AN297" s="108"/>
      <c r="AO297" s="108"/>
      <c r="AP297" s="108"/>
      <c r="AQ297" s="108"/>
      <c r="AR297" s="108"/>
    </row>
    <row r="298" spans="1:44" ht="51.75" customHeight="1" x14ac:dyDescent="0.3">
      <c r="A298" s="125">
        <v>624</v>
      </c>
      <c r="B298" s="124" t="s">
        <v>59</v>
      </c>
      <c r="C298" s="124"/>
      <c r="D298" s="124" t="s">
        <v>719</v>
      </c>
      <c r="E298" s="1110"/>
      <c r="F298" s="277"/>
      <c r="G298" s="792" t="str">
        <f>IF(+F298&lt;1,"Please answer this question","")</f>
        <v>Please answer this question</v>
      </c>
      <c r="H298" s="17"/>
      <c r="I298" s="108"/>
      <c r="J298" s="854"/>
      <c r="M298" s="18" t="s">
        <v>1024</v>
      </c>
      <c r="Z298" s="125"/>
      <c r="AA298" s="125"/>
      <c r="AB298" s="125"/>
      <c r="AC298" s="125"/>
      <c r="AD298" s="125"/>
      <c r="AE298" s="125"/>
      <c r="AF298" s="125"/>
      <c r="AG298" s="125"/>
      <c r="AH298" s="125"/>
      <c r="AI298" s="125"/>
      <c r="AJ298" s="125"/>
      <c r="AK298" s="125"/>
      <c r="AL298" s="125"/>
      <c r="AM298" s="125"/>
      <c r="AN298" s="125"/>
      <c r="AO298" s="125"/>
      <c r="AP298" s="125"/>
      <c r="AQ298" s="125"/>
      <c r="AR298" s="125"/>
    </row>
    <row r="299" spans="1:44" ht="70.5" customHeight="1" x14ac:dyDescent="0.3">
      <c r="A299" s="692">
        <v>648</v>
      </c>
      <c r="B299" s="321" t="s">
        <v>1132</v>
      </c>
      <c r="C299" s="848" t="s">
        <v>171</v>
      </c>
      <c r="D299" s="321" t="s">
        <v>1407</v>
      </c>
      <c r="E299" s="691" t="s">
        <v>1022</v>
      </c>
      <c r="F299" s="371">
        <v>0</v>
      </c>
      <c r="G299" s="792"/>
      <c r="H299" s="17"/>
      <c r="I299" s="108"/>
      <c r="J299" s="854"/>
      <c r="Z299" s="692"/>
      <c r="AA299" s="692"/>
      <c r="AB299" s="692"/>
      <c r="AC299" s="692"/>
      <c r="AD299" s="692"/>
      <c r="AE299" s="692"/>
      <c r="AF299" s="692"/>
      <c r="AG299" s="692"/>
      <c r="AH299" s="692"/>
      <c r="AI299" s="692"/>
      <c r="AJ299" s="692"/>
      <c r="AK299" s="692"/>
      <c r="AL299" s="692"/>
      <c r="AM299" s="692"/>
      <c r="AN299" s="692"/>
      <c r="AO299" s="692"/>
      <c r="AP299" s="692"/>
      <c r="AQ299" s="692"/>
      <c r="AR299" s="692"/>
    </row>
    <row r="300" spans="1:44" ht="171" customHeight="1" x14ac:dyDescent="0.3">
      <c r="A300" s="692">
        <v>991</v>
      </c>
      <c r="B300" s="320" t="s">
        <v>1052</v>
      </c>
      <c r="C300" s="321"/>
      <c r="D300" s="800" t="s">
        <v>1335</v>
      </c>
      <c r="E300" s="691" t="s">
        <v>1022</v>
      </c>
      <c r="F300" s="277"/>
      <c r="G300" s="792"/>
      <c r="H300" s="801" t="s">
        <v>1048</v>
      </c>
      <c r="I300" s="258"/>
      <c r="J300" s="854"/>
      <c r="M300" s="18" t="s">
        <v>1049</v>
      </c>
      <c r="Z300" s="692"/>
      <c r="AA300" s="692"/>
      <c r="AB300" s="692"/>
      <c r="AC300" s="692"/>
      <c r="AD300" s="692"/>
      <c r="AE300" s="692"/>
      <c r="AF300" s="692"/>
      <c r="AG300" s="692"/>
      <c r="AH300" s="692"/>
      <c r="AI300" s="692"/>
      <c r="AJ300" s="692"/>
      <c r="AK300" s="692"/>
      <c r="AL300" s="692"/>
      <c r="AM300" s="692"/>
      <c r="AN300" s="692"/>
      <c r="AO300" s="692"/>
      <c r="AP300" s="692"/>
      <c r="AQ300" s="692"/>
      <c r="AR300" s="692"/>
    </row>
    <row r="301" spans="1:44" ht="27.75" customHeight="1" x14ac:dyDescent="0.3">
      <c r="A301" s="108"/>
      <c r="B301" s="884" t="s">
        <v>703</v>
      </c>
      <c r="C301" s="884"/>
      <c r="D301" s="884"/>
      <c r="E301" s="906"/>
      <c r="F301" s="906"/>
      <c r="G301" s="907"/>
      <c r="H301" s="17"/>
      <c r="I301" s="108"/>
      <c r="J301" s="854"/>
      <c r="M301" s="18" t="s">
        <v>1050</v>
      </c>
      <c r="Z301" s="108"/>
      <c r="AA301" s="108"/>
      <c r="AB301" s="108"/>
      <c r="AC301" s="108"/>
      <c r="AD301" s="108"/>
      <c r="AE301" s="108"/>
      <c r="AF301" s="108"/>
      <c r="AG301" s="108"/>
      <c r="AH301" s="108"/>
      <c r="AI301" s="108"/>
      <c r="AJ301" s="108"/>
      <c r="AK301" s="108"/>
      <c r="AL301" s="108"/>
      <c r="AM301" s="108"/>
      <c r="AN301" s="108"/>
      <c r="AO301" s="108"/>
      <c r="AP301" s="108"/>
      <c r="AQ301" s="108"/>
      <c r="AR301" s="108"/>
    </row>
    <row r="302" spans="1:44" ht="68.25" customHeight="1" x14ac:dyDescent="0.3">
      <c r="A302" s="108">
        <v>620</v>
      </c>
      <c r="B302" s="691" t="s">
        <v>59</v>
      </c>
      <c r="C302" s="691"/>
      <c r="D302" s="24" t="s">
        <v>702</v>
      </c>
      <c r="E302" s="927"/>
      <c r="F302" s="277"/>
      <c r="G302" s="792" t="str">
        <f>IF(F302&lt;1,"Please answer this question","")</f>
        <v>Please answer this question</v>
      </c>
      <c r="H302" s="17"/>
      <c r="I302" s="108"/>
      <c r="J302" s="854"/>
      <c r="M302" s="18" t="s">
        <v>1051</v>
      </c>
      <c r="Z302" s="108"/>
      <c r="AA302" s="108"/>
      <c r="AB302" s="108"/>
      <c r="AC302" s="108"/>
      <c r="AD302" s="108"/>
      <c r="AE302" s="108"/>
      <c r="AF302" s="108"/>
      <c r="AG302" s="108"/>
      <c r="AH302" s="108"/>
      <c r="AI302" s="108"/>
      <c r="AJ302" s="108"/>
      <c r="AK302" s="108"/>
      <c r="AL302" s="108"/>
      <c r="AM302" s="108"/>
      <c r="AN302" s="108"/>
      <c r="AO302" s="108"/>
      <c r="AP302" s="108"/>
      <c r="AQ302" s="108"/>
      <c r="AR302" s="108"/>
    </row>
    <row r="303" spans="1:44" ht="123.75" customHeight="1" x14ac:dyDescent="0.3">
      <c r="A303" s="855"/>
      <c r="B303" s="1218" t="s">
        <v>870</v>
      </c>
      <c r="C303" s="1218"/>
      <c r="D303" s="1218"/>
      <c r="E303" s="920"/>
      <c r="F303" s="920"/>
      <c r="G303" s="920"/>
      <c r="H303" s="17"/>
      <c r="I303" s="108"/>
      <c r="J303" s="854"/>
      <c r="M303" s="18" t="s">
        <v>878</v>
      </c>
      <c r="Z303" s="855"/>
      <c r="AA303" s="855"/>
      <c r="AB303" s="855"/>
      <c r="AC303" s="855"/>
      <c r="AD303" s="855"/>
      <c r="AE303" s="855"/>
      <c r="AF303" s="855"/>
      <c r="AG303" s="855"/>
      <c r="AH303" s="855"/>
      <c r="AI303" s="855"/>
      <c r="AJ303" s="855"/>
      <c r="AK303" s="855"/>
      <c r="AL303" s="855"/>
      <c r="AM303" s="855"/>
      <c r="AN303" s="855"/>
      <c r="AO303" s="855"/>
      <c r="AP303" s="855"/>
      <c r="AQ303" s="855"/>
      <c r="AR303" s="855"/>
    </row>
    <row r="304" spans="1:44" ht="63" customHeight="1" x14ac:dyDescent="0.3">
      <c r="A304" s="313">
        <v>947</v>
      </c>
      <c r="B304" s="856"/>
      <c r="C304" s="856"/>
      <c r="D304" s="175" t="s">
        <v>824</v>
      </c>
      <c r="E304" s="694"/>
      <c r="F304" s="802"/>
      <c r="G304" s="792" t="str">
        <f>IF(ISBLANK(F304),"Please do not leave blank","")</f>
        <v>Please do not leave blank</v>
      </c>
      <c r="H304" s="17"/>
      <c r="I304" s="301"/>
      <c r="J304" s="729"/>
      <c r="K304" s="301"/>
      <c r="L304" s="301"/>
      <c r="M304" s="301"/>
      <c r="O304" s="301"/>
      <c r="Z304" s="313"/>
      <c r="AA304" s="313"/>
      <c r="AB304" s="313"/>
      <c r="AC304" s="313"/>
      <c r="AD304" s="313"/>
      <c r="AE304" s="313"/>
      <c r="AF304" s="313"/>
      <c r="AG304" s="313"/>
      <c r="AH304" s="313"/>
      <c r="AI304" s="313"/>
      <c r="AJ304" s="313"/>
      <c r="AK304" s="313"/>
      <c r="AL304" s="313"/>
      <c r="AM304" s="313"/>
      <c r="AN304" s="313"/>
      <c r="AO304" s="313"/>
      <c r="AP304" s="313"/>
      <c r="AQ304" s="313"/>
      <c r="AR304" s="313"/>
    </row>
    <row r="305" spans="1:44" ht="65.25" customHeight="1" x14ac:dyDescent="0.3">
      <c r="A305" s="313">
        <v>948</v>
      </c>
      <c r="B305" s="856"/>
      <c r="C305" s="856"/>
      <c r="D305" s="175" t="s">
        <v>825</v>
      </c>
      <c r="E305" s="694"/>
      <c r="F305" s="802"/>
      <c r="G305" s="792" t="str">
        <f t="shared" ref="G305:G311" si="3">IF(ISBLANK(F305),"Please do not leave blank","")</f>
        <v>Please do not leave blank</v>
      </c>
      <c r="H305" s="17"/>
      <c r="I305" s="301"/>
      <c r="J305" s="729"/>
      <c r="K305" s="301"/>
      <c r="L305" s="301"/>
      <c r="M305" s="301"/>
      <c r="O305" s="301"/>
      <c r="Z305" s="313"/>
      <c r="AA305" s="313"/>
      <c r="AB305" s="313"/>
      <c r="AC305" s="313"/>
      <c r="AD305" s="313"/>
      <c r="AE305" s="313"/>
      <c r="AF305" s="313"/>
      <c r="AG305" s="313"/>
      <c r="AH305" s="313"/>
      <c r="AI305" s="313"/>
      <c r="AJ305" s="313"/>
      <c r="AK305" s="313"/>
      <c r="AL305" s="313"/>
      <c r="AM305" s="313"/>
      <c r="AN305" s="313"/>
      <c r="AO305" s="313"/>
      <c r="AP305" s="313"/>
      <c r="AQ305" s="313"/>
      <c r="AR305" s="313"/>
    </row>
    <row r="306" spans="1:44" ht="76.5" customHeight="1" x14ac:dyDescent="0.3">
      <c r="A306" s="313">
        <v>949</v>
      </c>
      <c r="B306" s="856"/>
      <c r="C306" s="856"/>
      <c r="D306" s="175" t="s">
        <v>826</v>
      </c>
      <c r="E306" s="694"/>
      <c r="F306" s="802"/>
      <c r="G306" s="792" t="str">
        <f t="shared" si="3"/>
        <v>Please do not leave blank</v>
      </c>
      <c r="H306" s="17"/>
      <c r="I306" s="301"/>
      <c r="J306" s="729"/>
      <c r="K306" s="301"/>
      <c r="L306" s="301"/>
      <c r="M306" s="301"/>
      <c r="O306" s="301"/>
      <c r="Z306" s="313"/>
      <c r="AA306" s="313"/>
      <c r="AB306" s="313"/>
      <c r="AC306" s="313"/>
      <c r="AD306" s="313"/>
      <c r="AE306" s="313"/>
      <c r="AF306" s="313"/>
      <c r="AG306" s="313"/>
      <c r="AH306" s="313"/>
      <c r="AI306" s="313"/>
      <c r="AJ306" s="313"/>
      <c r="AK306" s="313"/>
      <c r="AL306" s="313"/>
      <c r="AM306" s="313"/>
      <c r="AN306" s="313"/>
      <c r="AO306" s="313"/>
      <c r="AP306" s="313"/>
      <c r="AQ306" s="313"/>
      <c r="AR306" s="313"/>
    </row>
    <row r="307" spans="1:44" ht="60" customHeight="1" x14ac:dyDescent="0.3">
      <c r="A307" s="313">
        <v>950</v>
      </c>
      <c r="B307" s="856"/>
      <c r="C307" s="856"/>
      <c r="D307" s="175" t="s">
        <v>808</v>
      </c>
      <c r="E307" s="694"/>
      <c r="F307" s="802"/>
      <c r="G307" s="792" t="str">
        <f t="shared" si="3"/>
        <v>Please do not leave blank</v>
      </c>
      <c r="H307" s="17"/>
      <c r="I307" s="301"/>
      <c r="J307" s="729"/>
      <c r="K307" s="301"/>
      <c r="L307" s="301"/>
      <c r="M307" s="301"/>
      <c r="O307" s="301"/>
      <c r="Z307" s="313"/>
      <c r="AA307" s="313"/>
      <c r="AB307" s="313"/>
      <c r="AC307" s="313"/>
      <c r="AD307" s="313"/>
      <c r="AE307" s="313"/>
      <c r="AF307" s="313"/>
      <c r="AG307" s="313"/>
      <c r="AH307" s="313"/>
      <c r="AI307" s="313"/>
      <c r="AJ307" s="313"/>
      <c r="AK307" s="313"/>
      <c r="AL307" s="313"/>
      <c r="AM307" s="313"/>
      <c r="AN307" s="313"/>
      <c r="AO307" s="313"/>
      <c r="AP307" s="313"/>
      <c r="AQ307" s="313"/>
      <c r="AR307" s="313"/>
    </row>
    <row r="308" spans="1:44" ht="72" x14ac:dyDescent="0.3">
      <c r="A308" s="313">
        <v>952</v>
      </c>
      <c r="B308" s="856"/>
      <c r="C308" s="856"/>
      <c r="D308" s="803" t="s">
        <v>1429</v>
      </c>
      <c r="E308" s="694"/>
      <c r="F308" s="804"/>
      <c r="G308" s="792" t="s">
        <v>1575</v>
      </c>
      <c r="H308" s="17"/>
      <c r="I308" s="805"/>
      <c r="J308" s="729"/>
      <c r="K308" s="301"/>
      <c r="L308" s="301"/>
      <c r="M308" s="301"/>
      <c r="O308" s="301"/>
      <c r="Z308" s="313"/>
      <c r="AA308" s="313"/>
      <c r="AB308" s="313"/>
      <c r="AC308" s="313"/>
      <c r="AD308" s="313"/>
      <c r="AE308" s="313"/>
      <c r="AF308" s="313"/>
      <c r="AG308" s="313"/>
      <c r="AH308" s="313"/>
      <c r="AI308" s="313"/>
      <c r="AJ308" s="313"/>
      <c r="AK308" s="313"/>
      <c r="AL308" s="313"/>
      <c r="AM308" s="313"/>
      <c r="AN308" s="313"/>
      <c r="AO308" s="313"/>
      <c r="AP308" s="313"/>
      <c r="AQ308" s="313"/>
      <c r="AR308" s="313"/>
    </row>
    <row r="309" spans="1:44" ht="93" customHeight="1" x14ac:dyDescent="0.3">
      <c r="A309" s="313">
        <v>954</v>
      </c>
      <c r="B309" s="856"/>
      <c r="C309" s="856"/>
      <c r="D309" s="803" t="s">
        <v>809</v>
      </c>
      <c r="E309" s="694"/>
      <c r="F309" s="802"/>
      <c r="G309" s="792" t="str">
        <f t="shared" si="3"/>
        <v>Please do not leave blank</v>
      </c>
      <c r="H309" s="17"/>
      <c r="I309" s="301"/>
      <c r="J309" s="729"/>
      <c r="K309" s="301"/>
      <c r="L309" s="301"/>
      <c r="M309" s="301"/>
      <c r="O309" s="301"/>
      <c r="Z309" s="313"/>
      <c r="AA309" s="313"/>
      <c r="AB309" s="313"/>
      <c r="AC309" s="313"/>
      <c r="AD309" s="313"/>
      <c r="AE309" s="313"/>
      <c r="AF309" s="313"/>
      <c r="AG309" s="313"/>
      <c r="AH309" s="313"/>
      <c r="AI309" s="313"/>
      <c r="AJ309" s="313"/>
      <c r="AK309" s="313"/>
      <c r="AL309" s="313"/>
      <c r="AM309" s="313"/>
      <c r="AN309" s="313"/>
      <c r="AO309" s="313"/>
      <c r="AP309" s="313"/>
      <c r="AQ309" s="313"/>
      <c r="AR309" s="313"/>
    </row>
    <row r="310" spans="1:44" ht="98.25" customHeight="1" x14ac:dyDescent="0.3">
      <c r="A310" s="313">
        <v>956</v>
      </c>
      <c r="B310" s="856"/>
      <c r="C310" s="856"/>
      <c r="D310" s="803" t="s">
        <v>810</v>
      </c>
      <c r="E310" s="694"/>
      <c r="F310" s="802"/>
      <c r="G310" s="792" t="str">
        <f t="shared" si="3"/>
        <v>Please do not leave blank</v>
      </c>
      <c r="H310" s="17"/>
      <c r="I310" s="301"/>
      <c r="J310" s="306"/>
      <c r="K310" s="301"/>
      <c r="L310" s="301"/>
      <c r="M310" s="301"/>
      <c r="O310" s="301"/>
      <c r="Z310" s="313"/>
      <c r="AA310" s="313"/>
      <c r="AB310" s="313"/>
      <c r="AC310" s="313"/>
      <c r="AD310" s="313"/>
      <c r="AE310" s="313"/>
      <c r="AF310" s="313"/>
      <c r="AG310" s="313"/>
      <c r="AH310" s="313"/>
      <c r="AI310" s="313"/>
      <c r="AJ310" s="313"/>
      <c r="AK310" s="313"/>
      <c r="AL310" s="313"/>
      <c r="AM310" s="313"/>
      <c r="AN310" s="313"/>
      <c r="AO310" s="313"/>
      <c r="AP310" s="313"/>
      <c r="AQ310" s="313"/>
      <c r="AR310" s="313"/>
    </row>
    <row r="311" spans="1:44" ht="218.25" customHeight="1" x14ac:dyDescent="0.3">
      <c r="A311" s="313">
        <v>958</v>
      </c>
      <c r="B311" s="856"/>
      <c r="C311" s="856"/>
      <c r="D311" s="800" t="s">
        <v>1274</v>
      </c>
      <c r="E311" s="694"/>
      <c r="F311" s="802"/>
      <c r="G311" s="792" t="str">
        <f t="shared" si="3"/>
        <v>Please do not leave blank</v>
      </c>
      <c r="H311" s="17"/>
      <c r="I311" s="301"/>
      <c r="J311" s="301"/>
      <c r="K311" s="301"/>
      <c r="L311" s="301"/>
      <c r="M311" s="301"/>
      <c r="O311" s="301"/>
      <c r="Z311" s="313"/>
      <c r="AA311" s="313"/>
      <c r="AB311" s="313"/>
      <c r="AC311" s="313"/>
      <c r="AD311" s="313"/>
      <c r="AE311" s="313"/>
      <c r="AF311" s="313"/>
      <c r="AG311" s="313"/>
      <c r="AH311" s="313"/>
      <c r="AI311" s="313"/>
      <c r="AJ311" s="313"/>
      <c r="AK311" s="313"/>
      <c r="AL311" s="313"/>
      <c r="AM311" s="313"/>
      <c r="AN311" s="313"/>
      <c r="AO311" s="313"/>
      <c r="AP311" s="313"/>
      <c r="AQ311" s="313"/>
      <c r="AR311" s="313"/>
    </row>
    <row r="312" spans="1:44" ht="15" thickBot="1" x14ac:dyDescent="0.35">
      <c r="A312" s="108"/>
      <c r="B312" s="908"/>
      <c r="C312" s="909"/>
      <c r="D312" s="910" t="s">
        <v>812</v>
      </c>
      <c r="E312" s="894"/>
      <c r="F312" s="911"/>
      <c r="G312" s="912"/>
      <c r="H312" s="913"/>
      <c r="I312" s="301"/>
      <c r="J312" s="301"/>
      <c r="K312" s="301"/>
      <c r="L312" s="301"/>
      <c r="M312" s="301"/>
      <c r="O312" s="301"/>
      <c r="Z312" s="108"/>
      <c r="AA312" s="108"/>
      <c r="AB312" s="108"/>
      <c r="AC312" s="108"/>
      <c r="AD312" s="108"/>
      <c r="AE312" s="108"/>
      <c r="AF312" s="108"/>
      <c r="AG312" s="108"/>
      <c r="AH312" s="108"/>
      <c r="AI312" s="108"/>
      <c r="AJ312" s="108"/>
      <c r="AK312" s="108"/>
      <c r="AL312" s="108"/>
      <c r="AM312" s="108"/>
      <c r="AN312" s="108"/>
      <c r="AO312" s="108"/>
      <c r="AP312" s="108"/>
      <c r="AQ312" s="108"/>
      <c r="AR312" s="108"/>
    </row>
    <row r="313" spans="1:44" ht="15" thickBot="1" x14ac:dyDescent="0.35">
      <c r="B313" s="1215" t="s">
        <v>871</v>
      </c>
      <c r="C313" s="1216"/>
      <c r="D313" s="1216"/>
      <c r="E313" s="1217"/>
      <c r="F313" s="79"/>
      <c r="G313" s="792"/>
      <c r="H313" s="17"/>
      <c r="I313" s="108"/>
      <c r="Z313" s="18"/>
    </row>
    <row r="314" spans="1:44" ht="75.75" customHeight="1" x14ac:dyDescent="0.3">
      <c r="B314" s="1203" t="s">
        <v>872</v>
      </c>
      <c r="C314" s="1203"/>
      <c r="D314" s="1203"/>
      <c r="E314" s="1203"/>
      <c r="F314" s="79"/>
      <c r="G314" s="792"/>
      <c r="H314" s="17"/>
      <c r="I314" s="108"/>
      <c r="Z314" s="18"/>
    </row>
    <row r="315" spans="1:44" ht="15" thickBot="1" x14ac:dyDescent="0.35">
      <c r="A315" s="806"/>
      <c r="B315" s="807"/>
      <c r="C315" s="807"/>
      <c r="D315" s="808"/>
      <c r="E315" s="689"/>
      <c r="F315" s="79"/>
      <c r="G315" s="792"/>
      <c r="H315" s="17"/>
      <c r="I315" s="108"/>
      <c r="Z315" s="806"/>
      <c r="AA315" s="806"/>
      <c r="AB315" s="806"/>
      <c r="AC315" s="806"/>
      <c r="AD315" s="806"/>
      <c r="AE315" s="806"/>
      <c r="AF315" s="806"/>
      <c r="AG315" s="806"/>
      <c r="AH315" s="806"/>
      <c r="AI315" s="806"/>
      <c r="AJ315" s="806"/>
      <c r="AK315" s="806"/>
      <c r="AL315" s="806"/>
      <c r="AM315" s="806"/>
      <c r="AN315" s="806"/>
      <c r="AO315" s="806"/>
      <c r="AP315" s="806"/>
      <c r="AQ315" s="806"/>
      <c r="AR315" s="806"/>
    </row>
    <row r="316" spans="1:44" ht="15" thickBot="1" x14ac:dyDescent="0.35">
      <c r="B316" s="159" t="s">
        <v>784</v>
      </c>
      <c r="C316" s="160" t="s">
        <v>785</v>
      </c>
      <c r="D316" s="809"/>
      <c r="E316" s="810"/>
      <c r="F316" s="100"/>
      <c r="G316" s="792"/>
      <c r="H316" s="17"/>
      <c r="I316" s="108"/>
      <c r="Z316" s="18"/>
    </row>
    <row r="317" spans="1:44" ht="44.25" customHeight="1" thickBot="1" x14ac:dyDescent="0.35">
      <c r="B317" s="163" t="s">
        <v>830</v>
      </c>
      <c r="C317" s="162"/>
      <c r="D317" s="161"/>
      <c r="E317" s="695"/>
      <c r="F317" s="811"/>
      <c r="G317" s="792"/>
      <c r="H317" s="17"/>
      <c r="I317" s="108"/>
      <c r="Z317" s="18"/>
    </row>
    <row r="318" spans="1:44" ht="44.25" customHeight="1" thickBot="1" x14ac:dyDescent="0.35">
      <c r="B318" s="163"/>
      <c r="C318" s="174"/>
      <c r="D318" s="812" t="s">
        <v>860</v>
      </c>
      <c r="E318" s="813"/>
      <c r="F318" s="814"/>
      <c r="G318" s="814"/>
      <c r="H318" s="17"/>
      <c r="I318" s="108"/>
      <c r="Z318" s="18"/>
    </row>
    <row r="319" spans="1:44" ht="64.5" customHeight="1" thickBot="1" x14ac:dyDescent="0.35">
      <c r="A319" s="579">
        <v>960</v>
      </c>
      <c r="B319" s="1208" t="s">
        <v>831</v>
      </c>
      <c r="C319" s="1209"/>
      <c r="D319" s="815"/>
      <c r="E319" s="921" t="str">
        <f>IF(ISBLANK($D319),"&lt;&lt;&lt;&lt;&lt;&lt;&lt;&lt;&lt;&lt;&lt;&lt;&lt;&lt;&lt;","")</f>
        <v>&lt;&lt;&lt;&lt;&lt;&lt;&lt;&lt;&lt;&lt;&lt;&lt;&lt;&lt;&lt;</v>
      </c>
      <c r="F319" s="922" t="str">
        <f>IF(ISBLANK($D319),"Required","")</f>
        <v>Required</v>
      </c>
      <c r="G319" s="924"/>
      <c r="H319" s="751"/>
      <c r="I319" s="108"/>
      <c r="Z319" s="579"/>
      <c r="AA319" s="579"/>
      <c r="AB319" s="579"/>
      <c r="AC319" s="579"/>
      <c r="AD319" s="579"/>
      <c r="AE319" s="579"/>
      <c r="AF319" s="579"/>
      <c r="AG319" s="579"/>
      <c r="AH319" s="579"/>
      <c r="AI319" s="579"/>
      <c r="AJ319" s="579"/>
      <c r="AK319" s="579"/>
      <c r="AL319" s="579"/>
      <c r="AM319" s="579"/>
      <c r="AN319" s="579"/>
      <c r="AO319" s="579"/>
      <c r="AP319" s="579"/>
      <c r="AQ319" s="579"/>
      <c r="AR319" s="579"/>
    </row>
    <row r="320" spans="1:44" ht="30.75" customHeight="1" thickBot="1" x14ac:dyDescent="0.35">
      <c r="A320" s="579">
        <v>962</v>
      </c>
      <c r="B320" s="1204" t="s">
        <v>786</v>
      </c>
      <c r="C320" s="1205"/>
      <c r="D320" s="815"/>
      <c r="E320" s="921" t="str">
        <f>IF(ISBLANK($D320),"&lt;&lt;&lt;&lt;&lt;&lt;&lt;&lt;&lt;&lt;&lt;&lt;&lt;&lt;&lt;","")</f>
        <v>&lt;&lt;&lt;&lt;&lt;&lt;&lt;&lt;&lt;&lt;&lt;&lt;&lt;&lt;&lt;</v>
      </c>
      <c r="F320" s="922" t="str">
        <f>IF(ISBLANK($D320),"Required","")</f>
        <v>Required</v>
      </c>
      <c r="H320" s="17"/>
      <c r="I320" s="108"/>
      <c r="Z320" s="579"/>
      <c r="AA320" s="579"/>
      <c r="AB320" s="579"/>
      <c r="AC320" s="579"/>
      <c r="AD320" s="579"/>
      <c r="AE320" s="579"/>
      <c r="AF320" s="579"/>
      <c r="AG320" s="579"/>
      <c r="AH320" s="579"/>
      <c r="AI320" s="579"/>
      <c r="AJ320" s="579"/>
      <c r="AK320" s="579"/>
      <c r="AL320" s="579"/>
      <c r="AM320" s="579"/>
      <c r="AN320" s="579"/>
      <c r="AO320" s="579"/>
      <c r="AP320" s="579"/>
      <c r="AQ320" s="579"/>
      <c r="AR320" s="579"/>
    </row>
    <row r="321" spans="1:44" ht="30.75" customHeight="1" thickBot="1" x14ac:dyDescent="0.35">
      <c r="A321" s="579">
        <v>964</v>
      </c>
      <c r="B321" s="1204" t="s">
        <v>787</v>
      </c>
      <c r="C321" s="1205"/>
      <c r="D321" s="816"/>
      <c r="E321" s="921" t="str">
        <f>IF(ISBLANK($D321),"&lt;&lt;&lt;&lt;&lt;&lt;&lt;&lt;&lt;&lt;&lt;&lt;&lt;&lt;&lt;","")</f>
        <v>&lt;&lt;&lt;&lt;&lt;&lt;&lt;&lt;&lt;&lt;&lt;&lt;&lt;&lt;&lt;</v>
      </c>
      <c r="F321" s="922" t="str">
        <f>IF(ISBLANK($D321),"Required","")</f>
        <v>Required</v>
      </c>
      <c r="H321" s="17"/>
      <c r="I321" s="372"/>
      <c r="Z321" s="579"/>
      <c r="AA321" s="579"/>
      <c r="AB321" s="579"/>
      <c r="AC321" s="579"/>
      <c r="AD321" s="579"/>
      <c r="AE321" s="579"/>
      <c r="AF321" s="579"/>
      <c r="AG321" s="579"/>
      <c r="AH321" s="579"/>
      <c r="AI321" s="579"/>
      <c r="AJ321" s="579"/>
      <c r="AK321" s="579"/>
      <c r="AL321" s="579"/>
      <c r="AM321" s="579"/>
      <c r="AN321" s="579"/>
      <c r="AO321" s="579"/>
      <c r="AP321" s="579"/>
      <c r="AQ321" s="579"/>
      <c r="AR321" s="579"/>
    </row>
    <row r="322" spans="1:44" ht="30.75" customHeight="1" thickBot="1" x14ac:dyDescent="0.35">
      <c r="A322" s="579">
        <v>966</v>
      </c>
      <c r="B322" s="1204" t="s">
        <v>788</v>
      </c>
      <c r="C322" s="1205"/>
      <c r="D322" s="815"/>
      <c r="E322" s="921" t="str">
        <f>IF(ISBLANK($D322),"&lt;&lt;&lt;&lt;&lt;&lt;&lt;&lt;&lt;&lt;&lt;&lt;&lt;&lt;&lt;","")</f>
        <v>&lt;&lt;&lt;&lt;&lt;&lt;&lt;&lt;&lt;&lt;&lt;&lt;&lt;&lt;&lt;</v>
      </c>
      <c r="F322" s="922" t="str">
        <f>IF(ISBLANK($D322),"Required","")</f>
        <v>Required</v>
      </c>
      <c r="H322" s="17"/>
      <c r="I322" s="108"/>
      <c r="Z322" s="579"/>
      <c r="AA322" s="579"/>
      <c r="AB322" s="579"/>
      <c r="AC322" s="579"/>
      <c r="AD322" s="579"/>
      <c r="AE322" s="579"/>
      <c r="AF322" s="579"/>
      <c r="AG322" s="579"/>
      <c r="AH322" s="579"/>
      <c r="AI322" s="579"/>
      <c r="AJ322" s="579"/>
      <c r="AK322" s="579"/>
      <c r="AL322" s="579"/>
      <c r="AM322" s="579"/>
      <c r="AN322" s="579"/>
      <c r="AO322" s="579"/>
      <c r="AP322" s="579"/>
      <c r="AQ322" s="579"/>
      <c r="AR322" s="579"/>
    </row>
    <row r="323" spans="1:44" ht="30.75" customHeight="1" thickBot="1" x14ac:dyDescent="0.35">
      <c r="A323" s="579">
        <v>968</v>
      </c>
      <c r="B323" s="1206" t="s">
        <v>789</v>
      </c>
      <c r="C323" s="1207"/>
      <c r="D323" s="817"/>
      <c r="E323" s="923" t="str">
        <f>IF(ISBLANK($D323),"&lt;&lt;&lt;&lt;&lt;&lt;&lt;&lt;&lt;&lt;&lt;&lt;&lt;&lt;&lt;","")</f>
        <v>&lt;&lt;&lt;&lt;&lt;&lt;&lt;&lt;&lt;&lt;&lt;&lt;&lt;&lt;&lt;</v>
      </c>
      <c r="F323" s="922" t="str">
        <f>IF(ISBLANK($D323),"Required","")</f>
        <v>Required</v>
      </c>
      <c r="H323" s="17"/>
      <c r="I323" s="108"/>
      <c r="Z323" s="579"/>
      <c r="AA323" s="579"/>
      <c r="AB323" s="579"/>
      <c r="AC323" s="579"/>
      <c r="AD323" s="579"/>
      <c r="AE323" s="579"/>
      <c r="AF323" s="579"/>
      <c r="AG323" s="579"/>
      <c r="AH323" s="579"/>
      <c r="AI323" s="579"/>
      <c r="AJ323" s="579"/>
      <c r="AK323" s="579"/>
      <c r="AL323" s="579"/>
      <c r="AM323" s="579"/>
      <c r="AN323" s="579"/>
      <c r="AO323" s="579"/>
      <c r="AP323" s="579"/>
      <c r="AQ323" s="579"/>
      <c r="AR323" s="579"/>
    </row>
    <row r="324" spans="1:44" x14ac:dyDescent="0.3">
      <c r="A324" s="108"/>
      <c r="B324" s="914"/>
      <c r="C324" s="914"/>
      <c r="D324" s="925" t="s">
        <v>46</v>
      </c>
      <c r="E324" s="915"/>
      <c r="F324" s="915"/>
      <c r="G324" s="915"/>
      <c r="H324" s="916"/>
      <c r="I324" s="108"/>
    </row>
    <row r="325" spans="1:44" x14ac:dyDescent="0.3">
      <c r="A325" s="108"/>
      <c r="B325" s="691"/>
      <c r="C325" s="691"/>
      <c r="D325" s="172"/>
      <c r="E325" s="303"/>
      <c r="F325" s="818"/>
      <c r="G325" s="818"/>
      <c r="H325" s="17"/>
      <c r="I325" s="108"/>
    </row>
    <row r="326" spans="1:44" x14ac:dyDescent="0.3">
      <c r="A326" s="108"/>
      <c r="B326" s="691"/>
      <c r="C326" s="691"/>
      <c r="D326" s="24"/>
      <c r="E326" s="689"/>
      <c r="F326" s="818"/>
      <c r="G326" s="818"/>
      <c r="H326" s="17"/>
      <c r="I326" s="108"/>
    </row>
    <row r="327" spans="1:44" x14ac:dyDescent="0.3">
      <c r="A327" s="1105">
        <f>SUBTOTAL(109,A7:A323)</f>
        <v>96734</v>
      </c>
      <c r="E327" s="1170"/>
    </row>
    <row r="328" spans="1:44" x14ac:dyDescent="0.3">
      <c r="A328" s="108"/>
      <c r="B328" s="857"/>
      <c r="C328" s="857"/>
      <c r="D328" s="819"/>
      <c r="E328" s="417"/>
      <c r="F328" s="18"/>
      <c r="G328" s="820"/>
      <c r="H328" s="17"/>
      <c r="I328" s="108"/>
    </row>
    <row r="329" spans="1:44" x14ac:dyDescent="0.3">
      <c r="A329" s="579"/>
      <c r="B329" s="579"/>
      <c r="C329" s="579"/>
      <c r="D329" s="819"/>
      <c r="E329" s="417"/>
      <c r="F329" s="301"/>
      <c r="G329" s="820"/>
      <c r="H329" s="17"/>
      <c r="I329" s="108"/>
    </row>
    <row r="330" spans="1:44" x14ac:dyDescent="0.3">
      <c r="A330" s="579"/>
      <c r="B330" s="579"/>
      <c r="C330" s="579"/>
      <c r="D330" s="821"/>
      <c r="E330" s="417"/>
      <c r="F330" s="301"/>
      <c r="G330" s="820"/>
      <c r="H330" s="17"/>
      <c r="I330" s="108"/>
    </row>
    <row r="331" spans="1:44" x14ac:dyDescent="0.3">
      <c r="A331" s="579"/>
      <c r="B331" s="579"/>
      <c r="C331" s="579"/>
      <c r="D331" s="821"/>
      <c r="E331" s="417"/>
      <c r="F331" s="301"/>
      <c r="G331" s="820"/>
      <c r="H331" s="17"/>
      <c r="I331" s="108"/>
    </row>
    <row r="332" spans="1:44" x14ac:dyDescent="0.3">
      <c r="A332" s="579"/>
      <c r="B332" s="579"/>
      <c r="C332" s="579"/>
      <c r="D332" s="821"/>
      <c r="E332" s="417"/>
      <c r="F332" s="301"/>
      <c r="G332" s="820"/>
      <c r="H332" s="17"/>
      <c r="I332" s="108"/>
    </row>
    <row r="333" spans="1:44" x14ac:dyDescent="0.3">
      <c r="A333" s="579"/>
      <c r="B333" s="579"/>
      <c r="C333" s="579"/>
      <c r="D333" s="821"/>
      <c r="E333" s="417"/>
      <c r="F333" s="301"/>
      <c r="G333" s="820"/>
      <c r="H333" s="17"/>
      <c r="I333" s="108"/>
    </row>
    <row r="334" spans="1:44" x14ac:dyDescent="0.3">
      <c r="A334" s="579"/>
      <c r="D334" s="619"/>
      <c r="E334" s="417"/>
      <c r="F334" s="301"/>
      <c r="H334" s="17"/>
      <c r="I334" s="108"/>
    </row>
    <row r="335" spans="1:44" x14ac:dyDescent="0.3">
      <c r="D335" s="619"/>
      <c r="E335" s="418"/>
      <c r="F335" s="301"/>
      <c r="H335" s="17"/>
      <c r="I335" s="108"/>
    </row>
    <row r="336" spans="1:44" x14ac:dyDescent="0.3">
      <c r="D336" s="619"/>
      <c r="E336" s="417"/>
      <c r="F336" s="301"/>
      <c r="H336" s="17"/>
      <c r="I336" s="108"/>
    </row>
    <row r="337" spans="4:12" x14ac:dyDescent="0.3">
      <c r="D337" s="619"/>
      <c r="E337" s="303"/>
      <c r="F337" s="301"/>
      <c r="I337" s="108"/>
    </row>
    <row r="338" spans="4:12" x14ac:dyDescent="0.3">
      <c r="E338" s="407"/>
      <c r="F338" s="301"/>
      <c r="G338" s="823"/>
      <c r="I338" s="108"/>
    </row>
    <row r="339" spans="4:12" x14ac:dyDescent="0.3">
      <c r="E339" s="303"/>
      <c r="F339" s="301"/>
      <c r="I339" s="108"/>
    </row>
    <row r="340" spans="4:12" x14ac:dyDescent="0.3">
      <c r="E340" s="303"/>
      <c r="F340" s="301"/>
      <c r="I340" s="108"/>
    </row>
    <row r="341" spans="4:12" x14ac:dyDescent="0.3">
      <c r="E341" s="303"/>
      <c r="F341" s="301"/>
      <c r="I341" s="108"/>
    </row>
    <row r="342" spans="4:12" x14ac:dyDescent="0.3">
      <c r="I342" s="108"/>
    </row>
    <row r="343" spans="4:12" x14ac:dyDescent="0.3">
      <c r="I343" s="108"/>
    </row>
    <row r="344" spans="4:12" x14ac:dyDescent="0.3">
      <c r="I344" s="108"/>
    </row>
    <row r="345" spans="4:12" x14ac:dyDescent="0.3">
      <c r="I345" s="108"/>
    </row>
    <row r="346" spans="4:12" x14ac:dyDescent="0.3">
      <c r="I346" s="108"/>
    </row>
    <row r="347" spans="4:12" x14ac:dyDescent="0.3">
      <c r="I347" s="108"/>
    </row>
    <row r="348" spans="4:12" x14ac:dyDescent="0.3">
      <c r="I348" s="108"/>
    </row>
    <row r="349" spans="4:12" x14ac:dyDescent="0.3">
      <c r="I349" s="301"/>
    </row>
    <row r="350" spans="4:12" x14ac:dyDescent="0.3">
      <c r="I350" s="301"/>
      <c r="K350" s="303"/>
      <c r="L350" s="303"/>
    </row>
    <row r="351" spans="4:12" x14ac:dyDescent="0.3">
      <c r="I351" s="301"/>
      <c r="K351" s="303"/>
      <c r="L351" s="303"/>
    </row>
    <row r="352" spans="4:12" x14ac:dyDescent="0.3">
      <c r="I352" s="301"/>
      <c r="K352" s="303"/>
      <c r="L352" s="303"/>
    </row>
    <row r="353" spans="9:12" x14ac:dyDescent="0.3">
      <c r="I353" s="301"/>
      <c r="K353" s="303"/>
      <c r="L353" s="303"/>
    </row>
    <row r="354" spans="9:12" x14ac:dyDescent="0.3">
      <c r="I354" s="301"/>
      <c r="K354" s="303"/>
      <c r="L354" s="303"/>
    </row>
    <row r="355" spans="9:12" x14ac:dyDescent="0.3">
      <c r="I355" s="301"/>
      <c r="K355" s="303"/>
      <c r="L355" s="303"/>
    </row>
    <row r="356" spans="9:12" x14ac:dyDescent="0.3">
      <c r="I356" s="108"/>
      <c r="K356" s="303"/>
      <c r="L356" s="303"/>
    </row>
    <row r="357" spans="9:12" x14ac:dyDescent="0.3">
      <c r="I357" s="108"/>
      <c r="K357" s="303"/>
      <c r="L357" s="303"/>
    </row>
    <row r="358" spans="9:12" x14ac:dyDescent="0.3">
      <c r="I358" s="108"/>
      <c r="J358" s="303"/>
      <c r="K358" s="303"/>
      <c r="L358" s="303"/>
    </row>
    <row r="359" spans="9:12" x14ac:dyDescent="0.3">
      <c r="I359" s="108"/>
      <c r="J359" s="303"/>
      <c r="K359" s="303"/>
      <c r="L359" s="303"/>
    </row>
    <row r="360" spans="9:12" x14ac:dyDescent="0.3">
      <c r="I360" s="108"/>
      <c r="J360" s="303"/>
      <c r="K360" s="303"/>
      <c r="L360" s="303"/>
    </row>
    <row r="361" spans="9:12" x14ac:dyDescent="0.3">
      <c r="I361" s="108"/>
      <c r="J361" s="303"/>
      <c r="K361" s="303"/>
      <c r="L361" s="303"/>
    </row>
    <row r="362" spans="9:12" x14ac:dyDescent="0.3">
      <c r="I362" s="108"/>
      <c r="J362" s="303"/>
      <c r="K362" s="303"/>
      <c r="L362" s="303"/>
    </row>
    <row r="363" spans="9:12" x14ac:dyDescent="0.3">
      <c r="I363" s="108"/>
      <c r="J363" s="303"/>
      <c r="K363" s="303"/>
      <c r="L363" s="303"/>
    </row>
    <row r="364" spans="9:12" x14ac:dyDescent="0.3">
      <c r="I364" s="108"/>
      <c r="J364" s="303"/>
      <c r="K364" s="303"/>
      <c r="L364" s="303"/>
    </row>
    <row r="365" spans="9:12" x14ac:dyDescent="0.3">
      <c r="I365" s="301"/>
      <c r="J365" s="303"/>
      <c r="K365" s="303"/>
      <c r="L365" s="303"/>
    </row>
    <row r="366" spans="9:12" x14ac:dyDescent="0.3">
      <c r="I366" s="301"/>
      <c r="J366" s="303"/>
      <c r="K366" s="303"/>
      <c r="L366" s="303"/>
    </row>
    <row r="367" spans="9:12" x14ac:dyDescent="0.3">
      <c r="I367" s="301"/>
      <c r="J367" s="303"/>
      <c r="K367" s="303"/>
      <c r="L367" s="303"/>
    </row>
    <row r="368" spans="9:12" x14ac:dyDescent="0.3">
      <c r="I368" s="301"/>
      <c r="J368" s="303"/>
      <c r="K368" s="303"/>
      <c r="L368" s="303"/>
    </row>
    <row r="369" spans="9:12" x14ac:dyDescent="0.3">
      <c r="I369" s="301"/>
      <c r="J369" s="303"/>
      <c r="K369" s="303"/>
      <c r="L369" s="303"/>
    </row>
    <row r="370" spans="9:12" x14ac:dyDescent="0.3">
      <c r="I370" s="301"/>
      <c r="J370" s="303"/>
      <c r="K370" s="303"/>
      <c r="L370" s="303"/>
    </row>
    <row r="371" spans="9:12" x14ac:dyDescent="0.3">
      <c r="I371" s="301"/>
      <c r="J371" s="303"/>
      <c r="K371" s="303"/>
      <c r="L371" s="303"/>
    </row>
    <row r="372" spans="9:12" x14ac:dyDescent="0.3">
      <c r="I372" s="301"/>
      <c r="J372" s="303"/>
      <c r="K372" s="303"/>
      <c r="L372" s="303"/>
    </row>
    <row r="373" spans="9:12" x14ac:dyDescent="0.3">
      <c r="I373" s="301"/>
      <c r="J373" s="303"/>
      <c r="K373" s="303"/>
      <c r="L373" s="303"/>
    </row>
    <row r="374" spans="9:12" x14ac:dyDescent="0.3">
      <c r="I374" s="301"/>
      <c r="J374" s="303"/>
      <c r="K374" s="303"/>
      <c r="L374" s="303"/>
    </row>
    <row r="375" spans="9:12" x14ac:dyDescent="0.3">
      <c r="I375" s="301"/>
      <c r="J375" s="303"/>
      <c r="K375" s="303"/>
      <c r="L375" s="303"/>
    </row>
    <row r="376" spans="9:12" x14ac:dyDescent="0.3">
      <c r="I376" s="301"/>
      <c r="J376" s="303"/>
      <c r="K376" s="303"/>
      <c r="L376" s="303"/>
    </row>
    <row r="377" spans="9:12" x14ac:dyDescent="0.3">
      <c r="I377" s="301"/>
      <c r="J377" s="303"/>
      <c r="K377" s="303"/>
      <c r="L377" s="303"/>
    </row>
    <row r="378" spans="9:12" x14ac:dyDescent="0.3">
      <c r="I378" s="301"/>
      <c r="J378" s="303"/>
      <c r="K378" s="303"/>
      <c r="L378" s="303"/>
    </row>
    <row r="379" spans="9:12" x14ac:dyDescent="0.3">
      <c r="I379" s="301"/>
      <c r="J379" s="303"/>
      <c r="K379" s="303"/>
      <c r="L379" s="303"/>
    </row>
    <row r="380" spans="9:12" x14ac:dyDescent="0.3">
      <c r="I380" s="301"/>
      <c r="J380" s="303"/>
      <c r="K380" s="303"/>
      <c r="L380" s="303"/>
    </row>
    <row r="381" spans="9:12" x14ac:dyDescent="0.3">
      <c r="I381" s="301"/>
      <c r="J381" s="303"/>
      <c r="K381" s="303"/>
      <c r="L381" s="303"/>
    </row>
    <row r="382" spans="9:12" x14ac:dyDescent="0.3">
      <c r="I382" s="301"/>
      <c r="J382" s="303"/>
      <c r="K382" s="303"/>
      <c r="L382" s="303"/>
    </row>
    <row r="383" spans="9:12" x14ac:dyDescent="0.3">
      <c r="I383" s="301"/>
      <c r="J383" s="303"/>
      <c r="K383" s="303"/>
      <c r="L383" s="303"/>
    </row>
    <row r="384" spans="9:12" x14ac:dyDescent="0.3">
      <c r="I384" s="301"/>
      <c r="J384" s="303"/>
      <c r="K384" s="303"/>
      <c r="L384" s="303"/>
    </row>
    <row r="385" spans="9:12" x14ac:dyDescent="0.3">
      <c r="I385" s="301"/>
      <c r="J385" s="303"/>
      <c r="K385" s="303"/>
      <c r="L385" s="303"/>
    </row>
    <row r="386" spans="9:12" x14ac:dyDescent="0.3">
      <c r="I386" s="301"/>
      <c r="J386" s="303"/>
      <c r="K386" s="303"/>
      <c r="L386" s="303"/>
    </row>
    <row r="387" spans="9:12" x14ac:dyDescent="0.3">
      <c r="I387" s="301"/>
      <c r="J387" s="303"/>
      <c r="K387" s="303"/>
      <c r="L387" s="303"/>
    </row>
    <row r="388" spans="9:12" x14ac:dyDescent="0.3">
      <c r="I388" s="301"/>
      <c r="J388" s="303"/>
      <c r="K388" s="303"/>
      <c r="L388" s="303"/>
    </row>
    <row r="389" spans="9:12" x14ac:dyDescent="0.3">
      <c r="I389" s="301"/>
      <c r="J389" s="303"/>
      <c r="K389" s="303"/>
      <c r="L389" s="303"/>
    </row>
    <row r="390" spans="9:12" x14ac:dyDescent="0.3">
      <c r="I390" s="301"/>
      <c r="J390" s="303"/>
      <c r="K390" s="303"/>
      <c r="L390" s="303"/>
    </row>
    <row r="391" spans="9:12" x14ac:dyDescent="0.3">
      <c r="I391" s="301"/>
      <c r="J391" s="303"/>
      <c r="K391" s="303"/>
      <c r="L391" s="303"/>
    </row>
    <row r="392" spans="9:12" x14ac:dyDescent="0.3">
      <c r="I392" s="301"/>
      <c r="J392" s="303"/>
      <c r="K392" s="303"/>
      <c r="L392" s="303"/>
    </row>
    <row r="393" spans="9:12" x14ac:dyDescent="0.3">
      <c r="I393" s="301"/>
      <c r="J393" s="303"/>
      <c r="K393" s="303"/>
      <c r="L393" s="303"/>
    </row>
    <row r="394" spans="9:12" x14ac:dyDescent="0.3">
      <c r="I394" s="301"/>
      <c r="J394" s="303"/>
      <c r="K394" s="303"/>
      <c r="L394" s="303"/>
    </row>
    <row r="395" spans="9:12" x14ac:dyDescent="0.3">
      <c r="I395" s="301"/>
      <c r="J395" s="303"/>
      <c r="K395" s="303"/>
      <c r="L395" s="303"/>
    </row>
    <row r="396" spans="9:12" x14ac:dyDescent="0.3">
      <c r="I396" s="301"/>
      <c r="J396" s="303"/>
      <c r="K396" s="303"/>
      <c r="L396" s="303"/>
    </row>
    <row r="397" spans="9:12" x14ac:dyDescent="0.3">
      <c r="I397" s="301"/>
      <c r="J397" s="303"/>
      <c r="K397" s="303"/>
      <c r="L397" s="303"/>
    </row>
    <row r="398" spans="9:12" x14ac:dyDescent="0.3">
      <c r="I398" s="301"/>
      <c r="J398" s="303"/>
      <c r="K398" s="303"/>
      <c r="L398" s="303"/>
    </row>
    <row r="399" spans="9:12" x14ac:dyDescent="0.3">
      <c r="I399" s="301"/>
      <c r="J399" s="303"/>
      <c r="K399" s="303"/>
      <c r="L399" s="303"/>
    </row>
    <row r="400" spans="9:12" x14ac:dyDescent="0.3">
      <c r="I400" s="301"/>
      <c r="J400" s="303"/>
      <c r="K400" s="303"/>
      <c r="L400" s="303"/>
    </row>
    <row r="401" spans="9:12" x14ac:dyDescent="0.3">
      <c r="I401" s="301"/>
      <c r="J401" s="303"/>
      <c r="K401" s="303"/>
      <c r="L401" s="303"/>
    </row>
    <row r="402" spans="9:12" x14ac:dyDescent="0.3">
      <c r="I402" s="301"/>
      <c r="J402" s="303"/>
      <c r="K402" s="303"/>
      <c r="L402" s="303"/>
    </row>
    <row r="403" spans="9:12" x14ac:dyDescent="0.3">
      <c r="I403" s="301"/>
      <c r="J403" s="303"/>
      <c r="K403" s="303"/>
      <c r="L403" s="303"/>
    </row>
    <row r="404" spans="9:12" x14ac:dyDescent="0.3">
      <c r="I404" s="301"/>
      <c r="J404" s="303"/>
      <c r="K404" s="303"/>
      <c r="L404" s="303"/>
    </row>
    <row r="405" spans="9:12" x14ac:dyDescent="0.3">
      <c r="I405" s="301"/>
      <c r="J405" s="303"/>
      <c r="K405" s="303"/>
      <c r="L405" s="303"/>
    </row>
    <row r="406" spans="9:12" x14ac:dyDescent="0.3">
      <c r="I406" s="301"/>
      <c r="J406" s="303"/>
      <c r="K406" s="303"/>
      <c r="L406" s="303"/>
    </row>
    <row r="407" spans="9:12" x14ac:dyDescent="0.3">
      <c r="I407" s="301"/>
      <c r="J407" s="303"/>
      <c r="K407" s="303"/>
      <c r="L407" s="303"/>
    </row>
    <row r="408" spans="9:12" x14ac:dyDescent="0.3">
      <c r="I408" s="301"/>
      <c r="J408" s="303"/>
      <c r="K408" s="303"/>
      <c r="L408" s="303"/>
    </row>
    <row r="409" spans="9:12" x14ac:dyDescent="0.3">
      <c r="I409" s="301"/>
      <c r="J409" s="303"/>
      <c r="K409" s="303"/>
      <c r="L409" s="303"/>
    </row>
    <row r="410" spans="9:12" x14ac:dyDescent="0.3">
      <c r="I410" s="301"/>
      <c r="J410" s="303"/>
      <c r="K410" s="303"/>
      <c r="L410" s="303"/>
    </row>
    <row r="411" spans="9:12" x14ac:dyDescent="0.3">
      <c r="I411" s="301"/>
      <c r="J411" s="303"/>
      <c r="K411" s="303"/>
      <c r="L411" s="303"/>
    </row>
    <row r="412" spans="9:12" x14ac:dyDescent="0.3">
      <c r="I412" s="301"/>
      <c r="J412" s="303"/>
      <c r="K412" s="303"/>
      <c r="L412" s="303"/>
    </row>
    <row r="413" spans="9:12" x14ac:dyDescent="0.3">
      <c r="I413" s="301"/>
      <c r="J413" s="303"/>
      <c r="K413" s="303"/>
      <c r="L413" s="303"/>
    </row>
    <row r="414" spans="9:12" x14ac:dyDescent="0.3">
      <c r="I414" s="301"/>
      <c r="J414" s="303"/>
      <c r="K414" s="303"/>
      <c r="L414" s="303"/>
    </row>
    <row r="415" spans="9:12" x14ac:dyDescent="0.3">
      <c r="I415" s="301"/>
      <c r="J415" s="303"/>
      <c r="K415" s="303"/>
      <c r="L415" s="303"/>
    </row>
    <row r="416" spans="9:12" x14ac:dyDescent="0.3">
      <c r="I416" s="301"/>
      <c r="J416" s="303"/>
      <c r="K416" s="303"/>
      <c r="L416" s="303"/>
    </row>
    <row r="417" spans="9:12" x14ac:dyDescent="0.3">
      <c r="I417" s="301"/>
      <c r="J417" s="303"/>
      <c r="K417" s="303"/>
      <c r="L417" s="303"/>
    </row>
    <row r="418" spans="9:12" x14ac:dyDescent="0.3">
      <c r="I418" s="301"/>
      <c r="J418" s="303"/>
      <c r="K418" s="303"/>
      <c r="L418" s="303"/>
    </row>
    <row r="419" spans="9:12" x14ac:dyDescent="0.3">
      <c r="I419" s="301"/>
      <c r="J419" s="303"/>
    </row>
    <row r="420" spans="9:12" x14ac:dyDescent="0.3">
      <c r="I420" s="301"/>
      <c r="J420" s="303"/>
    </row>
    <row r="421" spans="9:12" x14ac:dyDescent="0.3">
      <c r="I421" s="301"/>
      <c r="J421" s="303"/>
    </row>
    <row r="422" spans="9:12" x14ac:dyDescent="0.3">
      <c r="I422" s="301"/>
      <c r="J422" s="303"/>
    </row>
    <row r="423" spans="9:12" x14ac:dyDescent="0.3">
      <c r="I423" s="301"/>
      <c r="J423" s="303"/>
    </row>
    <row r="424" spans="9:12" x14ac:dyDescent="0.3">
      <c r="I424" s="301"/>
      <c r="J424" s="303"/>
    </row>
    <row r="425" spans="9:12" x14ac:dyDescent="0.3">
      <c r="I425" s="301"/>
      <c r="J425" s="303"/>
    </row>
    <row r="426" spans="9:12" x14ac:dyDescent="0.3">
      <c r="I426" s="301"/>
      <c r="J426" s="303"/>
    </row>
    <row r="427" spans="9:12" x14ac:dyDescent="0.3">
      <c r="I427" s="301"/>
    </row>
    <row r="428" spans="9:12" x14ac:dyDescent="0.3">
      <c r="I428" s="301"/>
    </row>
    <row r="429" spans="9:12" x14ac:dyDescent="0.3">
      <c r="I429" s="301"/>
    </row>
    <row r="430" spans="9:12" x14ac:dyDescent="0.3">
      <c r="I430" s="301"/>
    </row>
    <row r="431" spans="9:12" x14ac:dyDescent="0.3">
      <c r="I431" s="301"/>
    </row>
    <row r="432" spans="9:12" x14ac:dyDescent="0.3">
      <c r="I432" s="301"/>
    </row>
    <row r="433" spans="9:9" x14ac:dyDescent="0.3">
      <c r="I433" s="301"/>
    </row>
    <row r="434" spans="9:9" x14ac:dyDescent="0.3">
      <c r="I434" s="108"/>
    </row>
    <row r="435" spans="9:9" x14ac:dyDescent="0.3">
      <c r="I435" s="108"/>
    </row>
    <row r="436" spans="9:9" x14ac:dyDescent="0.3">
      <c r="I436" s="108"/>
    </row>
    <row r="437" spans="9:9" x14ac:dyDescent="0.3">
      <c r="I437" s="108"/>
    </row>
    <row r="438" spans="9:9" x14ac:dyDescent="0.3">
      <c r="I438" s="108"/>
    </row>
    <row r="439" spans="9:9" x14ac:dyDescent="0.3">
      <c r="I439" s="108"/>
    </row>
    <row r="440" spans="9:9" x14ac:dyDescent="0.3">
      <c r="I440" s="108"/>
    </row>
    <row r="441" spans="9:9" x14ac:dyDescent="0.3">
      <c r="I441" s="108"/>
    </row>
    <row r="442" spans="9:9" x14ac:dyDescent="0.3">
      <c r="I442" s="108"/>
    </row>
    <row r="443" spans="9:9" x14ac:dyDescent="0.3">
      <c r="I443" s="108"/>
    </row>
  </sheetData>
  <sheetProtection algorithmName="SHA-512" hashValue="bEABX5VxnzHYTEAtN4Kj4DDusNchNi9ptoX0HBmMxd/WLEYje4IKE+M64pK5othFuqbPBKNscPvthcLKZZFfYw==" saltValue="g5qTE5k068G4sWJIXaIC/Q==" spinCount="100000" sheet="1" formatCells="0"/>
  <dataConsolidate link="1"/>
  <mergeCells count="11">
    <mergeCell ref="E2:G2"/>
    <mergeCell ref="B2:C2"/>
    <mergeCell ref="B170:D170"/>
    <mergeCell ref="B313:E313"/>
    <mergeCell ref="B303:D303"/>
    <mergeCell ref="B314:E314"/>
    <mergeCell ref="B322:C322"/>
    <mergeCell ref="B323:C323"/>
    <mergeCell ref="B321:C321"/>
    <mergeCell ref="B319:C319"/>
    <mergeCell ref="B320:C320"/>
  </mergeCells>
  <phoneticPr fontId="57" type="noConversion"/>
  <conditionalFormatting sqref="H198 H87:H98">
    <cfRule type="cellIs" dxfId="134" priority="107" stopIfTrue="1" operator="notEqual">
      <formula>0</formula>
    </cfRule>
  </conditionalFormatting>
  <conditionalFormatting sqref="H199">
    <cfRule type="cellIs" dxfId="133" priority="105" stopIfTrue="1" operator="notEqual">
      <formula>0</formula>
    </cfRule>
  </conditionalFormatting>
  <conditionalFormatting sqref="G289:G292 G296:G297">
    <cfRule type="cellIs" dxfId="132" priority="104" stopIfTrue="1" operator="notEqual">
      <formula>0</formula>
    </cfRule>
  </conditionalFormatting>
  <conditionalFormatting sqref="H23">
    <cfRule type="cellIs" dxfId="131" priority="103" stopIfTrue="1" operator="notEqual">
      <formula>0</formula>
    </cfRule>
  </conditionalFormatting>
  <conditionalFormatting sqref="H37:H38">
    <cfRule type="cellIs" dxfId="130" priority="102" stopIfTrue="1" operator="notEqual">
      <formula>0</formula>
    </cfRule>
  </conditionalFormatting>
  <conditionalFormatting sqref="H72">
    <cfRule type="cellIs" dxfId="129" priority="101" stopIfTrue="1" operator="notEqual">
      <formula>0</formula>
    </cfRule>
  </conditionalFormatting>
  <conditionalFormatting sqref="H149">
    <cfRule type="cellIs" dxfId="128" priority="99" stopIfTrue="1" operator="notEqual">
      <formula>0</formula>
    </cfRule>
  </conditionalFormatting>
  <conditionalFormatting sqref="H168">
    <cfRule type="cellIs" dxfId="127" priority="98" stopIfTrue="1" operator="notEqual">
      <formula>0</formula>
    </cfRule>
  </conditionalFormatting>
  <conditionalFormatting sqref="H182">
    <cfRule type="cellIs" dxfId="126" priority="97" stopIfTrue="1" operator="notEqual">
      <formula>0</formula>
    </cfRule>
  </conditionalFormatting>
  <conditionalFormatting sqref="H183">
    <cfRule type="cellIs" dxfId="125" priority="96" stopIfTrue="1" operator="notEqual">
      <formula>0</formula>
    </cfRule>
  </conditionalFormatting>
  <conditionalFormatting sqref="L260 G275">
    <cfRule type="cellIs" priority="68" stopIfTrue="1" operator="equal">
      <formula>";;;"</formula>
    </cfRule>
  </conditionalFormatting>
  <conditionalFormatting sqref="L260 G275">
    <cfRule type="cellIs" dxfId="124" priority="67" stopIfTrue="1" operator="equal">
      <formula>0</formula>
    </cfRule>
  </conditionalFormatting>
  <conditionalFormatting sqref="L260">
    <cfRule type="cellIs" dxfId="123" priority="66" stopIfTrue="1" operator="equal">
      <formula>0</formula>
    </cfRule>
  </conditionalFormatting>
  <conditionalFormatting sqref="G274">
    <cfRule type="cellIs" priority="65" stopIfTrue="1" operator="equal">
      <formula>";;;"</formula>
    </cfRule>
  </conditionalFormatting>
  <conditionalFormatting sqref="G274">
    <cfRule type="cellIs" dxfId="122" priority="64" stopIfTrue="1" operator="equal">
      <formula>0</formula>
    </cfRule>
  </conditionalFormatting>
  <conditionalFormatting sqref="G274">
    <cfRule type="cellIs" dxfId="121" priority="63" stopIfTrue="1" operator="equal">
      <formula>0</formula>
    </cfRule>
  </conditionalFormatting>
  <conditionalFormatting sqref="G273">
    <cfRule type="cellIs" priority="53" stopIfTrue="1" operator="equal">
      <formula>";;;"</formula>
    </cfRule>
  </conditionalFormatting>
  <conditionalFormatting sqref="G273">
    <cfRule type="cellIs" dxfId="120" priority="52" stopIfTrue="1" operator="equal">
      <formula>0</formula>
    </cfRule>
  </conditionalFormatting>
  <conditionalFormatting sqref="G273">
    <cfRule type="cellIs" dxfId="119" priority="51" stopIfTrue="1" operator="equal">
      <formula>0</formula>
    </cfRule>
  </conditionalFormatting>
  <conditionalFormatting sqref="J266">
    <cfRule type="cellIs" priority="50" stopIfTrue="1" operator="equal">
      <formula>";;;"</formula>
    </cfRule>
  </conditionalFormatting>
  <conditionalFormatting sqref="J266">
    <cfRule type="cellIs" dxfId="118" priority="49" stopIfTrue="1" operator="equal">
      <formula>0</formula>
    </cfRule>
  </conditionalFormatting>
  <conditionalFormatting sqref="J266">
    <cfRule type="cellIs" dxfId="117" priority="48" stopIfTrue="1" operator="equal">
      <formula>0</formula>
    </cfRule>
  </conditionalFormatting>
  <conditionalFormatting sqref="G268">
    <cfRule type="cellIs" priority="20" stopIfTrue="1" operator="equal">
      <formula>";;;"</formula>
    </cfRule>
  </conditionalFormatting>
  <conditionalFormatting sqref="G268">
    <cfRule type="cellIs" dxfId="116" priority="19" stopIfTrue="1" operator="equal">
      <formula>0</formula>
    </cfRule>
  </conditionalFormatting>
  <conditionalFormatting sqref="G268">
    <cfRule type="cellIs" dxfId="115" priority="18" stopIfTrue="1" operator="equal">
      <formula>0</formula>
    </cfRule>
  </conditionalFormatting>
  <conditionalFormatting sqref="G266">
    <cfRule type="cellIs" priority="17" stopIfTrue="1" operator="equal">
      <formula>";;;"</formula>
    </cfRule>
  </conditionalFormatting>
  <conditionalFormatting sqref="G266">
    <cfRule type="cellIs" dxfId="114" priority="16" stopIfTrue="1" operator="equal">
      <formula>0</formula>
    </cfRule>
  </conditionalFormatting>
  <conditionalFormatting sqref="G266">
    <cfRule type="cellIs" dxfId="113" priority="15" stopIfTrue="1" operator="equal">
      <formula>0</formula>
    </cfRule>
  </conditionalFormatting>
  <conditionalFormatting sqref="G267">
    <cfRule type="cellIs" priority="14" stopIfTrue="1" operator="equal">
      <formula>";;;"</formula>
    </cfRule>
  </conditionalFormatting>
  <conditionalFormatting sqref="G267">
    <cfRule type="cellIs" dxfId="112" priority="13" stopIfTrue="1" operator="equal">
      <formula>0</formula>
    </cfRule>
  </conditionalFormatting>
  <conditionalFormatting sqref="G267">
    <cfRule type="cellIs" dxfId="111" priority="12" stopIfTrue="1" operator="equal">
      <formula>0</formula>
    </cfRule>
  </conditionalFormatting>
  <conditionalFormatting sqref="G270">
    <cfRule type="cellIs" priority="11" stopIfTrue="1" operator="equal">
      <formula>";;;"</formula>
    </cfRule>
  </conditionalFormatting>
  <conditionalFormatting sqref="G270">
    <cfRule type="cellIs" dxfId="110" priority="10" stopIfTrue="1" operator="equal">
      <formula>0</formula>
    </cfRule>
  </conditionalFormatting>
  <conditionalFormatting sqref="G270">
    <cfRule type="cellIs" dxfId="109" priority="9" stopIfTrue="1" operator="equal">
      <formula>0</formula>
    </cfRule>
  </conditionalFormatting>
  <conditionalFormatting sqref="G272">
    <cfRule type="cellIs" priority="3" stopIfTrue="1" operator="equal">
      <formula>";;;"</formula>
    </cfRule>
  </conditionalFormatting>
  <conditionalFormatting sqref="G272">
    <cfRule type="cellIs" dxfId="108" priority="2" stopIfTrue="1" operator="equal">
      <formula>0</formula>
    </cfRule>
  </conditionalFormatting>
  <conditionalFormatting sqref="G272">
    <cfRule type="cellIs" dxfId="107" priority="1" stopIfTrue="1" operator="equal">
      <formula>0</formula>
    </cfRule>
  </conditionalFormatting>
  <dataValidations xWindow="829" yWindow="690" count="23">
    <dataValidation type="list" allowBlank="1" showInputMessage="1" showErrorMessage="1" prompt="Please select the appropriate number value from the drop-down box." sqref="F131" xr:uid="{00000000-0002-0000-0100-000005000000}">
      <formula1>$N$2:$N$4</formula1>
    </dataValidation>
    <dataValidation type="list" allowBlank="1" showInputMessage="1" showErrorMessage="1" sqref="F88" xr:uid="{A85FF889-D99F-45B3-A284-6701B76512B6}">
      <formula1>$M$4:$M$5</formula1>
    </dataValidation>
    <dataValidation type="list" allowBlank="1" showInputMessage="1" showErrorMessage="1" sqref="F309:F311 F263 F307" xr:uid="{9CC5535C-800A-4D03-A86E-273A5BC3EBB6}">
      <formula1>$M$1:$M$2</formula1>
    </dataValidation>
    <dataValidation type="list" allowBlank="1" showInputMessage="1" showErrorMessage="1" sqref="F298" xr:uid="{FCE57F22-20D9-4CFA-AFE5-1751E216D3C1}">
      <formula1>$O$1:$O$2</formula1>
    </dataValidation>
    <dataValidation type="list" allowBlank="1" showInputMessage="1" showErrorMessage="1" sqref="F271" xr:uid="{2CD3BDAD-30EF-425F-BB01-D3FF43CDAA81}">
      <formula1>$O$1:$O$4</formula1>
    </dataValidation>
    <dataValidation type="list" allowBlank="1" showInputMessage="1" showErrorMessage="1" prompt="Please select from the drop down box the most appropriate answer" sqref="F302" xr:uid="{7584867B-76E5-42C2-B404-3B1B6C94E6E2}">
      <formula1>$O$1:$O$2</formula1>
    </dataValidation>
    <dataValidation type="list" allowBlank="1" showInputMessage="1" showErrorMessage="1" sqref="F306" xr:uid="{DB0EB8F5-2DE0-4833-AFDF-F7BB7A8D56E1}">
      <formula1>$M$6:$M$8</formula1>
    </dataValidation>
    <dataValidation type="list" allowBlank="1" showErrorMessage="1" prompt="Please select from the drop down box the most appropriate answer" sqref="F300" xr:uid="{7FCE12A8-B6A0-48F9-9BA0-C3D89D188CEE}">
      <formula1>"20,21,22,23"</formula1>
    </dataValidation>
    <dataValidation type="list" operator="greaterThan" allowBlank="1" showErrorMessage="1" prompt="Please select appropriate answer from drop down list." sqref="F224"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216 F212 F201 F28:F39 F41:F57 F59:F73 F75:F87 F25:F26 F132:F149 F151:F168 F171:F183 F187:F199 F204:F210 F220:F222 F18:F23 F100:F101 F89:F98 F103:F120 F123:F127"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233:F236 F239:F242 F245:F248 F253:F255 F257:F260 F228:F229" xr:uid="{DA17F63A-7740-447E-B0DD-1FD94F0BE4C8}">
      <formula1>ISNUMBER(F228)</formula1>
    </dataValidation>
    <dataValidation type="custom" allowBlank="1" showErrorMessage="1" error="Please enter a numeric value.  If this data is not applicable to your unit of government, the cell should be populated with zero." sqref="F299 F289:F297 F286 F284 F277:F280 F282 F272:F274 F265:F268" xr:uid="{6656F482-2030-43E8-B669-24F0F4187CE8}">
      <formula1>ISNUMBER(F265)</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69" xr:uid="{8DAFED68-C7CC-4E4B-B0DE-1B3BA6E17585}">
      <formula1>-ISNUMBER(221)</formula1>
    </dataValidation>
    <dataValidation type="list" allowBlank="1" showErrorMessage="1" prompt="Please select appropriate answer from drop down list." sqref="F223" xr:uid="{15C60609-2D17-4E28-A2AB-41834F9A09EE}">
      <formula1>"1,2"</formula1>
    </dataValidation>
    <dataValidation type="custom" allowBlank="1" showInputMessage="1" showErrorMessage="1" error="Please enter a numeric value.  If this data is not applicable to your unit of government, please enter zero." prompt="_x000a_" sqref="Q21:Q23" xr:uid="{9CBC3A0A-ED2F-4189-A811-9F7E91132699}">
      <formula1>ISNUMBER(Q21)</formula1>
    </dataValidation>
    <dataValidation type="custom" allowBlank="1" showInputMessage="1" showErrorMessage="1" error="Please enter a numeric value. " sqref="Q7" xr:uid="{CB95FD3C-B04D-4711-9116-7A469E0AAB1B}">
      <formula1>ISNUMBER(Q7)</formula1>
    </dataValidation>
    <dataValidation type="custom" allowBlank="1" showInputMessage="1" showErrorMessage="1" error="Please enter a numeric value. If this data is not applicable to your unit of government, the cell should be populated with zero." sqref="Q8:Q17 F7:F17" xr:uid="{2B8A4F99-9CD2-4D02-A062-E988EF3799E5}">
      <formula1>ISNUMBER(F7)</formula1>
    </dataValidation>
    <dataValidation allowBlank="1" showInputMessage="1" showErrorMessage="1" error="Please enter a numeric value. If this data is not applicable to your unit of government, the cell should be populated with zero." sqref="Q18:Q19" xr:uid="{74AB16B8-397F-4D3E-B798-0C4CD86D1B10}"/>
    <dataValidation type="custom" allowBlank="1" showInputMessage="1" showErrorMessage="1" error="Please enter a numeric value. If this data is not applicable to your unit of government, the cell should be populated with zero." prompt="_x000a_" sqref="Q20" xr:uid="{ECAB93E3-7E39-4615-8FE4-6276528C897F}">
      <formula1>ISNUMBER(Q20)</formula1>
    </dataValidation>
    <dataValidation type="list" allowBlank="1" showErrorMessage="1" prompt="Please select appropriate answer from drop down list." sqref="F184:F185" xr:uid="{B28A4ED8-9280-4348-99A1-3B99F5248D33}">
      <formula1>$M$1:$M$2</formula1>
    </dataValidation>
    <dataValidation type="list" allowBlank="1" showInputMessage="1" showErrorMessage="1" prompt="Please select appropriate answer from drop down list." sqref="F214" xr:uid="{CE840982-6377-4DDA-A117-91D0B30682FD}">
      <formula1>$O$1:$O$2</formula1>
    </dataValidation>
    <dataValidation type="custom" allowBlank="1" showErrorMessage="1" error="Please enter a numeric value.  If this data is not applicable to your unit of government the cell should be populated with zero." sqref="F262" xr:uid="{CB641EB2-3894-4A74-BBEC-CDF7A3E8D5D8}">
      <formula1>ISNUMBER(F262)</formula1>
    </dataValidation>
    <dataValidation type="custom" allowBlank="1" showErrorMessage="1" error="Please enter a numeric value.  If this data is not applicable to your unit of government, the cell should be populated wih zero." sqref="F270" xr:uid="{EE3DADAD-5656-406D-A714-9D6C22BCD542}">
      <formula1>ISNUMBER(F270)</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93:H29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Names(H)'!$A$1:$A$107</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F871-8D58-4B43-B608-BEB0D5AB7735}">
  <sheetPr codeName="Sheet3">
    <tabColor theme="3" tint="0.79998168889431442"/>
    <pageSetUpPr fitToPage="1"/>
  </sheetPr>
  <dimension ref="A1:AQ96"/>
  <sheetViews>
    <sheetView showGridLines="0" zoomScaleNormal="100" workbookViewId="0">
      <selection activeCell="G41" sqref="G41"/>
    </sheetView>
  </sheetViews>
  <sheetFormatPr defaultColWidth="9.33203125" defaultRowHeight="13.2" x14ac:dyDescent="0.3"/>
  <cols>
    <col min="1" max="1" width="2.6640625" style="195" customWidth="1"/>
    <col min="2" max="3" width="2.33203125" style="195" customWidth="1"/>
    <col min="4" max="4" width="7.44140625" style="265" customWidth="1"/>
    <col min="5" max="5" width="43.6640625" style="253" customWidth="1"/>
    <col min="6" max="6" width="53.33203125" style="253" customWidth="1"/>
    <col min="7" max="7" width="18.6640625" style="195" customWidth="1"/>
    <col min="8" max="8" width="44.44140625" style="195" customWidth="1"/>
    <col min="9" max="9" width="9.44140625" style="195" customWidth="1"/>
    <col min="10" max="10" width="9.33203125" style="253" customWidth="1"/>
    <col min="11" max="12" width="16.6640625" style="1178" customWidth="1"/>
    <col min="13" max="13" width="15.109375" style="1178" customWidth="1"/>
    <col min="14" max="14" width="2.6640625" style="1183" customWidth="1"/>
    <col min="15" max="15" width="61.109375" style="1182" customWidth="1"/>
    <col min="16" max="16" width="77.6640625" style="1182" customWidth="1"/>
    <col min="17" max="17" width="30.6640625" style="1182" customWidth="1"/>
    <col min="18" max="18" width="10.44140625" style="1182" customWidth="1"/>
    <col min="19" max="19" width="10.6640625" style="1182" customWidth="1"/>
    <col min="20" max="20" width="11.109375" style="1182" customWidth="1"/>
    <col min="21" max="21" width="14" style="1182" customWidth="1"/>
    <col min="22" max="22" width="17.6640625" style="1182" customWidth="1"/>
    <col min="23" max="23" width="11.33203125" style="1182" customWidth="1"/>
    <col min="24" max="24" width="57.33203125" style="1182" customWidth="1"/>
    <col min="25" max="25" width="13.109375" style="1182" customWidth="1"/>
    <col min="26" max="26" width="31.109375" style="1182" customWidth="1"/>
    <col min="27" max="27" width="4.6640625" style="1182" customWidth="1"/>
    <col min="28" max="34" width="9.33203125" style="1182" customWidth="1"/>
    <col min="35" max="36" width="9.33203125" style="196" customWidth="1"/>
    <col min="37" max="37" width="36.44140625" style="196" customWidth="1"/>
    <col min="38" max="38" width="9.33203125" style="196" customWidth="1"/>
    <col min="39" max="43" width="9.33203125" style="196"/>
    <col min="44" max="16384" width="9.33203125" style="195"/>
  </cols>
  <sheetData>
    <row r="1" spans="1:43" ht="87" customHeight="1" thickBot="1" x14ac:dyDescent="0.35">
      <c r="B1" s="1219" t="s">
        <v>1802</v>
      </c>
      <c r="C1" s="1220"/>
      <c r="D1" s="1220"/>
      <c r="E1" s="1220"/>
      <c r="F1" s="1220"/>
      <c r="G1" s="1220"/>
      <c r="H1" s="1220"/>
      <c r="I1" s="1220"/>
      <c r="J1" s="1221"/>
      <c r="M1" s="1179"/>
      <c r="N1" s="1180"/>
      <c r="O1" s="1181"/>
    </row>
    <row r="2" spans="1:43" s="197" customFormat="1" ht="277.8" hidden="1" thickBot="1" x14ac:dyDescent="0.35">
      <c r="B2" s="1222" t="s">
        <v>879</v>
      </c>
      <c r="C2" s="1223"/>
      <c r="D2" s="1223"/>
      <c r="E2" s="1223"/>
      <c r="F2" s="1223"/>
      <c r="G2" s="1223"/>
      <c r="H2" s="1223"/>
      <c r="I2" s="1223"/>
      <c r="J2" s="1224"/>
      <c r="K2" s="1178"/>
      <c r="L2" s="1178"/>
      <c r="M2" s="1178"/>
      <c r="N2" s="1183" t="s">
        <v>880</v>
      </c>
      <c r="O2" s="1184"/>
      <c r="P2" s="1182"/>
      <c r="Q2" s="1182"/>
      <c r="R2" s="1182"/>
      <c r="S2" s="1182"/>
      <c r="T2" s="1182"/>
      <c r="U2" s="1182"/>
      <c r="V2" s="1182"/>
      <c r="W2" s="1182"/>
      <c r="X2" s="1182"/>
      <c r="Y2" s="1182"/>
      <c r="Z2" s="1182"/>
      <c r="AA2" s="1182"/>
      <c r="AB2" s="1182"/>
      <c r="AC2" s="1182"/>
      <c r="AD2" s="1182"/>
      <c r="AE2" s="1182"/>
      <c r="AF2" s="1182"/>
      <c r="AG2" s="1182"/>
      <c r="AH2" s="1182"/>
      <c r="AI2" s="196"/>
      <c r="AJ2" s="196"/>
      <c r="AK2" s="196"/>
      <c r="AL2" s="196"/>
      <c r="AM2" s="196"/>
      <c r="AN2" s="196"/>
      <c r="AO2" s="196"/>
      <c r="AP2" s="196"/>
      <c r="AQ2" s="196"/>
    </row>
    <row r="3" spans="1:43" s="199" customFormat="1" ht="2.4" customHeight="1" thickBot="1" x14ac:dyDescent="0.35">
      <c r="A3" s="195"/>
      <c r="B3" s="1225" t="s">
        <v>881</v>
      </c>
      <c r="C3" s="1226"/>
      <c r="D3" s="1226"/>
      <c r="E3" s="1226"/>
      <c r="F3" s="1226"/>
      <c r="G3" s="1226"/>
      <c r="H3" s="1226"/>
      <c r="I3" s="1226"/>
      <c r="J3" s="1227"/>
      <c r="K3" s="1178"/>
      <c r="L3" s="1178"/>
      <c r="M3" s="1178"/>
      <c r="N3" s="1185"/>
      <c r="O3" s="1186"/>
      <c r="P3" s="1187"/>
      <c r="Q3" s="1188"/>
      <c r="R3" s="1187"/>
      <c r="S3" s="1187"/>
      <c r="T3" s="1187"/>
      <c r="U3" s="1187"/>
      <c r="V3" s="1187"/>
      <c r="W3" s="1187"/>
      <c r="X3" s="1187"/>
      <c r="Y3" s="1187"/>
      <c r="Z3" s="1187"/>
      <c r="AA3" s="1187"/>
      <c r="AB3" s="1187"/>
      <c r="AC3" s="1187"/>
      <c r="AD3" s="1187"/>
      <c r="AE3" s="1187"/>
      <c r="AF3" s="1187"/>
      <c r="AG3" s="1187"/>
      <c r="AH3" s="1187"/>
      <c r="AI3" s="198"/>
      <c r="AJ3" s="198"/>
      <c r="AK3" s="198"/>
      <c r="AL3" s="198"/>
      <c r="AM3" s="198"/>
      <c r="AN3" s="198"/>
      <c r="AO3" s="198"/>
      <c r="AP3" s="198"/>
      <c r="AQ3" s="198"/>
    </row>
    <row r="4" spans="1:43" ht="25.35" customHeight="1" x14ac:dyDescent="0.3">
      <c r="B4" s="1141" t="s">
        <v>882</v>
      </c>
      <c r="C4" s="1142"/>
      <c r="D4" s="1142"/>
      <c r="E4" s="1142"/>
      <c r="F4" s="1140"/>
      <c r="G4" s="1138"/>
      <c r="H4" s="1138"/>
      <c r="I4" s="1138"/>
      <c r="J4" s="1139"/>
      <c r="N4" s="1182"/>
      <c r="O4" s="1184"/>
    </row>
    <row r="5" spans="1:43" ht="27" hidden="1" customHeight="1" x14ac:dyDescent="0.2">
      <c r="B5" s="1246" t="s">
        <v>1596</v>
      </c>
      <c r="C5" s="1247"/>
      <c r="D5" s="1247"/>
      <c r="E5" s="1247"/>
      <c r="F5" s="1247"/>
      <c r="G5" s="1247"/>
      <c r="H5" s="1247"/>
      <c r="I5" s="1247"/>
      <c r="J5" s="1248"/>
      <c r="N5" s="1187"/>
      <c r="O5" s="1245"/>
    </row>
    <row r="6" spans="1:43" ht="27" hidden="1" customHeight="1" x14ac:dyDescent="0.2">
      <c r="B6" s="964"/>
      <c r="C6" s="965"/>
      <c r="D6" s="965"/>
      <c r="E6" s="965"/>
      <c r="F6" s="965"/>
      <c r="G6" s="965"/>
      <c r="H6" s="965"/>
      <c r="I6" s="965"/>
      <c r="J6" s="966"/>
      <c r="N6" s="1187"/>
      <c r="O6" s="1245"/>
    </row>
    <row r="7" spans="1:43" ht="26.4" customHeight="1" thickBot="1" x14ac:dyDescent="0.35">
      <c r="B7" s="1143" t="s">
        <v>1777</v>
      </c>
      <c r="C7" s="1144"/>
      <c r="D7" s="1144"/>
      <c r="E7" s="1144"/>
      <c r="F7" s="1144"/>
      <c r="G7" s="1144"/>
      <c r="H7" s="1144"/>
      <c r="I7" s="1144"/>
      <c r="J7" s="1145"/>
      <c r="N7" s="1180"/>
      <c r="O7" s="1245"/>
      <c r="Z7" s="1189"/>
    </row>
    <row r="8" spans="1:43" ht="39" hidden="1" customHeight="1" thickBot="1" x14ac:dyDescent="0.35">
      <c r="B8" s="201"/>
      <c r="C8" s="202"/>
      <c r="D8" s="203" t="s">
        <v>883</v>
      </c>
      <c r="E8" s="204"/>
      <c r="F8" s="205"/>
      <c r="G8" s="205"/>
      <c r="H8" s="205"/>
      <c r="I8" s="205"/>
      <c r="J8" s="206"/>
      <c r="O8" s="1245"/>
      <c r="Q8" s="1190"/>
      <c r="Z8" s="1189"/>
    </row>
    <row r="9" spans="1:43" s="207" customFormat="1" ht="13.8" hidden="1" thickBot="1" x14ac:dyDescent="0.35">
      <c r="B9" s="208"/>
      <c r="C9" s="209"/>
      <c r="D9" s="260" t="s">
        <v>755</v>
      </c>
      <c r="E9" s="210"/>
      <c r="F9" s="210"/>
      <c r="G9" s="210"/>
      <c r="H9" s="211"/>
      <c r="I9" s="211"/>
      <c r="J9" s="212"/>
      <c r="K9" s="1178"/>
      <c r="L9" s="1178"/>
      <c r="M9" s="1178"/>
      <c r="N9" s="1183"/>
      <c r="O9" s="1182"/>
      <c r="P9" s="1182"/>
      <c r="Q9" s="1190"/>
      <c r="R9" s="1183"/>
      <c r="S9" s="1183"/>
      <c r="T9" s="1182"/>
      <c r="U9" s="1191"/>
      <c r="V9" s="1182"/>
      <c r="W9" s="1182"/>
      <c r="X9" s="1182"/>
      <c r="Y9" s="1182"/>
      <c r="Z9" s="1189"/>
      <c r="AA9" s="1182"/>
      <c r="AB9" s="1182"/>
      <c r="AC9" s="1182"/>
      <c r="AD9" s="1182"/>
      <c r="AE9" s="1182"/>
      <c r="AF9" s="1182"/>
      <c r="AG9" s="1182"/>
      <c r="AH9" s="1182"/>
      <c r="AI9" s="196"/>
      <c r="AJ9" s="196"/>
      <c r="AK9" s="196"/>
      <c r="AL9" s="196"/>
      <c r="AM9" s="196"/>
      <c r="AN9" s="196"/>
      <c r="AO9" s="196"/>
      <c r="AP9" s="196"/>
      <c r="AQ9" s="196"/>
    </row>
    <row r="10" spans="1:43" ht="19.5" hidden="1" customHeight="1" thickBot="1" x14ac:dyDescent="0.35">
      <c r="B10" s="213"/>
      <c r="C10" s="214"/>
      <c r="D10" s="310" t="s">
        <v>1138</v>
      </c>
      <c r="E10" s="1232" t="s">
        <v>884</v>
      </c>
      <c r="F10" s="1232"/>
      <c r="G10" s="1229"/>
      <c r="H10" s="1230"/>
      <c r="I10" s="1231"/>
      <c r="J10" s="215"/>
      <c r="K10" s="1250"/>
      <c r="L10" s="1249"/>
      <c r="M10" s="1192"/>
      <c r="P10" s="1182" t="s">
        <v>885</v>
      </c>
      <c r="Q10" s="1190"/>
      <c r="U10" s="1193"/>
      <c r="X10" s="1183"/>
      <c r="Z10" s="1189"/>
    </row>
    <row r="11" spans="1:43" ht="14.25" hidden="1" customHeight="1" thickBot="1" x14ac:dyDescent="0.35">
      <c r="B11" s="213"/>
      <c r="C11" s="214"/>
      <c r="D11" s="260"/>
      <c r="E11" s="210"/>
      <c r="F11" s="210"/>
      <c r="G11" s="216" t="str">
        <f>IF(U9&gt;0,"PLEASE SEE INSTRUCTIONS REGARDING NAME","")</f>
        <v/>
      </c>
      <c r="H11" s="217"/>
      <c r="I11" s="217"/>
      <c r="J11" s="215"/>
      <c r="K11" s="1250"/>
      <c r="L11" s="1249"/>
      <c r="M11" s="1192"/>
      <c r="Q11" s="1190"/>
      <c r="Z11" s="1189"/>
    </row>
    <row r="12" spans="1:43" ht="21" hidden="1" customHeight="1" thickBot="1" x14ac:dyDescent="0.35">
      <c r="B12" s="213"/>
      <c r="C12" s="214"/>
      <c r="D12" s="311" t="s">
        <v>1139</v>
      </c>
      <c r="E12" s="1232" t="s">
        <v>1339</v>
      </c>
      <c r="F12" s="1232"/>
      <c r="G12" s="218"/>
      <c r="H12" s="217"/>
      <c r="I12" s="217"/>
      <c r="J12" s="215"/>
      <c r="K12" s="1250"/>
      <c r="L12" s="1249"/>
      <c r="M12" s="1192"/>
      <c r="P12" s="1182" t="s">
        <v>886</v>
      </c>
      <c r="Q12" s="1190"/>
      <c r="Z12" s="1189"/>
      <c r="AK12" s="200"/>
    </row>
    <row r="13" spans="1:43" ht="6.75" hidden="1" customHeight="1" thickBot="1" x14ac:dyDescent="0.35">
      <c r="B13" s="213"/>
      <c r="C13" s="214"/>
      <c r="D13" s="260"/>
      <c r="E13" s="219"/>
      <c r="F13" s="219"/>
      <c r="G13" s="217"/>
      <c r="H13" s="217"/>
      <c r="I13" s="217"/>
      <c r="J13" s="215"/>
      <c r="K13" s="1250"/>
      <c r="L13" s="1249"/>
      <c r="M13" s="1192"/>
      <c r="Q13" s="1190"/>
    </row>
    <row r="14" spans="1:43" ht="26.25" hidden="1" customHeight="1" thickBot="1" x14ac:dyDescent="0.35">
      <c r="B14" s="213"/>
      <c r="C14" s="214"/>
      <c r="D14" s="266">
        <v>900</v>
      </c>
      <c r="E14" s="1232" t="s">
        <v>887</v>
      </c>
      <c r="F14" s="1232"/>
      <c r="G14" s="220"/>
      <c r="H14" s="217"/>
      <c r="I14" s="217"/>
      <c r="J14" s="215"/>
      <c r="K14" s="1250"/>
      <c r="L14" s="1249"/>
      <c r="M14" s="1192"/>
      <c r="Q14" s="1190"/>
      <c r="AK14" s="200"/>
    </row>
    <row r="15" spans="1:43" ht="6.75" hidden="1" customHeight="1" thickBot="1" x14ac:dyDescent="0.35">
      <c r="B15" s="213"/>
      <c r="C15" s="214"/>
      <c r="D15" s="266"/>
      <c r="E15" s="219"/>
      <c r="F15" s="219"/>
      <c r="G15" s="217"/>
      <c r="H15" s="217"/>
      <c r="I15" s="217"/>
      <c r="J15" s="215"/>
      <c r="Q15" s="1190"/>
    </row>
    <row r="16" spans="1:43" ht="26.25" hidden="1" customHeight="1" thickBot="1" x14ac:dyDescent="0.35">
      <c r="B16" s="213"/>
      <c r="C16" s="214"/>
      <c r="D16" s="266" t="s">
        <v>1064</v>
      </c>
      <c r="E16" s="1228" t="s">
        <v>888</v>
      </c>
      <c r="F16" s="1228"/>
      <c r="G16" s="1233"/>
      <c r="H16" s="1230"/>
      <c r="I16" s="1231"/>
      <c r="J16" s="215"/>
      <c r="O16" s="1182" t="s">
        <v>886</v>
      </c>
      <c r="Q16" s="1190"/>
      <c r="AK16" s="221"/>
    </row>
    <row r="17" spans="2:37" ht="6.75" hidden="1" customHeight="1" thickBot="1" x14ac:dyDescent="0.35">
      <c r="B17" s="213"/>
      <c r="C17" s="214"/>
      <c r="D17" s="266"/>
      <c r="E17" s="219"/>
      <c r="F17" s="219"/>
      <c r="G17" s="217"/>
      <c r="H17" s="217"/>
      <c r="I17" s="217"/>
      <c r="J17" s="215"/>
      <c r="Q17" s="1190"/>
    </row>
    <row r="18" spans="2:37" ht="24" hidden="1" customHeight="1" thickBot="1" x14ac:dyDescent="0.35">
      <c r="B18" s="213"/>
      <c r="C18" s="214"/>
      <c r="D18" s="266" t="s">
        <v>1065</v>
      </c>
      <c r="E18" s="1228" t="s">
        <v>889</v>
      </c>
      <c r="F18" s="1228"/>
      <c r="G18" s="1229"/>
      <c r="H18" s="1230"/>
      <c r="I18" s="1231"/>
      <c r="J18" s="215"/>
      <c r="O18" s="1182" t="s">
        <v>890</v>
      </c>
      <c r="Q18" s="1190"/>
      <c r="AK18" s="221"/>
    </row>
    <row r="19" spans="2:37" ht="6.75" hidden="1" customHeight="1" thickBot="1" x14ac:dyDescent="0.35">
      <c r="B19" s="213"/>
      <c r="C19" s="214"/>
      <c r="D19" s="266"/>
      <c r="E19" s="219"/>
      <c r="F19" s="219"/>
      <c r="G19" s="217"/>
      <c r="H19" s="217"/>
      <c r="I19" s="217"/>
      <c r="J19" s="215"/>
      <c r="Q19" s="1190"/>
    </row>
    <row r="20" spans="2:37" ht="24" hidden="1" customHeight="1" thickBot="1" x14ac:dyDescent="0.35">
      <c r="B20" s="213"/>
      <c r="C20" s="214"/>
      <c r="D20" s="266" t="s">
        <v>1066</v>
      </c>
      <c r="E20" s="1228" t="s">
        <v>891</v>
      </c>
      <c r="F20" s="1228"/>
      <c r="G20" s="1229"/>
      <c r="H20" s="1230"/>
      <c r="I20" s="1231"/>
      <c r="J20" s="215"/>
      <c r="Q20" s="1190"/>
      <c r="AK20" s="221"/>
    </row>
    <row r="21" spans="2:37" ht="6.75" hidden="1" customHeight="1" thickBot="1" x14ac:dyDescent="0.35">
      <c r="B21" s="213"/>
      <c r="C21" s="214"/>
      <c r="D21" s="266"/>
      <c r="E21" s="219"/>
      <c r="F21" s="219"/>
      <c r="G21" s="217"/>
      <c r="H21" s="217"/>
      <c r="I21" s="217"/>
      <c r="J21" s="215"/>
      <c r="Q21" s="1190"/>
    </row>
    <row r="22" spans="2:37" ht="24" hidden="1" customHeight="1" thickBot="1" x14ac:dyDescent="0.35">
      <c r="B22" s="213"/>
      <c r="C22" s="214"/>
      <c r="D22" s="266" t="s">
        <v>1067</v>
      </c>
      <c r="E22" s="1228" t="s">
        <v>892</v>
      </c>
      <c r="F22" s="1228"/>
      <c r="G22" s="1233"/>
      <c r="H22" s="1230"/>
      <c r="I22" s="1231"/>
      <c r="J22" s="215"/>
      <c r="O22" s="1182" t="s">
        <v>886</v>
      </c>
      <c r="Q22" s="1190"/>
      <c r="AK22" s="221"/>
    </row>
    <row r="23" spans="2:37" ht="6.75" hidden="1" customHeight="1" thickBot="1" x14ac:dyDescent="0.35">
      <c r="B23" s="213"/>
      <c r="C23" s="214"/>
      <c r="D23" s="266"/>
      <c r="E23" s="219"/>
      <c r="F23" s="219"/>
      <c r="G23" s="217"/>
      <c r="H23" s="217"/>
      <c r="I23" s="217"/>
      <c r="J23" s="215"/>
      <c r="Q23" s="1190"/>
    </row>
    <row r="24" spans="2:37" ht="24" hidden="1" customHeight="1" thickBot="1" x14ac:dyDescent="0.35">
      <c r="B24" s="213"/>
      <c r="C24" s="214"/>
      <c r="D24" s="266" t="s">
        <v>1068</v>
      </c>
      <c r="E24" s="1228" t="s">
        <v>893</v>
      </c>
      <c r="F24" s="1228"/>
      <c r="G24" s="1233"/>
      <c r="H24" s="1230"/>
      <c r="I24" s="1231"/>
      <c r="J24" s="215"/>
      <c r="O24" s="1182" t="s">
        <v>886</v>
      </c>
      <c r="Q24" s="1190"/>
      <c r="AK24" s="221"/>
    </row>
    <row r="25" spans="2:37" ht="6.75" hidden="1" customHeight="1" thickBot="1" x14ac:dyDescent="0.35">
      <c r="B25" s="213"/>
      <c r="C25" s="214"/>
      <c r="D25" s="267"/>
      <c r="E25" s="210"/>
      <c r="F25" s="210"/>
      <c r="G25" s="214"/>
      <c r="H25" s="214"/>
      <c r="I25" s="214"/>
      <c r="J25" s="215"/>
      <c r="Q25" s="1190"/>
    </row>
    <row r="26" spans="2:37" ht="18.75" hidden="1" customHeight="1" thickBot="1" x14ac:dyDescent="0.35">
      <c r="B26" s="213"/>
      <c r="C26" s="214"/>
      <c r="D26" s="266" t="s">
        <v>1140</v>
      </c>
      <c r="E26" s="1232" t="s">
        <v>894</v>
      </c>
      <c r="F26" s="1232"/>
      <c r="G26" s="1237"/>
      <c r="H26" s="1238"/>
      <c r="I26" s="222"/>
      <c r="J26" s="215"/>
      <c r="P26" s="1182" t="b">
        <f>IF(OR(G26="Yes",G26=""), TRUE,FALSE)</f>
        <v>1</v>
      </c>
      <c r="Q26" s="1190"/>
      <c r="U26" s="1194"/>
    </row>
    <row r="27" spans="2:37" ht="28.5" hidden="1" customHeight="1" thickBot="1" x14ac:dyDescent="0.35">
      <c r="B27" s="213"/>
      <c r="C27" s="214"/>
      <c r="D27" s="266"/>
      <c r="E27" s="1239" t="str">
        <f>IF(G26="Housing Authority", CONCATENATE("SKIP Questions ",D28,"-",D66),"")</f>
        <v/>
      </c>
      <c r="F27" s="1239"/>
      <c r="G27" s="1239"/>
      <c r="H27" s="1239"/>
      <c r="I27" s="222"/>
      <c r="J27" s="215"/>
      <c r="Q27" s="1190"/>
    </row>
    <row r="28" spans="2:37" ht="28.5" hidden="1" customHeight="1" thickBot="1" x14ac:dyDescent="0.35">
      <c r="B28" s="213"/>
      <c r="C28" s="214"/>
      <c r="D28" s="266" t="s">
        <v>1070</v>
      </c>
      <c r="E28" s="1232" t="s">
        <v>895</v>
      </c>
      <c r="F28" s="1232"/>
      <c r="G28" s="223"/>
      <c r="H28" s="1240" t="str">
        <f>+O28</f>
        <v/>
      </c>
      <c r="I28" s="1241"/>
      <c r="J28" s="215"/>
      <c r="O28" s="1182" t="str">
        <f>IF(G28="No",CONCATENATE("Skip Questions ",D32,"-",D36),"")</f>
        <v/>
      </c>
      <c r="P28" s="1182" t="b">
        <f>IF(OR(G28="No",G28=""), TRUE,FALSE)</f>
        <v>1</v>
      </c>
      <c r="Q28" s="1190"/>
    </row>
    <row r="29" spans="2:37" ht="6.75" hidden="1" customHeight="1" thickBot="1" x14ac:dyDescent="0.35">
      <c r="B29" s="213"/>
      <c r="C29" s="214"/>
      <c r="D29" s="267"/>
      <c r="E29" s="210"/>
      <c r="F29" s="210"/>
      <c r="G29" s="224"/>
      <c r="H29" s="210"/>
      <c r="I29" s="225"/>
      <c r="J29" s="215"/>
      <c r="Q29" s="1190"/>
    </row>
    <row r="30" spans="2:37" ht="18.75" hidden="1" customHeight="1" thickBot="1" x14ac:dyDescent="0.35">
      <c r="B30" s="213"/>
      <c r="C30" s="214"/>
      <c r="D30" s="266" t="s">
        <v>1069</v>
      </c>
      <c r="E30" s="1232" t="s">
        <v>896</v>
      </c>
      <c r="F30" s="1232"/>
      <c r="G30" s="226"/>
      <c r="H30" s="1242"/>
      <c r="I30" s="1242"/>
      <c r="J30" s="215"/>
      <c r="P30" s="1182" t="b">
        <f>IF(OR(G30="Yes",G30=""), TRUE,FALSE)</f>
        <v>1</v>
      </c>
      <c r="Q30" s="1190"/>
    </row>
    <row r="31" spans="2:37" ht="6.75" hidden="1" customHeight="1" thickBot="1" x14ac:dyDescent="0.35">
      <c r="B31" s="213"/>
      <c r="C31" s="214"/>
      <c r="D31" s="267"/>
      <c r="E31" s="210"/>
      <c r="F31" s="210"/>
      <c r="G31" s="214"/>
      <c r="H31" s="214"/>
      <c r="I31" s="214"/>
      <c r="J31" s="215"/>
      <c r="Q31" s="1190"/>
    </row>
    <row r="32" spans="2:37" ht="27.75" hidden="1" customHeight="1" thickBot="1" x14ac:dyDescent="0.25">
      <c r="B32" s="213"/>
      <c r="C32" s="214"/>
      <c r="D32" s="266" t="s">
        <v>1071</v>
      </c>
      <c r="E32" s="1243" t="s">
        <v>897</v>
      </c>
      <c r="F32" s="1244"/>
      <c r="G32" s="1234"/>
      <c r="H32" s="1235"/>
      <c r="I32" s="1236"/>
      <c r="J32" s="215"/>
      <c r="O32" s="1182" t="str">
        <f>IF(OR($G$28="NO", $G$30="Financial Only"),"","N/A")</f>
        <v>N/A</v>
      </c>
      <c r="P32" s="1182" t="b">
        <f>IF(OR($G$28="NO", $G$30="Financial Only"),TRUE,FALSE)</f>
        <v>0</v>
      </c>
      <c r="Q32" s="1190"/>
    </row>
    <row r="33" spans="2:21" ht="6.75" hidden="1" customHeight="1" thickBot="1" x14ac:dyDescent="0.35">
      <c r="B33" s="213"/>
      <c r="C33" s="214"/>
      <c r="D33" s="267"/>
      <c r="E33" s="210"/>
      <c r="F33" s="210"/>
      <c r="G33" s="214"/>
      <c r="H33" s="214"/>
      <c r="I33" s="214"/>
      <c r="J33" s="215"/>
      <c r="Q33" s="1190"/>
    </row>
    <row r="34" spans="2:21" ht="17.25" hidden="1" customHeight="1" thickBot="1" x14ac:dyDescent="0.35">
      <c r="B34" s="213"/>
      <c r="C34" s="214"/>
      <c r="D34" s="266" t="s">
        <v>1072</v>
      </c>
      <c r="E34" s="219" t="s">
        <v>898</v>
      </c>
      <c r="F34" s="219"/>
      <c r="G34" s="1229"/>
      <c r="H34" s="1230"/>
      <c r="I34" s="1231"/>
      <c r="J34" s="215"/>
      <c r="Q34" s="1190"/>
    </row>
    <row r="35" spans="2:21" ht="6.75" hidden="1" customHeight="1" thickBot="1" x14ac:dyDescent="0.35">
      <c r="B35" s="213"/>
      <c r="C35" s="214"/>
      <c r="D35" s="267"/>
      <c r="E35" s="210"/>
      <c r="F35" s="210"/>
      <c r="G35" s="214"/>
      <c r="H35" s="214"/>
      <c r="I35" s="214"/>
      <c r="J35" s="215"/>
      <c r="Q35" s="1190"/>
    </row>
    <row r="36" spans="2:21" ht="18" hidden="1" customHeight="1" thickBot="1" x14ac:dyDescent="0.35">
      <c r="B36" s="213"/>
      <c r="C36" s="214"/>
      <c r="D36" s="266" t="s">
        <v>1073</v>
      </c>
      <c r="E36" s="1232" t="s">
        <v>899</v>
      </c>
      <c r="F36" s="1252"/>
      <c r="G36" s="1229"/>
      <c r="H36" s="1230"/>
      <c r="I36" s="1231"/>
      <c r="J36" s="215"/>
      <c r="Q36" s="1190"/>
    </row>
    <row r="37" spans="2:21" ht="8.25" hidden="1" customHeight="1" thickBot="1" x14ac:dyDescent="0.35">
      <c r="B37" s="213"/>
      <c r="C37" s="214"/>
      <c r="D37" s="260"/>
      <c r="E37" s="1253"/>
      <c r="F37" s="1253"/>
      <c r="G37" s="1253"/>
      <c r="H37" s="1253"/>
      <c r="I37" s="222"/>
      <c r="J37" s="215"/>
      <c r="Q37" s="1190"/>
    </row>
    <row r="38" spans="2:21" ht="39" customHeight="1" thickBot="1" x14ac:dyDescent="0.25">
      <c r="B38" s="1254" t="s">
        <v>1595</v>
      </c>
      <c r="C38" s="1255"/>
      <c r="D38" s="1255"/>
      <c r="E38" s="1255"/>
      <c r="F38" s="1255"/>
      <c r="G38" s="1255"/>
      <c r="H38" s="1255"/>
      <c r="I38" s="1255"/>
      <c r="J38" s="1256"/>
      <c r="Q38" s="1190"/>
      <c r="U38" s="1195"/>
    </row>
    <row r="39" spans="2:21" ht="4.5" customHeight="1" x14ac:dyDescent="0.3">
      <c r="B39" s="213"/>
      <c r="C39" s="214"/>
      <c r="D39" s="261"/>
      <c r="E39" s="210"/>
      <c r="F39" s="210"/>
      <c r="G39" s="214"/>
      <c r="H39" s="214"/>
      <c r="I39" s="214"/>
      <c r="J39" s="215"/>
      <c r="Q39" s="1190"/>
    </row>
    <row r="40" spans="2:21" ht="4.5" customHeight="1" thickBot="1" x14ac:dyDescent="0.35">
      <c r="B40" s="213"/>
      <c r="C40" s="214"/>
      <c r="D40" s="261"/>
      <c r="E40" s="210"/>
      <c r="F40" s="210"/>
      <c r="G40" s="214"/>
      <c r="H40" s="214"/>
      <c r="I40" s="214"/>
      <c r="J40" s="215"/>
      <c r="Q40" s="1190"/>
    </row>
    <row r="41" spans="2:21" ht="30.75" customHeight="1" thickBot="1" x14ac:dyDescent="0.35">
      <c r="B41" s="213"/>
      <c r="C41" s="214"/>
      <c r="D41" s="260">
        <v>906</v>
      </c>
      <c r="E41" s="1232" t="s">
        <v>900</v>
      </c>
      <c r="F41" s="1232"/>
      <c r="G41" s="223"/>
      <c r="H41" s="308" t="str">
        <f>IF(G41="","This Question must be answered before uploading, the report will not be processed if left blank","")</f>
        <v>This Question must be answered before uploading, the report will not be processed if left blank</v>
      </c>
      <c r="I41" s="214"/>
      <c r="J41" s="215"/>
      <c r="Q41" s="1190"/>
      <c r="U41" s="1193"/>
    </row>
    <row r="42" spans="2:21" ht="6.75" customHeight="1" thickBot="1" x14ac:dyDescent="0.35">
      <c r="B42" s="213"/>
      <c r="C42" s="214"/>
      <c r="D42" s="260"/>
      <c r="E42" s="219"/>
      <c r="F42" s="219"/>
      <c r="G42" s="224"/>
      <c r="H42" s="214"/>
      <c r="I42" s="214"/>
      <c r="J42" s="215"/>
      <c r="Q42" s="1190"/>
    </row>
    <row r="43" spans="2:21" ht="32.25" customHeight="1" thickBot="1" x14ac:dyDescent="0.35">
      <c r="B43" s="213"/>
      <c r="C43" s="214"/>
      <c r="D43" s="260">
        <v>907</v>
      </c>
      <c r="E43" s="1232" t="s">
        <v>901</v>
      </c>
      <c r="F43" s="1232"/>
      <c r="G43" s="223"/>
      <c r="H43" s="308" t="str">
        <f>IF(G43="","This Question must be answered before uploading, the report will not be processed if left blank","")</f>
        <v>This Question must be answered before uploading, the report will not be processed if left blank</v>
      </c>
      <c r="I43" s="214"/>
      <c r="J43" s="215"/>
      <c r="Q43" s="1190"/>
    </row>
    <row r="44" spans="2:21" ht="6.75" customHeight="1" thickBot="1" x14ac:dyDescent="0.35">
      <c r="B44" s="213"/>
      <c r="C44" s="214"/>
      <c r="D44" s="260"/>
      <c r="E44" s="219"/>
      <c r="F44" s="219"/>
      <c r="G44" s="224"/>
      <c r="H44" s="214"/>
      <c r="I44" s="214"/>
      <c r="J44" s="215"/>
      <c r="Q44" s="1190"/>
    </row>
    <row r="45" spans="2:21" ht="32.25" customHeight="1" thickBot="1" x14ac:dyDescent="0.35">
      <c r="B45" s="213"/>
      <c r="C45" s="214"/>
      <c r="D45" s="260">
        <v>951</v>
      </c>
      <c r="E45" s="1232" t="s">
        <v>902</v>
      </c>
      <c r="F45" s="1232"/>
      <c r="G45" s="223"/>
      <c r="H45" s="308" t="str">
        <f>IF(G45="","This Question must be answered before uploading, the report will not be processed if left blank","")</f>
        <v>This Question must be answered before uploading, the report will not be processed if left blank</v>
      </c>
      <c r="I45" s="210"/>
      <c r="J45" s="215"/>
      <c r="Q45" s="1190"/>
    </row>
    <row r="46" spans="2:21" ht="6.75" customHeight="1" thickBot="1" x14ac:dyDescent="0.35">
      <c r="B46" s="213"/>
      <c r="C46" s="214"/>
      <c r="D46" s="260"/>
      <c r="E46" s="219"/>
      <c r="F46" s="219"/>
      <c r="G46" s="224"/>
      <c r="H46" s="214"/>
      <c r="I46" s="214"/>
      <c r="J46" s="215"/>
      <c r="Q46" s="1190"/>
    </row>
    <row r="47" spans="2:21" ht="33" customHeight="1" thickBot="1" x14ac:dyDescent="0.35">
      <c r="B47" s="213"/>
      <c r="C47" s="214"/>
      <c r="D47" s="260">
        <v>953</v>
      </c>
      <c r="E47" s="1232" t="s">
        <v>903</v>
      </c>
      <c r="F47" s="1232"/>
      <c r="G47" s="223"/>
      <c r="H47" s="308" t="str">
        <f>IF(G47="","This Question must be answered before uploading, the report will not be processed if left blank","")</f>
        <v>This Question must be answered before uploading, the report will not be processed if left blank</v>
      </c>
      <c r="I47" s="210"/>
      <c r="J47" s="215"/>
      <c r="Q47" s="1190"/>
    </row>
    <row r="48" spans="2:21" ht="6.75" customHeight="1" thickBot="1" x14ac:dyDescent="0.35">
      <c r="B48" s="213"/>
      <c r="C48" s="214"/>
      <c r="D48" s="262"/>
      <c r="E48" s="219"/>
      <c r="F48" s="219"/>
      <c r="G48" s="224"/>
      <c r="H48" s="214"/>
      <c r="I48" s="214"/>
      <c r="J48" s="215"/>
      <c r="Q48" s="1190"/>
    </row>
    <row r="49" spans="2:43" ht="32.25" customHeight="1" thickBot="1" x14ac:dyDescent="0.35">
      <c r="B49" s="213"/>
      <c r="C49" s="214"/>
      <c r="D49" s="260">
        <v>955</v>
      </c>
      <c r="E49" s="1232" t="s">
        <v>904</v>
      </c>
      <c r="F49" s="1232"/>
      <c r="G49" s="228"/>
      <c r="H49" s="308" t="str">
        <f>IF(G49="","This Question must be answered before uploading, the report will not be processed if left blank","")</f>
        <v>This Question must be answered before uploading, the report will not be processed if left blank</v>
      </c>
      <c r="I49" s="229"/>
      <c r="J49" s="230"/>
      <c r="Q49" s="1190"/>
    </row>
    <row r="50" spans="2:43" ht="6.75" customHeight="1" thickBot="1" x14ac:dyDescent="0.35">
      <c r="B50" s="213"/>
      <c r="C50" s="214"/>
      <c r="D50" s="260"/>
      <c r="E50" s="219"/>
      <c r="F50" s="219"/>
      <c r="G50" s="224"/>
      <c r="H50" s="229"/>
      <c r="I50" s="229"/>
      <c r="J50" s="230"/>
      <c r="Q50" s="1190"/>
    </row>
    <row r="51" spans="2:43" ht="39.75" customHeight="1" thickBot="1" x14ac:dyDescent="0.35">
      <c r="B51" s="213"/>
      <c r="C51" s="214"/>
      <c r="D51" s="260">
        <v>957</v>
      </c>
      <c r="E51" s="1232" t="s">
        <v>905</v>
      </c>
      <c r="F51" s="1232"/>
      <c r="G51" s="228"/>
      <c r="H51" s="308" t="str">
        <f>IF(G51="","This Question must be answered before uploading, the report will not be processed if left blank","")</f>
        <v>This Question must be answered before uploading, the report will not be processed if left blank</v>
      </c>
      <c r="I51" s="229"/>
      <c r="J51" s="230"/>
      <c r="Q51" s="1190"/>
    </row>
    <row r="52" spans="2:43" ht="9.75" customHeight="1" thickBot="1" x14ac:dyDescent="0.35">
      <c r="B52" s="213"/>
      <c r="C52" s="214"/>
      <c r="D52" s="261"/>
      <c r="E52" s="210"/>
      <c r="F52" s="210"/>
      <c r="G52" s="214"/>
      <c r="H52" s="214"/>
      <c r="I52" s="214"/>
      <c r="J52" s="215"/>
      <c r="Q52" s="1190"/>
    </row>
    <row r="53" spans="2:43" ht="35.1" customHeight="1" thickBot="1" x14ac:dyDescent="0.35">
      <c r="B53" s="213"/>
      <c r="C53" s="214"/>
      <c r="D53" s="260">
        <v>959</v>
      </c>
      <c r="E53" s="1251" t="s">
        <v>1332</v>
      </c>
      <c r="F53" s="1251"/>
      <c r="G53" s="223"/>
      <c r="H53" s="308" t="str">
        <f>IF(G53="","This Question must be answered before uploading, the report will not be processed if left blank","")</f>
        <v>This Question must be answered before uploading, the report will not be processed if left blank</v>
      </c>
      <c r="I53" s="214"/>
      <c r="J53" s="215"/>
      <c r="Q53" s="1190"/>
    </row>
    <row r="54" spans="2:43" ht="8.25" customHeight="1" thickBot="1" x14ac:dyDescent="0.35">
      <c r="B54" s="213"/>
      <c r="C54" s="214"/>
      <c r="D54" s="260"/>
      <c r="E54" s="386"/>
      <c r="F54" s="386"/>
      <c r="G54" s="214"/>
      <c r="H54" s="214"/>
      <c r="I54" s="214"/>
      <c r="J54" s="215"/>
      <c r="Q54" s="1190"/>
    </row>
    <row r="55" spans="2:43" ht="67.5" customHeight="1" thickBot="1" x14ac:dyDescent="0.35">
      <c r="B55" s="213"/>
      <c r="C55" s="231"/>
      <c r="D55" s="260">
        <v>973</v>
      </c>
      <c r="E55" s="1251" t="s">
        <v>1406</v>
      </c>
      <c r="F55" s="1251"/>
      <c r="G55" s="391"/>
      <c r="H55" s="308" t="str">
        <f>IF(G55="","This Question must be answered before uploading, the report will not be processed if left blank","")</f>
        <v>This Question must be answered before uploading, the report will not be processed if left blank</v>
      </c>
      <c r="I55" s="286"/>
      <c r="J55" s="215"/>
      <c r="Q55" s="1190"/>
    </row>
    <row r="56" spans="2:43" ht="6.75" customHeight="1" thickBot="1" x14ac:dyDescent="0.35">
      <c r="B56" s="213"/>
      <c r="C56" s="231"/>
      <c r="D56" s="263"/>
      <c r="E56" s="210"/>
      <c r="F56" s="210"/>
      <c r="G56" s="259"/>
      <c r="H56" s="214"/>
      <c r="I56" s="214"/>
      <c r="J56" s="215"/>
      <c r="Q56" s="1190"/>
    </row>
    <row r="57" spans="2:43" ht="98.25" customHeight="1" thickBot="1" x14ac:dyDescent="0.35">
      <c r="B57" s="213"/>
      <c r="C57" s="214"/>
      <c r="D57" s="260">
        <v>974</v>
      </c>
      <c r="E57" s="1232" t="s">
        <v>1336</v>
      </c>
      <c r="F57" s="1257"/>
      <c r="G57" s="223"/>
      <c r="H57" s="307" t="str">
        <f>IF(G57="","This Question must be answered before uploading, the report will not be processed if left blank","")</f>
        <v>This Question must be answered before uploading, the report will not be processed if left blank</v>
      </c>
      <c r="I57" s="232"/>
      <c r="J57" s="215"/>
      <c r="Q57" s="1190"/>
    </row>
    <row r="58" spans="2:43" ht="16.2" customHeight="1" thickBot="1" x14ac:dyDescent="0.35">
      <c r="B58" s="213"/>
      <c r="C58" s="214"/>
      <c r="D58" s="260"/>
      <c r="E58" s="219"/>
      <c r="F58" s="219"/>
      <c r="G58" s="224"/>
      <c r="H58" s="214"/>
      <c r="I58" s="214"/>
      <c r="J58" s="215"/>
      <c r="Q58" s="1190"/>
    </row>
    <row r="59" spans="2:43" ht="6.75" hidden="1" customHeight="1" thickBot="1" x14ac:dyDescent="0.35">
      <c r="B59" s="213"/>
      <c r="C59" s="214"/>
      <c r="D59" s="260"/>
      <c r="E59" s="219"/>
      <c r="F59" s="219"/>
      <c r="G59" s="224"/>
      <c r="H59" s="210"/>
      <c r="I59" s="214"/>
      <c r="J59" s="215"/>
      <c r="Q59" s="1190"/>
    </row>
    <row r="60" spans="2:43" ht="35.4" hidden="1" customHeight="1" thickBot="1" x14ac:dyDescent="0.35">
      <c r="B60" s="213"/>
      <c r="C60" s="214"/>
      <c r="D60" s="260">
        <v>965</v>
      </c>
      <c r="E60" s="1232" t="s">
        <v>906</v>
      </c>
      <c r="F60" s="1232"/>
      <c r="G60" s="226"/>
      <c r="H60" s="308" t="str">
        <f>IF(G60="","This Question must be answered before uploading, the report will not be processed if left blank","")</f>
        <v>This Question must be answered before uploading, the report will not be processed if left blank</v>
      </c>
      <c r="I60" s="225"/>
      <c r="J60" s="215"/>
      <c r="P60" s="1182" t="b">
        <f>IF(OR(G60="Yes",G60=""), TRUE,FALSE)</f>
        <v>1</v>
      </c>
      <c r="Q60" s="1190"/>
    </row>
    <row r="61" spans="2:43" ht="13.2" hidden="1" customHeight="1" thickBot="1" x14ac:dyDescent="0.35">
      <c r="B61" s="213"/>
      <c r="C61" s="214"/>
      <c r="D61" s="261"/>
      <c r="E61" s="210"/>
      <c r="F61" s="210"/>
      <c r="G61" s="224"/>
      <c r="H61" s="210"/>
      <c r="I61" s="225"/>
      <c r="J61" s="215"/>
      <c r="Q61" s="1190"/>
    </row>
    <row r="62" spans="2:43" s="238" customFormat="1" ht="30.75" customHeight="1" thickBot="1" x14ac:dyDescent="0.25">
      <c r="B62" s="233"/>
      <c r="C62" s="234"/>
      <c r="D62" s="260" t="s">
        <v>1141</v>
      </c>
      <c r="E62" s="235" t="s">
        <v>907</v>
      </c>
      <c r="F62" s="236" t="str">
        <f>IF(G62="Yes", "Please Submit Management Letter","")</f>
        <v/>
      </c>
      <c r="G62" s="223"/>
      <c r="H62" s="308" t="str">
        <f>IF(G62="","This Question must be answered before uploading, the report will not be processed if left blank","")</f>
        <v>This Question must be answered before uploading, the report will not be processed if left blank</v>
      </c>
      <c r="I62" s="285"/>
      <c r="J62" s="215"/>
      <c r="K62" s="1178"/>
      <c r="L62" s="1178"/>
      <c r="M62" s="1178"/>
      <c r="N62" s="1196"/>
      <c r="O62" s="1182"/>
      <c r="P62" s="1182"/>
      <c r="Q62" s="1190"/>
      <c r="R62" s="1182"/>
      <c r="S62" s="1182"/>
      <c r="T62" s="1182"/>
      <c r="U62" s="1182"/>
      <c r="V62" s="1182"/>
      <c r="W62" s="1182"/>
      <c r="X62" s="1182"/>
      <c r="Y62" s="1182"/>
      <c r="Z62" s="1182"/>
      <c r="AA62" s="1182"/>
      <c r="AB62" s="1195"/>
      <c r="AC62" s="1195"/>
      <c r="AD62" s="1195"/>
      <c r="AE62" s="1195"/>
      <c r="AF62" s="1195"/>
      <c r="AG62" s="1195"/>
      <c r="AH62" s="1195"/>
      <c r="AI62" s="227"/>
      <c r="AJ62" s="227"/>
      <c r="AK62" s="237"/>
      <c r="AL62" s="227"/>
      <c r="AM62" s="227"/>
      <c r="AN62" s="227"/>
      <c r="AO62" s="227"/>
      <c r="AP62" s="227"/>
      <c r="AQ62" s="227"/>
    </row>
    <row r="63" spans="2:43" s="238" customFormat="1" ht="9.75" customHeight="1" thickBot="1" x14ac:dyDescent="0.25">
      <c r="B63" s="233"/>
      <c r="C63" s="234"/>
      <c r="D63" s="261"/>
      <c r="E63" s="239"/>
      <c r="F63" s="240"/>
      <c r="G63" s="224"/>
      <c r="H63" s="210"/>
      <c r="I63" s="225"/>
      <c r="J63" s="215"/>
      <c r="K63" s="1178"/>
      <c r="L63" s="1178"/>
      <c r="M63" s="1178"/>
      <c r="N63" s="1196"/>
      <c r="O63" s="1182"/>
      <c r="P63" s="1182"/>
      <c r="Q63" s="1190"/>
      <c r="R63" s="1182"/>
      <c r="S63" s="1182"/>
      <c r="T63" s="1182"/>
      <c r="U63" s="1182"/>
      <c r="V63" s="1182"/>
      <c r="W63" s="1182"/>
      <c r="X63" s="1182"/>
      <c r="Y63" s="1182"/>
      <c r="Z63" s="1182"/>
      <c r="AA63" s="1182"/>
      <c r="AB63" s="1195"/>
      <c r="AC63" s="1195"/>
      <c r="AD63" s="1195"/>
      <c r="AE63" s="1195"/>
      <c r="AF63" s="1195"/>
      <c r="AG63" s="1195"/>
      <c r="AH63" s="1195"/>
      <c r="AI63" s="227"/>
      <c r="AJ63" s="227"/>
      <c r="AK63" s="237"/>
      <c r="AL63" s="227"/>
      <c r="AM63" s="227"/>
      <c r="AN63" s="227"/>
      <c r="AO63" s="227"/>
      <c r="AP63" s="227"/>
      <c r="AQ63" s="227"/>
    </row>
    <row r="64" spans="2:43" s="238" customFormat="1" ht="31.5" customHeight="1" thickBot="1" x14ac:dyDescent="0.25">
      <c r="B64" s="233"/>
      <c r="C64" s="234"/>
      <c r="D64" s="260" t="s">
        <v>1142</v>
      </c>
      <c r="E64" s="235" t="s">
        <v>908</v>
      </c>
      <c r="F64" s="236" t="str">
        <f>IF(G64="Yes", "Please Submit AU-C 260 Letter","")</f>
        <v/>
      </c>
      <c r="G64" s="223"/>
      <c r="H64" s="308" t="str">
        <f>IF(G64="","This Question must be answered before uploading, the report will not be processed if left blank","")</f>
        <v>This Question must be answered before uploading, the report will not be processed if left blank</v>
      </c>
      <c r="I64" s="285"/>
      <c r="J64" s="215"/>
      <c r="K64" s="1178"/>
      <c r="L64" s="1178"/>
      <c r="M64" s="1178"/>
      <c r="N64" s="1196"/>
      <c r="O64" s="1182"/>
      <c r="P64" s="1182"/>
      <c r="Q64" s="1190"/>
      <c r="R64" s="1182"/>
      <c r="S64" s="1182"/>
      <c r="T64" s="1182"/>
      <c r="U64" s="1182"/>
      <c r="V64" s="1182"/>
      <c r="W64" s="1182"/>
      <c r="X64" s="1182"/>
      <c r="Y64" s="1182"/>
      <c r="Z64" s="1182"/>
      <c r="AA64" s="1182"/>
      <c r="AB64" s="1195"/>
      <c r="AC64" s="1195"/>
      <c r="AD64" s="1195"/>
      <c r="AE64" s="1195"/>
      <c r="AF64" s="1195"/>
      <c r="AG64" s="1195"/>
      <c r="AH64" s="1195"/>
      <c r="AI64" s="227"/>
      <c r="AJ64" s="227"/>
      <c r="AK64" s="237"/>
      <c r="AL64" s="227"/>
      <c r="AM64" s="227"/>
      <c r="AN64" s="227"/>
      <c r="AO64" s="227"/>
      <c r="AP64" s="227"/>
      <c r="AQ64" s="227"/>
    </row>
    <row r="65" spans="2:43" s="238" customFormat="1" ht="8.25" customHeight="1" thickBot="1" x14ac:dyDescent="0.25">
      <c r="B65" s="233"/>
      <c r="C65" s="234"/>
      <c r="D65" s="261"/>
      <c r="E65" s="241"/>
      <c r="F65" s="240"/>
      <c r="G65" s="224"/>
      <c r="H65" s="210"/>
      <c r="I65" s="225"/>
      <c r="J65" s="215"/>
      <c r="K65" s="1178"/>
      <c r="L65" s="1178"/>
      <c r="M65" s="1178"/>
      <c r="N65" s="1196"/>
      <c r="O65" s="1182"/>
      <c r="P65" s="1182"/>
      <c r="Q65" s="1190"/>
      <c r="R65" s="1182"/>
      <c r="S65" s="1182"/>
      <c r="T65" s="1182"/>
      <c r="U65" s="1182"/>
      <c r="V65" s="1182"/>
      <c r="W65" s="1182"/>
      <c r="X65" s="1182"/>
      <c r="Y65" s="1182"/>
      <c r="Z65" s="1182"/>
      <c r="AA65" s="1182"/>
      <c r="AB65" s="1195"/>
      <c r="AC65" s="1195"/>
      <c r="AD65" s="1195"/>
      <c r="AE65" s="1195"/>
      <c r="AF65" s="1195"/>
      <c r="AG65" s="1195"/>
      <c r="AH65" s="1195"/>
      <c r="AI65" s="227"/>
      <c r="AJ65" s="227"/>
      <c r="AK65" s="237"/>
      <c r="AL65" s="227"/>
      <c r="AM65" s="227"/>
      <c r="AN65" s="227"/>
      <c r="AO65" s="227"/>
      <c r="AP65" s="227"/>
      <c r="AQ65" s="227"/>
    </row>
    <row r="66" spans="2:43" s="238" customFormat="1" ht="33.75" customHeight="1" thickBot="1" x14ac:dyDescent="0.25">
      <c r="B66" s="233"/>
      <c r="C66" s="234"/>
      <c r="D66" s="260" t="s">
        <v>1143</v>
      </c>
      <c r="E66" s="235" t="s">
        <v>909</v>
      </c>
      <c r="F66" s="236" t="str">
        <f>IF(G66="Yes", "Please Submit AU-C 265 Letter","")</f>
        <v/>
      </c>
      <c r="G66" s="223"/>
      <c r="H66" s="308" t="str">
        <f>IF(G66="","This Question must be answered before uploading, the report will not be processed if left blank","")</f>
        <v>This Question must be answered before uploading, the report will not be processed if left blank</v>
      </c>
      <c r="I66" s="285"/>
      <c r="J66" s="215"/>
      <c r="K66" s="1178"/>
      <c r="L66" s="1178"/>
      <c r="M66" s="1178"/>
      <c r="N66" s="1196"/>
      <c r="O66" s="1182"/>
      <c r="P66" s="1182"/>
      <c r="Q66" s="1190"/>
      <c r="R66" s="1182"/>
      <c r="S66" s="1182"/>
      <c r="T66" s="1182"/>
      <c r="U66" s="1182"/>
      <c r="V66" s="1182"/>
      <c r="W66" s="1182"/>
      <c r="X66" s="1182"/>
      <c r="Y66" s="1182"/>
      <c r="Z66" s="1182"/>
      <c r="AA66" s="1182"/>
      <c r="AB66" s="1195"/>
      <c r="AC66" s="1195"/>
      <c r="AD66" s="1195"/>
      <c r="AE66" s="1195"/>
      <c r="AF66" s="1195"/>
      <c r="AG66" s="1195"/>
      <c r="AH66" s="1195"/>
      <c r="AI66" s="227"/>
      <c r="AJ66" s="227"/>
      <c r="AK66" s="237"/>
      <c r="AL66" s="227"/>
      <c r="AM66" s="227"/>
      <c r="AN66" s="227"/>
      <c r="AO66" s="227"/>
      <c r="AP66" s="227"/>
      <c r="AQ66" s="227"/>
    </row>
    <row r="67" spans="2:43" ht="6.75" customHeight="1" thickBot="1" x14ac:dyDescent="0.35">
      <c r="B67" s="213"/>
      <c r="C67" s="214"/>
      <c r="D67" s="261"/>
      <c r="E67" s="242"/>
      <c r="F67" s="242"/>
      <c r="G67" s="217"/>
      <c r="H67" s="210"/>
      <c r="I67" s="210"/>
      <c r="J67" s="215"/>
      <c r="Q67" s="1190"/>
    </row>
    <row r="68" spans="2:43" s="238" customFormat="1" ht="35.25" customHeight="1" thickBot="1" x14ac:dyDescent="0.25">
      <c r="B68" s="233"/>
      <c r="C68" s="217"/>
      <c r="D68" s="394">
        <v>977</v>
      </c>
      <c r="E68" s="1258" t="s">
        <v>1317</v>
      </c>
      <c r="F68" s="1259"/>
      <c r="G68" s="392"/>
      <c r="H68" s="308" t="str">
        <f>IF(G68="","This Question must be answered before uploading, the report will not be processed if left blank","")</f>
        <v>This Question must be answered before uploading, the report will not be processed if left blank</v>
      </c>
      <c r="I68" s="225"/>
      <c r="J68" s="215"/>
      <c r="K68" s="1178"/>
      <c r="L68" s="1178"/>
      <c r="M68" s="1178"/>
      <c r="N68" s="1196"/>
      <c r="O68" s="1182"/>
      <c r="P68" s="1182"/>
      <c r="Q68" s="1190"/>
      <c r="R68" s="1182"/>
      <c r="S68" s="1182"/>
      <c r="T68" s="1182"/>
      <c r="U68" s="1182"/>
      <c r="V68" s="1182"/>
      <c r="W68" s="1182"/>
      <c r="X68" s="1182"/>
      <c r="Y68" s="1182"/>
      <c r="Z68" s="1182"/>
      <c r="AA68" s="1182"/>
      <c r="AB68" s="1195"/>
      <c r="AC68" s="1195"/>
      <c r="AD68" s="1195"/>
      <c r="AE68" s="1195"/>
      <c r="AF68" s="1195"/>
      <c r="AG68" s="1195"/>
      <c r="AH68" s="1195"/>
      <c r="AI68" s="227"/>
      <c r="AJ68" s="227"/>
      <c r="AK68" s="237"/>
      <c r="AL68" s="227"/>
      <c r="AM68" s="227"/>
      <c r="AN68" s="227"/>
      <c r="AO68" s="227"/>
      <c r="AP68" s="227"/>
      <c r="AQ68" s="227"/>
    </row>
    <row r="69" spans="2:43" s="238" customFormat="1" ht="8.25" customHeight="1" thickBot="1" x14ac:dyDescent="0.25">
      <c r="B69" s="233"/>
      <c r="C69" s="217"/>
      <c r="D69" s="260"/>
      <c r="E69" s="268"/>
      <c r="F69" s="269"/>
      <c r="G69" s="224"/>
      <c r="H69" s="210"/>
      <c r="I69" s="225"/>
      <c r="J69" s="215"/>
      <c r="K69" s="1178"/>
      <c r="L69" s="1178"/>
      <c r="M69" s="1178"/>
      <c r="N69" s="1196"/>
      <c r="O69" s="1182"/>
      <c r="P69" s="1182"/>
      <c r="Q69" s="1190"/>
      <c r="R69" s="1182"/>
      <c r="S69" s="1182"/>
      <c r="T69" s="1182"/>
      <c r="U69" s="1182"/>
      <c r="V69" s="1182"/>
      <c r="W69" s="1182"/>
      <c r="X69" s="1182"/>
      <c r="Y69" s="1182"/>
      <c r="Z69" s="1182"/>
      <c r="AA69" s="1182"/>
      <c r="AB69" s="1195"/>
      <c r="AC69" s="1195"/>
      <c r="AD69" s="1195"/>
      <c r="AE69" s="1195"/>
      <c r="AF69" s="1195"/>
      <c r="AG69" s="1195"/>
      <c r="AH69" s="1195"/>
      <c r="AI69" s="227"/>
      <c r="AJ69" s="227"/>
      <c r="AK69" s="237"/>
      <c r="AL69" s="227"/>
      <c r="AM69" s="227"/>
      <c r="AN69" s="227"/>
      <c r="AO69" s="227"/>
      <c r="AP69" s="227"/>
      <c r="AQ69" s="227"/>
    </row>
    <row r="70" spans="2:43" s="238" customFormat="1" ht="30" customHeight="1" thickBot="1" x14ac:dyDescent="0.25">
      <c r="B70" s="233"/>
      <c r="C70" s="217"/>
      <c r="D70" s="394">
        <v>978</v>
      </c>
      <c r="E70" s="1258" t="s">
        <v>1075</v>
      </c>
      <c r="F70" s="1259"/>
      <c r="G70" s="392"/>
      <c r="H70" s="308" t="str">
        <f>IF(G70="","This Question must be answered before uploading, the report will not be processed if left blank","")</f>
        <v>This Question must be answered before uploading, the report will not be processed if left blank</v>
      </c>
      <c r="I70" s="225"/>
      <c r="J70" s="215"/>
      <c r="K70" s="1178"/>
      <c r="L70" s="1178"/>
      <c r="M70" s="1178"/>
      <c r="N70" s="1196"/>
      <c r="O70" s="1182"/>
      <c r="P70" s="1182"/>
      <c r="Q70" s="1190"/>
      <c r="R70" s="1182"/>
      <c r="S70" s="1182"/>
      <c r="T70" s="1182"/>
      <c r="U70" s="1182"/>
      <c r="V70" s="1182"/>
      <c r="W70" s="1182"/>
      <c r="X70" s="1182"/>
      <c r="Y70" s="1182"/>
      <c r="Z70" s="1182"/>
      <c r="AA70" s="1182"/>
      <c r="AB70" s="1195"/>
      <c r="AC70" s="1195"/>
      <c r="AD70" s="1195"/>
      <c r="AE70" s="1195"/>
      <c r="AF70" s="1195"/>
      <c r="AG70" s="1195"/>
      <c r="AH70" s="1195"/>
      <c r="AI70" s="227"/>
      <c r="AJ70" s="227"/>
      <c r="AK70" s="237"/>
      <c r="AL70" s="227"/>
      <c r="AM70" s="227"/>
      <c r="AN70" s="227"/>
      <c r="AO70" s="227"/>
      <c r="AP70" s="227"/>
      <c r="AQ70" s="227"/>
    </row>
    <row r="71" spans="2:43" s="238" customFormat="1" ht="8.25" customHeight="1" thickBot="1" x14ac:dyDescent="0.25">
      <c r="B71" s="233"/>
      <c r="C71" s="217"/>
      <c r="D71" s="394"/>
      <c r="E71" s="268"/>
      <c r="F71" s="269"/>
      <c r="G71" s="224"/>
      <c r="H71" s="210"/>
      <c r="I71" s="225"/>
      <c r="J71" s="215"/>
      <c r="K71" s="1178"/>
      <c r="L71" s="1178"/>
      <c r="M71" s="1178"/>
      <c r="N71" s="1196"/>
      <c r="O71" s="1182"/>
      <c r="P71" s="1182"/>
      <c r="Q71" s="1190"/>
      <c r="R71" s="1182"/>
      <c r="S71" s="1182"/>
      <c r="T71" s="1182"/>
      <c r="U71" s="1182"/>
      <c r="V71" s="1182"/>
      <c r="W71" s="1182"/>
      <c r="X71" s="1182"/>
      <c r="Y71" s="1182"/>
      <c r="Z71" s="1182"/>
      <c r="AA71" s="1182"/>
      <c r="AB71" s="1195"/>
      <c r="AC71" s="1195"/>
      <c r="AD71" s="1195"/>
      <c r="AE71" s="1195"/>
      <c r="AF71" s="1195"/>
      <c r="AG71" s="1195"/>
      <c r="AH71" s="1195"/>
      <c r="AI71" s="227"/>
      <c r="AJ71" s="227"/>
      <c r="AK71" s="237"/>
      <c r="AL71" s="227"/>
      <c r="AM71" s="227"/>
      <c r="AN71" s="227"/>
      <c r="AO71" s="227"/>
      <c r="AP71" s="227"/>
      <c r="AQ71" s="227"/>
    </row>
    <row r="72" spans="2:43" s="238" customFormat="1" ht="36.75" customHeight="1" thickBot="1" x14ac:dyDescent="0.25">
      <c r="B72" s="233"/>
      <c r="C72" s="217"/>
      <c r="D72" s="394">
        <v>979</v>
      </c>
      <c r="E72" s="1258" t="s">
        <v>1693</v>
      </c>
      <c r="F72" s="1259"/>
      <c r="G72" s="392"/>
      <c r="H72" s="308" t="str">
        <f>IF(G72="","This Question must be answered before uploading, the report will not be processed if left blank","")</f>
        <v>This Question must be answered before uploading, the report will not be processed if left blank</v>
      </c>
      <c r="I72" s="225"/>
      <c r="J72" s="215"/>
      <c r="K72" s="1178"/>
      <c r="L72" s="1178"/>
      <c r="M72" s="1178"/>
      <c r="N72" s="1196"/>
      <c r="O72" s="1182"/>
      <c r="P72" s="1182"/>
      <c r="Q72" s="1190"/>
      <c r="R72" s="1182"/>
      <c r="S72" s="1182"/>
      <c r="T72" s="1182"/>
      <c r="U72" s="1182"/>
      <c r="V72" s="1182"/>
      <c r="W72" s="1182"/>
      <c r="X72" s="1182"/>
      <c r="Y72" s="1182"/>
      <c r="Z72" s="1182"/>
      <c r="AA72" s="1182"/>
      <c r="AB72" s="1195"/>
      <c r="AC72" s="1195"/>
      <c r="AD72" s="1195"/>
      <c r="AE72" s="1195"/>
      <c r="AF72" s="1195"/>
      <c r="AG72" s="1195"/>
      <c r="AH72" s="1195"/>
      <c r="AI72" s="227"/>
      <c r="AJ72" s="227"/>
      <c r="AK72" s="237"/>
      <c r="AL72" s="227"/>
      <c r="AM72" s="227"/>
      <c r="AN72" s="227"/>
      <c r="AO72" s="227"/>
      <c r="AP72" s="227"/>
      <c r="AQ72" s="227"/>
    </row>
    <row r="73" spans="2:43" s="270" customFormat="1" ht="6.75" customHeight="1" thickBot="1" x14ac:dyDescent="0.25">
      <c r="B73" s="233"/>
      <c r="C73" s="217"/>
      <c r="D73" s="260"/>
      <c r="E73" s="268"/>
      <c r="F73" s="269"/>
      <c r="G73" s="224"/>
      <c r="H73" s="210"/>
      <c r="I73" s="225"/>
      <c r="J73" s="215"/>
      <c r="K73" s="1192"/>
      <c r="L73" s="1192"/>
      <c r="M73" s="1192"/>
      <c r="N73" s="1197"/>
      <c r="O73" s="1184"/>
      <c r="P73" s="1184"/>
      <c r="Q73" s="1198"/>
      <c r="R73" s="1184"/>
      <c r="S73" s="1184"/>
      <c r="T73" s="1184"/>
      <c r="U73" s="1184"/>
      <c r="V73" s="1184"/>
      <c r="W73" s="1184"/>
      <c r="X73" s="1184"/>
      <c r="Y73" s="1184"/>
      <c r="Z73" s="1184"/>
      <c r="AA73" s="1184"/>
      <c r="AB73" s="1199"/>
      <c r="AC73" s="1199"/>
      <c r="AD73" s="1199"/>
      <c r="AE73" s="1199"/>
      <c r="AF73" s="1199"/>
      <c r="AG73" s="1199"/>
      <c r="AH73" s="1199"/>
      <c r="AI73" s="271"/>
      <c r="AJ73" s="271"/>
      <c r="AK73" s="272"/>
      <c r="AL73" s="271"/>
      <c r="AM73" s="271"/>
      <c r="AN73" s="271"/>
      <c r="AO73" s="271"/>
      <c r="AP73" s="271"/>
      <c r="AQ73" s="271"/>
    </row>
    <row r="74" spans="2:43" s="238" customFormat="1" ht="39" customHeight="1" thickBot="1" x14ac:dyDescent="0.25">
      <c r="B74" s="233"/>
      <c r="C74" s="217"/>
      <c r="D74" s="394">
        <v>980</v>
      </c>
      <c r="E74" s="1260" t="s">
        <v>1074</v>
      </c>
      <c r="F74" s="1260"/>
      <c r="G74" s="393"/>
      <c r="H74" s="308" t="str">
        <f>IF(G74="","This Question must be answered before uploading, the report will not be processed if left blank","")</f>
        <v>This Question must be answered before uploading, the report will not be processed if left blank</v>
      </c>
      <c r="I74" s="225"/>
      <c r="J74" s="215"/>
      <c r="K74" s="1178"/>
      <c r="L74" s="1178"/>
      <c r="M74" s="1178"/>
      <c r="N74" s="1196"/>
      <c r="O74" s="1182"/>
      <c r="P74" s="1182"/>
      <c r="Q74" s="1190"/>
      <c r="R74" s="1182"/>
      <c r="S74" s="1182"/>
      <c r="T74" s="1182"/>
      <c r="U74" s="1182"/>
      <c r="V74" s="1182"/>
      <c r="W74" s="1182"/>
      <c r="X74" s="1182"/>
      <c r="Y74" s="1182"/>
      <c r="Z74" s="1182"/>
      <c r="AA74" s="1182"/>
      <c r="AB74" s="1195"/>
      <c r="AC74" s="1195"/>
      <c r="AD74" s="1195"/>
      <c r="AE74" s="1195"/>
      <c r="AF74" s="1195"/>
      <c r="AG74" s="1195"/>
      <c r="AH74" s="1195"/>
      <c r="AI74" s="227"/>
      <c r="AJ74" s="227"/>
      <c r="AK74" s="237"/>
      <c r="AL74" s="227"/>
      <c r="AM74" s="227"/>
      <c r="AN74" s="227"/>
      <c r="AO74" s="227"/>
      <c r="AP74" s="227"/>
      <c r="AQ74" s="227"/>
    </row>
    <row r="75" spans="2:43" s="270" customFormat="1" ht="6.75" customHeight="1" thickBot="1" x14ac:dyDescent="0.25">
      <c r="B75" s="233"/>
      <c r="C75" s="217"/>
      <c r="D75" s="260"/>
      <c r="E75" s="1133"/>
      <c r="F75" s="269"/>
      <c r="G75" s="224"/>
      <c r="H75" s="1134"/>
      <c r="I75" s="225"/>
      <c r="J75" s="215"/>
      <c r="K75" s="1192"/>
      <c r="L75" s="1192"/>
      <c r="M75" s="1192"/>
      <c r="N75" s="1197"/>
      <c r="O75" s="1184"/>
      <c r="P75" s="1184"/>
      <c r="Q75" s="1198"/>
      <c r="R75" s="1184"/>
      <c r="S75" s="1184"/>
      <c r="T75" s="1184"/>
      <c r="U75" s="1184"/>
      <c r="V75" s="1184"/>
      <c r="W75" s="1184"/>
      <c r="X75" s="1184"/>
      <c r="Y75" s="1184"/>
      <c r="Z75" s="1184"/>
      <c r="AA75" s="1184"/>
      <c r="AB75" s="1199"/>
      <c r="AC75" s="1199"/>
      <c r="AD75" s="1199"/>
      <c r="AE75" s="1199"/>
      <c r="AF75" s="1199"/>
      <c r="AG75" s="1199"/>
      <c r="AH75" s="1199"/>
      <c r="AI75" s="271"/>
      <c r="AJ75" s="271"/>
      <c r="AK75" s="272"/>
      <c r="AL75" s="271"/>
      <c r="AM75" s="271"/>
      <c r="AN75" s="271"/>
      <c r="AO75" s="271"/>
      <c r="AP75" s="271"/>
      <c r="AQ75" s="271"/>
    </row>
    <row r="76" spans="2:43" ht="32.25" customHeight="1" thickBot="1" x14ac:dyDescent="0.35">
      <c r="B76" s="213"/>
      <c r="C76" s="231"/>
      <c r="D76" s="260">
        <v>975</v>
      </c>
      <c r="E76" s="1232" t="s">
        <v>1077</v>
      </c>
      <c r="F76" s="1257"/>
      <c r="G76" s="223"/>
      <c r="H76" s="307" t="str">
        <f>IF(G76="","This Question must be answered before uploading, the report will not be processed if left blank","")</f>
        <v>This Question must be answered before uploading, the report will not be processed if left blank</v>
      </c>
      <c r="I76" s="229"/>
      <c r="J76" s="230"/>
      <c r="Q76" s="1190"/>
    </row>
    <row r="77" spans="2:43" s="270" customFormat="1" ht="6.75" customHeight="1" thickBot="1" x14ac:dyDescent="0.25">
      <c r="B77" s="233"/>
      <c r="C77" s="217"/>
      <c r="D77" s="260"/>
      <c r="E77" s="1131"/>
      <c r="F77" s="269"/>
      <c r="G77" s="224"/>
      <c r="H77" s="1132"/>
      <c r="I77" s="225"/>
      <c r="J77" s="215"/>
      <c r="K77" s="1192"/>
      <c r="L77" s="1192"/>
      <c r="M77" s="1192"/>
      <c r="N77" s="1197"/>
      <c r="O77" s="1184"/>
      <c r="P77" s="1184"/>
      <c r="Q77" s="1198"/>
      <c r="R77" s="1184"/>
      <c r="S77" s="1184"/>
      <c r="T77" s="1184"/>
      <c r="U77" s="1184"/>
      <c r="V77" s="1184"/>
      <c r="W77" s="1184"/>
      <c r="X77" s="1184"/>
      <c r="Y77" s="1184"/>
      <c r="Z77" s="1184"/>
      <c r="AA77" s="1184"/>
      <c r="AB77" s="1199"/>
      <c r="AC77" s="1199"/>
      <c r="AD77" s="1199"/>
      <c r="AE77" s="1199"/>
      <c r="AF77" s="1199"/>
      <c r="AG77" s="1199"/>
      <c r="AH77" s="1199"/>
      <c r="AI77" s="271"/>
      <c r="AJ77" s="271"/>
      <c r="AK77" s="272"/>
      <c r="AL77" s="271"/>
      <c r="AM77" s="271"/>
      <c r="AN77" s="271"/>
      <c r="AO77" s="271"/>
      <c r="AP77" s="271"/>
      <c r="AQ77" s="271"/>
    </row>
    <row r="78" spans="2:43" ht="61.5" customHeight="1" thickBot="1" x14ac:dyDescent="0.35">
      <c r="B78" s="213"/>
      <c r="C78" s="231"/>
      <c r="D78" s="260">
        <v>976</v>
      </c>
      <c r="E78" s="1232" t="s">
        <v>1289</v>
      </c>
      <c r="F78" s="1257"/>
      <c r="G78" s="223"/>
      <c r="H78" s="307" t="str">
        <f>IF(G78="","This Question must be answered before uploading, the report will not be processed if left blank","")</f>
        <v>This Question must be answered before uploading, the report will not be processed if left blank</v>
      </c>
      <c r="I78" s="229"/>
      <c r="J78" s="230"/>
      <c r="K78" s="1200"/>
      <c r="Q78" s="1190"/>
    </row>
    <row r="79" spans="2:43" ht="39" customHeight="1" thickBot="1" x14ac:dyDescent="0.35">
      <c r="B79" s="201"/>
      <c r="C79" s="202"/>
      <c r="D79" s="203"/>
      <c r="E79" s="204"/>
      <c r="F79" s="205"/>
      <c r="G79" s="281"/>
      <c r="H79" s="205"/>
      <c r="I79" s="205"/>
      <c r="J79" s="206"/>
      <c r="Q79" s="1190"/>
    </row>
    <row r="80" spans="2:43" ht="10.5" customHeight="1" thickBot="1" x14ac:dyDescent="0.35">
      <c r="B80" s="213"/>
      <c r="C80" s="214"/>
      <c r="D80" s="261"/>
      <c r="E80" s="210"/>
      <c r="F80" s="210"/>
      <c r="G80" s="217"/>
      <c r="H80" s="214"/>
      <c r="I80" s="214"/>
      <c r="J80" s="215"/>
      <c r="Q80" s="1190"/>
    </row>
    <row r="81" spans="1:17" ht="34.950000000000003" customHeight="1" thickBot="1" x14ac:dyDescent="0.35">
      <c r="B81" s="213"/>
      <c r="C81" s="214"/>
      <c r="D81" s="261" t="s">
        <v>1144</v>
      </c>
      <c r="E81" s="1202" t="str">
        <f>IF(G81="","This Question must be answered before uploading, the report will not be processed if left blank","")</f>
        <v>This Question must be answered before uploading, the report will not be processed if left blank</v>
      </c>
      <c r="F81" s="1177" t="s">
        <v>910</v>
      </c>
      <c r="G81" s="1229"/>
      <c r="H81" s="1230"/>
      <c r="I81" s="1231"/>
      <c r="J81" s="215"/>
      <c r="Q81" s="1190"/>
    </row>
    <row r="82" spans="1:17" ht="6.75" customHeight="1" thickBot="1" x14ac:dyDescent="0.35">
      <c r="B82" s="213"/>
      <c r="C82" s="214"/>
      <c r="D82" s="261"/>
      <c r="E82" s="242"/>
      <c r="F82" s="242"/>
      <c r="G82" s="217"/>
      <c r="H82" s="217"/>
      <c r="I82" s="217"/>
      <c r="J82" s="215"/>
      <c r="Q82" s="1190"/>
    </row>
    <row r="83" spans="1:17" ht="41.4" customHeight="1" thickBot="1" x14ac:dyDescent="0.35">
      <c r="B83" s="213"/>
      <c r="C83" s="214"/>
      <c r="D83" s="261" t="s">
        <v>1145</v>
      </c>
      <c r="E83" s="1202" t="str">
        <f>IF(G83="","This Question must be answered before uploading, the report will not be processed if left blank","")</f>
        <v>This Question must be answered before uploading, the report will not be processed if left blank</v>
      </c>
      <c r="F83" s="1177" t="s">
        <v>911</v>
      </c>
      <c r="G83" s="1229"/>
      <c r="H83" s="1230"/>
      <c r="I83" s="1231"/>
      <c r="J83" s="215"/>
      <c r="Q83" s="1190"/>
    </row>
    <row r="84" spans="1:17" ht="6.75" customHeight="1" thickBot="1" x14ac:dyDescent="0.35">
      <c r="B84" s="213"/>
      <c r="C84" s="214"/>
      <c r="D84" s="261"/>
      <c r="E84" s="242"/>
      <c r="F84" s="242"/>
      <c r="G84" s="243"/>
      <c r="H84" s="217"/>
      <c r="I84" s="217"/>
      <c r="J84" s="215"/>
      <c r="Q84" s="1190"/>
    </row>
    <row r="85" spans="1:17" ht="40.950000000000003" customHeight="1" thickBot="1" x14ac:dyDescent="0.35">
      <c r="B85" s="213"/>
      <c r="C85" s="214"/>
      <c r="D85" s="261" t="s">
        <v>1775</v>
      </c>
      <c r="E85" s="1202" t="str">
        <f>IF(G85="","This Question must be answered before uploading, the report will not be processed if left blank","")</f>
        <v>This Question must be answered before uploading, the report will not be processed if left blank</v>
      </c>
      <c r="F85" s="1177" t="s">
        <v>1340</v>
      </c>
      <c r="G85" s="218"/>
      <c r="H85" s="217"/>
      <c r="I85" s="217"/>
      <c r="J85" s="215"/>
      <c r="Q85" s="1190"/>
    </row>
    <row r="86" spans="1:17" ht="6.75" customHeight="1" x14ac:dyDescent="0.3">
      <c r="B86" s="213"/>
      <c r="C86" s="214"/>
      <c r="D86" s="261"/>
      <c r="E86" s="242"/>
      <c r="F86" s="242"/>
      <c r="G86" s="217"/>
      <c r="H86" s="217"/>
      <c r="I86" s="217"/>
      <c r="J86" s="215"/>
      <c r="Q86" s="1190"/>
    </row>
    <row r="87" spans="1:17" ht="30" hidden="1" customHeight="1" x14ac:dyDescent="0.3">
      <c r="B87" s="213"/>
      <c r="C87" s="214"/>
      <c r="D87" s="261"/>
      <c r="E87" s="1261"/>
      <c r="F87" s="1261"/>
      <c r="G87" s="244" t="str">
        <f>CONCATENATE(G10," 2021 TD.xlsx")</f>
        <v xml:space="preserve"> 2021 TD.xlsx</v>
      </c>
      <c r="H87" s="244"/>
      <c r="I87" s="245"/>
      <c r="J87" s="215"/>
      <c r="O87" s="1182" t="str">
        <f>CONCATENATE(G10," 2021 TD.xlsx")</f>
        <v xml:space="preserve"> 2021 TD.xlsx</v>
      </c>
      <c r="Q87" s="1190"/>
    </row>
    <row r="88" spans="1:17" ht="13.2" customHeight="1" x14ac:dyDescent="0.3">
      <c r="B88" s="213"/>
      <c r="C88" s="214"/>
      <c r="D88" s="1201"/>
      <c r="E88" s="1201"/>
      <c r="F88" s="1201"/>
      <c r="G88" s="1262" t="str">
        <f>IF(G11="","","Please review the Transmittal Instructions and your answer to Question 1")</f>
        <v/>
      </c>
      <c r="H88" s="1262"/>
      <c r="I88" s="1262"/>
      <c r="J88" s="215"/>
      <c r="Q88" s="1190"/>
    </row>
    <row r="89" spans="1:17" ht="6.6" customHeight="1" x14ac:dyDescent="0.3">
      <c r="B89" s="213"/>
      <c r="C89" s="214"/>
      <c r="D89" s="1201"/>
      <c r="E89" s="1201"/>
      <c r="F89" s="1201"/>
      <c r="G89" s="1262" t="str">
        <f>IF(G88="Currently the file name is incorrect, please correct before uploading",CONCATENATE("File current name is ",O89),"")</f>
        <v/>
      </c>
      <c r="H89" s="1262"/>
      <c r="I89" s="246"/>
      <c r="J89" s="247"/>
      <c r="N89" s="1185"/>
      <c r="Q89" s="1190"/>
    </row>
    <row r="90" spans="1:17" ht="6.75" customHeight="1" thickBot="1" x14ac:dyDescent="0.35">
      <c r="B90" s="248"/>
      <c r="C90" s="249"/>
      <c r="D90" s="264"/>
      <c r="E90" s="250"/>
      <c r="F90" s="250"/>
      <c r="G90" s="251"/>
      <c r="H90" s="251"/>
      <c r="I90" s="251"/>
      <c r="J90" s="252"/>
      <c r="Q90" s="1190"/>
    </row>
    <row r="93" spans="1:17" x14ac:dyDescent="0.3">
      <c r="B93" s="195" t="s">
        <v>912</v>
      </c>
      <c r="D93" s="199"/>
      <c r="E93" s="254">
        <v>1.01</v>
      </c>
      <c r="F93" s="255"/>
    </row>
    <row r="94" spans="1:17" x14ac:dyDescent="0.2">
      <c r="A94" s="199"/>
      <c r="B94" s="195" t="s">
        <v>913</v>
      </c>
      <c r="D94" s="199"/>
      <c r="E94" s="256">
        <v>44427</v>
      </c>
      <c r="F94" s="257"/>
    </row>
    <row r="95" spans="1:17" x14ac:dyDescent="0.3">
      <c r="E95" s="255"/>
      <c r="F95" s="255"/>
    </row>
    <row r="96" spans="1:17" x14ac:dyDescent="0.3">
      <c r="E96" s="265">
        <f>SUBTOTAL(109,D41:D85)</f>
        <v>14400</v>
      </c>
    </row>
  </sheetData>
  <sheetProtection algorithmName="SHA-512" hashValue="WjQry7S9rF4QNlLRGo4myebbDLQXux9ZGPBzgcZsYb9SUzvdT9WtVnFR2dB5II73Cd/EEe0exuZ+Jw5Jk2glxg==" saltValue="YZbCRNU1BBEwC/RN8i2eOw==" spinCount="100000" sheet="1" selectLockedCells="1"/>
  <mergeCells count="56">
    <mergeCell ref="G83:I83"/>
    <mergeCell ref="E87:F87"/>
    <mergeCell ref="G88:I88"/>
    <mergeCell ref="G89:H89"/>
    <mergeCell ref="G81:I81"/>
    <mergeCell ref="E76:F76"/>
    <mergeCell ref="E78:F78"/>
    <mergeCell ref="E57:F57"/>
    <mergeCell ref="E60:F60"/>
    <mergeCell ref="E68:F68"/>
    <mergeCell ref="E70:F70"/>
    <mergeCell ref="E72:F72"/>
    <mergeCell ref="E74:F74"/>
    <mergeCell ref="E55:F55"/>
    <mergeCell ref="G34:I34"/>
    <mergeCell ref="E36:F36"/>
    <mergeCell ref="G36:I36"/>
    <mergeCell ref="E37:H37"/>
    <mergeCell ref="B38:J38"/>
    <mergeCell ref="E41:F41"/>
    <mergeCell ref="E43:F43"/>
    <mergeCell ref="E45:F45"/>
    <mergeCell ref="E47:F47"/>
    <mergeCell ref="E49:F49"/>
    <mergeCell ref="E51:F51"/>
    <mergeCell ref="E53:F53"/>
    <mergeCell ref="O5:O8"/>
    <mergeCell ref="E10:F10"/>
    <mergeCell ref="G10:I10"/>
    <mergeCell ref="B5:J5"/>
    <mergeCell ref="L10:L14"/>
    <mergeCell ref="K10:K14"/>
    <mergeCell ref="G32:I32"/>
    <mergeCell ref="E22:F22"/>
    <mergeCell ref="G22:I22"/>
    <mergeCell ref="E24:F24"/>
    <mergeCell ref="G24:I24"/>
    <mergeCell ref="E26:F26"/>
    <mergeCell ref="G26:H26"/>
    <mergeCell ref="E27:H27"/>
    <mergeCell ref="E28:F28"/>
    <mergeCell ref="H28:I28"/>
    <mergeCell ref="E30:F30"/>
    <mergeCell ref="H30:I30"/>
    <mergeCell ref="E32:F32"/>
    <mergeCell ref="B1:J1"/>
    <mergeCell ref="B2:J2"/>
    <mergeCell ref="B3:J3"/>
    <mergeCell ref="E20:F20"/>
    <mergeCell ref="G20:I20"/>
    <mergeCell ref="E12:F12"/>
    <mergeCell ref="E14:F14"/>
    <mergeCell ref="E16:F16"/>
    <mergeCell ref="G16:I16"/>
    <mergeCell ref="E18:F18"/>
    <mergeCell ref="G18:I18"/>
  </mergeCells>
  <conditionalFormatting sqref="G10 G41 G43 G45 G47 G49 G57 G66 G60 G51 G78 G76">
    <cfRule type="expression" dxfId="106" priority="41">
      <formula>$T10</formula>
    </cfRule>
  </conditionalFormatting>
  <conditionalFormatting sqref="G10">
    <cfRule type="containsText" priority="40" operator="containsText" text="The, City,Village,of">
      <formula>NOT(ISERROR(SEARCH("The, City,Village,of",G10)))</formula>
    </cfRule>
  </conditionalFormatting>
  <conditionalFormatting sqref="G26">
    <cfRule type="expression" dxfId="105" priority="39">
      <formula>$T26</formula>
    </cfRule>
  </conditionalFormatting>
  <conditionalFormatting sqref="G41 G43 G45 G47 G49 G60 G62 G64 G66 G30 G32 G76 G51:G57 G78">
    <cfRule type="expression" dxfId="104" priority="38">
      <formula>$G$26="Housing Authority"</formula>
    </cfRule>
  </conditionalFormatting>
  <conditionalFormatting sqref="G14">
    <cfRule type="expression" dxfId="103" priority="37">
      <formula>$T14</formula>
    </cfRule>
  </conditionalFormatting>
  <conditionalFormatting sqref="G12">
    <cfRule type="expression" dxfId="102" priority="36">
      <formula>$T12</formula>
    </cfRule>
  </conditionalFormatting>
  <conditionalFormatting sqref="G85">
    <cfRule type="expression" dxfId="101" priority="35">
      <formula>$T85</formula>
    </cfRule>
  </conditionalFormatting>
  <conditionalFormatting sqref="G81">
    <cfRule type="expression" dxfId="100" priority="34">
      <formula>$T81</formula>
    </cfRule>
  </conditionalFormatting>
  <conditionalFormatting sqref="G81">
    <cfRule type="containsText" priority="33" operator="containsText" text="The, City,Village,of">
      <formula>NOT(ISERROR(SEARCH("The, City,Village,of",G81)))</formula>
    </cfRule>
  </conditionalFormatting>
  <conditionalFormatting sqref="G83">
    <cfRule type="expression" dxfId="99" priority="32">
      <formula>$T83</formula>
    </cfRule>
  </conditionalFormatting>
  <conditionalFormatting sqref="G83">
    <cfRule type="containsText" priority="31" operator="containsText" text="The, City,Village,of">
      <formula>NOT(ISERROR(SEARCH("The, City,Village,of",G83)))</formula>
    </cfRule>
  </conditionalFormatting>
  <conditionalFormatting sqref="G18">
    <cfRule type="expression" dxfId="98" priority="30">
      <formula>$T18</formula>
    </cfRule>
  </conditionalFormatting>
  <conditionalFormatting sqref="G18">
    <cfRule type="containsText" priority="29" operator="containsText" text="The, City,Village,of">
      <formula>NOT(ISERROR(SEARCH("The, City,Village,of",G18)))</formula>
    </cfRule>
  </conditionalFormatting>
  <conditionalFormatting sqref="G60">
    <cfRule type="expression" dxfId="97" priority="23">
      <formula>$G$26="Housing Authority"</formula>
    </cfRule>
  </conditionalFormatting>
  <conditionalFormatting sqref="G64">
    <cfRule type="expression" dxfId="96" priority="28">
      <formula>$T64</formula>
    </cfRule>
  </conditionalFormatting>
  <conditionalFormatting sqref="G64">
    <cfRule type="expression" dxfId="95" priority="27">
      <formula>$G$26="Housing Authority"</formula>
    </cfRule>
  </conditionalFormatting>
  <conditionalFormatting sqref="G66">
    <cfRule type="expression" dxfId="94" priority="26">
      <formula>$G$26="Housing Authority"</formula>
    </cfRule>
  </conditionalFormatting>
  <conditionalFormatting sqref="G62">
    <cfRule type="expression" dxfId="93" priority="25">
      <formula>$T62</formula>
    </cfRule>
  </conditionalFormatting>
  <conditionalFormatting sqref="G62">
    <cfRule type="expression" dxfId="92" priority="24">
      <formula>$G$26="Housing Authority"</formula>
    </cfRule>
  </conditionalFormatting>
  <conditionalFormatting sqref="G31">
    <cfRule type="expression" dxfId="91" priority="22">
      <formula>$T31</formula>
    </cfRule>
  </conditionalFormatting>
  <conditionalFormatting sqref="G28">
    <cfRule type="expression" dxfId="90" priority="21">
      <formula>$T28</formula>
    </cfRule>
  </conditionalFormatting>
  <conditionalFormatting sqref="G28">
    <cfRule type="expression" dxfId="89" priority="20">
      <formula>$G$26="Housing Authority"</formula>
    </cfRule>
  </conditionalFormatting>
  <conditionalFormatting sqref="G30">
    <cfRule type="expression" dxfId="88" priority="19">
      <formula>$T30</formula>
    </cfRule>
  </conditionalFormatting>
  <conditionalFormatting sqref="G16">
    <cfRule type="expression" dxfId="87" priority="17">
      <formula>$T16</formula>
    </cfRule>
  </conditionalFormatting>
  <conditionalFormatting sqref="G16">
    <cfRule type="containsText" priority="16" operator="containsText" text="The, City,Village,of">
      <formula>NOT(ISERROR(SEARCH("The, City,Village,of",G16)))</formula>
    </cfRule>
  </conditionalFormatting>
  <conditionalFormatting sqref="G20">
    <cfRule type="expression" dxfId="86" priority="15">
      <formula>$T20</formula>
    </cfRule>
  </conditionalFormatting>
  <conditionalFormatting sqref="G20">
    <cfRule type="containsText" priority="14" operator="containsText" text="The, City,Village,of">
      <formula>NOT(ISERROR(SEARCH("The, City,Village,of",G20)))</formula>
    </cfRule>
  </conditionalFormatting>
  <conditionalFormatting sqref="G22">
    <cfRule type="expression" dxfId="85" priority="13">
      <formula>$T22</formula>
    </cfRule>
  </conditionalFormatting>
  <conditionalFormatting sqref="G22">
    <cfRule type="containsText" priority="12" operator="containsText" text="The, City,Village,of">
      <formula>NOT(ISERROR(SEARCH("The, City,Village,of",G22)))</formula>
    </cfRule>
  </conditionalFormatting>
  <conditionalFormatting sqref="G28">
    <cfRule type="expression" dxfId="84" priority="10">
      <formula>$G$26="Housing Authority"</formula>
    </cfRule>
  </conditionalFormatting>
  <conditionalFormatting sqref="G32">
    <cfRule type="expression" dxfId="83" priority="11">
      <formula>$P$32</formula>
    </cfRule>
    <cfRule type="expression" dxfId="82" priority="18">
      <formula>$T32</formula>
    </cfRule>
  </conditionalFormatting>
  <conditionalFormatting sqref="G36">
    <cfRule type="expression" dxfId="81" priority="7">
      <formula>$G$26="Housing Authority"</formula>
    </cfRule>
  </conditionalFormatting>
  <conditionalFormatting sqref="G36">
    <cfRule type="expression" dxfId="80" priority="8">
      <formula>$P$32</formula>
    </cfRule>
    <cfRule type="expression" dxfId="79" priority="9">
      <formula>$T36</formula>
    </cfRule>
  </conditionalFormatting>
  <conditionalFormatting sqref="G34">
    <cfRule type="expression" dxfId="78" priority="4">
      <formula>$G$26="Housing Authority"</formula>
    </cfRule>
  </conditionalFormatting>
  <conditionalFormatting sqref="G34">
    <cfRule type="expression" dxfId="77" priority="5">
      <formula>$P$32</formula>
    </cfRule>
    <cfRule type="expression" dxfId="76" priority="6">
      <formula>$T34</formula>
    </cfRule>
  </conditionalFormatting>
  <conditionalFormatting sqref="G24">
    <cfRule type="expression" dxfId="75" priority="3">
      <formula>$T24</formula>
    </cfRule>
  </conditionalFormatting>
  <conditionalFormatting sqref="G24">
    <cfRule type="containsText" priority="2" operator="containsText" text="The, City,Village,of">
      <formula>NOT(ISERROR(SEARCH("The, City,Village,of",G24)))</formula>
    </cfRule>
  </conditionalFormatting>
  <conditionalFormatting sqref="G53">
    <cfRule type="expression" dxfId="74" priority="1">
      <formula>$T53</formula>
    </cfRule>
  </conditionalFormatting>
  <dataValidations xWindow="873" yWindow="799" count="26">
    <dataValidation type="list" allowBlank="1" showInputMessage="1" showErrorMessage="1" prompt="Chose Unit Type" sqref="G26:H26" xr:uid="{0F10F559-8F23-44EB-987B-C924C826D337}">
      <formula1>"Municipality, County, Charter School, Tourism Development Authority, Housing Authority, Other"</formula1>
    </dataValidation>
    <dataValidation type="date" operator="greaterThan" allowBlank="1" showInputMessage="1" showErrorMessage="1" sqref="G63 G71 G89:G90 G65 G79:G80 G85:G86 G67 G69 G73 G77" xr:uid="{4BF7E2BE-68E4-4EDC-9705-A6DBFAEB7B90}">
      <formula1>44012</formula1>
    </dataValidation>
    <dataValidation type="list" allowBlank="1" showInputMessage="1" showErrorMessage="1" prompt="Please select Yes or No from the drop down list" sqref="G30" xr:uid="{53DB461E-98F8-470D-9081-CDE7B5E62384}">
      <formula1>"Financial Only, Yellow Book, Single Audit"</formula1>
    </dataValidation>
    <dataValidation allowBlank="1" showInputMessage="1" showErrorMessage="1" error="Cannot be blank" sqref="G24:I24 G20:I20 G22:I22" xr:uid="{4F77B4D1-7320-4937-BC6C-3C85879203C8}"/>
    <dataValidation type="list" operator="greaterThan" showInputMessage="1" showErrorMessage="1" promptTitle="Cannot be blank" prompt="This cannot be blank - please complete before uploading to the portal" sqref="G69 G80 G71 G67 G73 G77" xr:uid="{D198A47C-CDFA-4D46-B722-9DA3FB2EB984}">
      <formula1>"N/A, 1,2,3,4"</formula1>
    </dataValidation>
    <dataValidation type="list" allowBlank="1" showInputMessage="1" showErrorMessage="1" prompt="Chose Unit Type" sqref="G31:H31 H33" xr:uid="{75E505E4-60F6-4743-B472-20907ABD52A6}">
      <formula1>"Municipality, County, Tourism Development Authority, Housing Authority, Other"</formula1>
    </dataValidation>
    <dataValidation type="textLength" operator="greaterThan" showInputMessage="1" showErrorMessage="1" errorTitle="Blank Field" error="Check the name entered for length" promptTitle="Cannot be blank" prompt="This cannot be blank - please complete before uploading to the portal" sqref="G10 G18 G16" xr:uid="{7C48D2AE-CF0B-4E23-BD0B-A4168116C962}">
      <formula1>3</formula1>
    </dataValidation>
    <dataValidation type="date" showDropDown="1" showInputMessage="1" showErrorMessage="1" errorTitle="FYE date error" error="FYE must be 06/30/21 or after to use this form." prompt="For Fiscal Year ends prior to 06/30/21, please use the  2020 Transmittal Document_x000a_" sqref="G12" xr:uid="{BCAA93FC-8B8A-41A3-AB91-C0CDA25B87BA}">
      <formula1>44287</formula1>
      <formula2>44712</formula2>
    </dataValidation>
    <dataValidation type="list" allowBlank="1" showInputMessage="1" showErrorMessage="1" prompt="Please select Yes or No from the drop down list" sqref="G41 G47 G60 G43 G45 G66 G62 G64 G28" xr:uid="{740F9C53-B8A7-483C-B384-B0DCDA2D2BCB}">
      <formula1>"Yes, No"</formula1>
    </dataValidation>
    <dataValidation type="list" allowBlank="1" showInputMessage="1" showErrorMessage="1" prompt="Please select Yes or No from the drop down list" sqref="O3" xr:uid="{29CDCAA6-E218-41E2-BEFC-6F1DDCBB63CA}">
      <formula1>$Y$3:$Y$4</formula1>
    </dataValidation>
    <dataValidation type="whole" operator="greaterThan" allowBlank="1" showInputMessage="1" showErrorMessage="1" prompt="Please enter a whole number.  If there are no findings please enter 0" sqref="G49 G51:G52 G54:G56" xr:uid="{1A2CB230-B6DB-4036-94B3-6FD2E784AB33}">
      <formula1>-1</formula1>
    </dataValidation>
    <dataValidation type="textLength" operator="greaterThan" allowBlank="1" showInputMessage="1" showErrorMessage="1" errorTitle="File Name Error" error="Check that you have not left the Primary Government Name blank...see Question 1" sqref="G87" xr:uid="{653B8F25-9FF3-4457-86FF-093169F7B39F}">
      <formula1>10</formula1>
    </dataValidation>
    <dataValidation type="textLength" operator="greaterThan" showInputMessage="1" showErrorMessage="1" errorTitle="Blank Field" error="Check the name entered for length" promptTitle="Cannot be blank" prompt="This cannot be blank - please complete before uploading to the portal" sqref="H11" xr:uid="{D1874534-B18B-445D-9D56-8708CFB0B431}">
      <formula1>4</formula1>
    </dataValidation>
    <dataValidation type="list" showInputMessage="1" showErrorMessage="1" errorTitle="Cannot be blank" error="This cell cannot be left blank" prompt="Please select Yes or No from the drop down list" sqref="G14" xr:uid="{FA0A92A0-CFAB-49D4-8608-8D1DB740CB36}">
      <formula1>"Yes, No"</formula1>
    </dataValidation>
    <dataValidation type="textLength" operator="greaterThan" showInputMessage="1" showErrorMessage="1" promptTitle="Cannot be blank" prompt="This cannot be blank - please complete before uploading to the portal" sqref="H89:I90 H79:H80 I63 H85:I87 H65:I65 H69 H71 G81 H76:H77 H73 I68:I80" xr:uid="{970B9B41-3DA6-49D9-8538-915E33C95C98}">
      <formula1>5</formula1>
    </dataValidation>
    <dataValidation type="list" operator="greaterThan" allowBlank="1" showInputMessage="1" showErrorMessage="1" sqref="G70" xr:uid="{05F2F645-3F7B-4EB6-A09F-034934497E3E}">
      <formula1>"Yes, No"</formula1>
    </dataValidation>
    <dataValidation type="list" operator="greaterThan" allowBlank="1" showInputMessage="1" showErrorMessage="1" prompt="Please select Yes or No from drop down list" sqref="G68" xr:uid="{E971EE97-C595-4AA1-9573-23EDB218A969}">
      <formula1>"yes, No"</formula1>
    </dataValidation>
    <dataValidation type="list" allowBlank="1" showInputMessage="1" showErrorMessage="1" prompt="Please select Yes, No or N/A from drop down list" sqref="G78 G53" xr:uid="{AD8CBEC4-23F6-4F06-B268-46366C73CF32}">
      <formula1>"Yes, No,N/A"</formula1>
    </dataValidation>
    <dataValidation type="list" allowBlank="1" showInputMessage="1" showErrorMessage="1" prompt="Please select Yes or No from the drop down list" sqref="G76:G77" xr:uid="{0BEC721E-0D27-4077-8790-03D91092BB64}">
      <formula1>"Yes,No"</formula1>
    </dataValidation>
    <dataValidation type="list" operator="greaterThan" allowBlank="1" showInputMessage="1" showErrorMessage="1" prompt="Please select Yes or No from drop down list" sqref="G72" xr:uid="{80B217B5-9DCE-4043-A1B7-D1BB209B176F}">
      <formula1>"Yes, No"</formula1>
    </dataValidation>
    <dataValidation type="date" operator="greaterThan" allowBlank="1" showInputMessage="1" showErrorMessage="1" sqref="G87" xr:uid="{1CB4710E-81E8-4DA8-BB55-72CEC5ACBD8A}">
      <formula1>44377</formula1>
    </dataValidation>
    <dataValidation type="list" allowBlank="1" showInputMessage="1" showErrorMessage="1" sqref="G76" xr:uid="{090E2109-F792-41B8-9C0F-7251B0F63A94}">
      <formula1>"Yes, No"</formula1>
    </dataValidation>
    <dataValidation type="list" allowBlank="1" showInputMessage="1" showErrorMessage="1" sqref="G76" xr:uid="{3A1F8F6A-4171-4BD6-B093-4BD9ED510426}">
      <formula1>"Yes,No"</formula1>
    </dataValidation>
    <dataValidation type="date" operator="greaterThan" showInputMessage="1" showErrorMessage="1" promptTitle="MM/DD/YYYY" prompt="This cannot be blank" sqref="G74:G78" xr:uid="{FA296981-A236-46B7-9FFE-5DC3167CFD46}">
      <formula1>44377</formula1>
    </dataValidation>
    <dataValidation type="date" operator="greaterThan" allowBlank="1" showInputMessage="1" showErrorMessage="1" prompt="MM/DD/YYYY" sqref="G74:G78" xr:uid="{362B854A-1333-435D-A562-CD0AC3D0CBDC}">
      <formula1>44012</formula1>
    </dataValidation>
    <dataValidation type="list" allowBlank="1" showInputMessage="1" showErrorMessage="1" prompt="Please select Yes, No or N/A from the drop down list" sqref="G57" xr:uid="{C3DDBBE7-A45B-4C0C-A19C-5BE36825863D}">
      <formula1>"Yes, No, N/A"</formula1>
    </dataValidation>
  </dataValidations>
  <printOptions horizontalCentered="1" verticalCentered="1"/>
  <pageMargins left="0" right="0" top="0" bottom="1" header="0.3" footer="0.3"/>
  <pageSetup scale="52" fitToWidth="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A744"/>
  <sheetViews>
    <sheetView zoomScaleNormal="100" workbookViewId="0">
      <pane xSplit="3" ySplit="3" topLeftCell="D107" activePane="bottomRight" state="frozen"/>
      <selection activeCell="K179" sqref="K179"/>
      <selection pane="topRight" activeCell="K179" sqref="K179"/>
      <selection pane="bottomLeft" activeCell="K179" sqref="K179"/>
      <selection pane="bottomRight" activeCell="E110" sqref="E110"/>
    </sheetView>
  </sheetViews>
  <sheetFormatPr defaultColWidth="9.109375" defaultRowHeight="14.4" x14ac:dyDescent="0.3"/>
  <cols>
    <col min="1" max="1" width="8.88671875" style="3" customWidth="1"/>
    <col min="2" max="2" width="17.5546875" style="52" bestFit="1" customWidth="1"/>
    <col min="3" max="3" width="36.6640625" style="679" customWidth="1"/>
    <col min="4" max="4" width="20.88671875" style="3" bestFit="1" customWidth="1"/>
    <col min="5" max="5" width="17.5546875" style="3" customWidth="1"/>
    <col min="6" max="6" width="22.6640625" style="3" customWidth="1"/>
    <col min="7" max="7" width="17.44140625" style="576" bestFit="1" customWidth="1"/>
    <col min="8" max="8" width="9.6640625" style="3" bestFit="1" customWidth="1"/>
    <col min="9" max="9" width="1" style="610" customWidth="1"/>
    <col min="10" max="10" width="18.109375" style="5" customWidth="1"/>
    <col min="11" max="11" width="36.88671875" style="9" customWidth="1"/>
    <col min="12" max="12" width="15.44140625" style="687" bestFit="1" customWidth="1"/>
    <col min="13" max="13" width="1.44140625" style="3" customWidth="1"/>
    <col min="14" max="14" width="18.109375" style="3" customWidth="1"/>
    <col min="15" max="15" width="17.88671875" style="3" customWidth="1"/>
    <col min="16" max="16" width="8.6640625" style="303"/>
    <col min="17" max="17" width="10.33203125" style="579" hidden="1" customWidth="1"/>
    <col min="18" max="18" width="7.109375" style="3" hidden="1" customWidth="1"/>
    <col min="19" max="19" width="6" style="3" hidden="1" customWidth="1"/>
    <col min="20" max="20" width="6.6640625" style="3" hidden="1" customWidth="1"/>
    <col min="21" max="21" width="7.5546875" style="3" hidden="1" customWidth="1"/>
    <col min="22" max="22" width="3.44140625" style="3" hidden="1" customWidth="1"/>
    <col min="23" max="23" width="7.33203125" style="3" hidden="1" customWidth="1"/>
    <col min="24" max="24" width="10.5546875" style="3" hidden="1" customWidth="1"/>
    <col min="25" max="25" width="9.88671875" style="3" hidden="1" customWidth="1"/>
    <col min="26" max="26" width="0" style="3" hidden="1" customWidth="1"/>
    <col min="27" max="16384" width="9.109375" style="3"/>
  </cols>
  <sheetData>
    <row r="1" spans="1:25" ht="36" x14ac:dyDescent="0.3">
      <c r="C1" s="49" t="s">
        <v>813</v>
      </c>
      <c r="D1" s="13">
        <f>L65-(L52+L53-L57-L58-L233)-L61</f>
        <v>0</v>
      </c>
      <c r="I1" s="577"/>
      <c r="J1" s="48"/>
      <c r="K1" s="14" t="s">
        <v>47</v>
      </c>
      <c r="L1" s="63"/>
      <c r="M1" s="578"/>
      <c r="S1" s="3">
        <v>100</v>
      </c>
      <c r="T1" s="3">
        <v>1</v>
      </c>
    </row>
    <row r="2" spans="1:25" ht="36" x14ac:dyDescent="0.4">
      <c r="C2" s="74" t="str">
        <f>'Unit Data from Audit Worksheet'!D2</f>
        <v>Select Unit Name from Drop Down List</v>
      </c>
      <c r="D2" s="145">
        <v>2021</v>
      </c>
      <c r="E2" s="12">
        <v>2021</v>
      </c>
      <c r="F2" s="12"/>
      <c r="G2" s="70"/>
      <c r="H2" s="12"/>
      <c r="I2" s="577"/>
      <c r="J2" s="43" t="s">
        <v>43</v>
      </c>
      <c r="K2" s="8" t="s">
        <v>42</v>
      </c>
      <c r="L2" s="68" t="s">
        <v>30</v>
      </c>
      <c r="S2" s="3">
        <v>200</v>
      </c>
      <c r="T2" s="3">
        <v>2</v>
      </c>
    </row>
    <row r="3" spans="1:25" ht="31.2" x14ac:dyDescent="0.3">
      <c r="A3" s="580" t="s">
        <v>43</v>
      </c>
      <c r="B3" s="581"/>
      <c r="C3" s="46" t="s">
        <v>1</v>
      </c>
      <c r="D3" s="15" t="s">
        <v>44</v>
      </c>
      <c r="E3" s="15" t="s">
        <v>45</v>
      </c>
      <c r="F3" s="16" t="s">
        <v>49</v>
      </c>
      <c r="G3" s="75" t="s">
        <v>557</v>
      </c>
      <c r="H3" s="16" t="s">
        <v>698</v>
      </c>
      <c r="I3" s="577"/>
      <c r="J3" s="582"/>
      <c r="K3" s="146"/>
      <c r="L3" s="583"/>
      <c r="O3" s="3" t="s">
        <v>296</v>
      </c>
      <c r="Q3" s="86" t="s">
        <v>558</v>
      </c>
      <c r="S3" s="3">
        <v>300</v>
      </c>
      <c r="T3" s="3">
        <v>3</v>
      </c>
    </row>
    <row r="4" spans="1:25" ht="18" x14ac:dyDescent="0.35">
      <c r="A4" s="584"/>
      <c r="B4" s="585"/>
      <c r="C4" s="50"/>
      <c r="D4" s="7"/>
      <c r="E4" s="7"/>
      <c r="F4" s="7"/>
      <c r="G4" s="71"/>
      <c r="H4" s="7"/>
      <c r="I4" s="577"/>
      <c r="J4" s="45">
        <v>999</v>
      </c>
      <c r="K4" s="11" t="s">
        <v>293</v>
      </c>
      <c r="L4" s="134" t="e">
        <f>'Unit Data from Audit Worksheet'!D3</f>
        <v>#N/A</v>
      </c>
      <c r="S4" s="3">
        <v>400</v>
      </c>
      <c r="T4" s="3">
        <v>4</v>
      </c>
      <c r="W4" s="3" t="b">
        <f t="shared" ref="W4:W35" si="0">EXACT(A4,J4)</f>
        <v>0</v>
      </c>
      <c r="X4" s="586" t="e">
        <f>E4-L4</f>
        <v>#N/A</v>
      </c>
      <c r="Y4" s="586" t="e">
        <f>D4-L4</f>
        <v>#N/A</v>
      </c>
    </row>
    <row r="5" spans="1:25" ht="57" customHeight="1" x14ac:dyDescent="0.3">
      <c r="A5" s="587">
        <f>'Unit Data from Audit Worksheet'!A7</f>
        <v>333</v>
      </c>
      <c r="B5" s="54" t="str">
        <f>'Unit Data from Audit Worksheet'!C7</f>
        <v>Net Position-Governmental Activities</v>
      </c>
      <c r="C5" s="588" t="str">
        <f>'Unit Data from Audit Worksheet'!D7</f>
        <v xml:space="preserve"> All unrestricted Cash and investments.  
Exclude: restricted cash 
                   cash held by a third party. </v>
      </c>
      <c r="D5" s="144"/>
      <c r="E5" s="152">
        <f>'Unit Data from Audit Worksheet'!F7</f>
        <v>0</v>
      </c>
      <c r="F5" s="354">
        <f>IF(L5&lt;0,"Error: Number is normally positive.",)</f>
        <v>0</v>
      </c>
      <c r="G5" s="72"/>
      <c r="H5" s="353">
        <f>'Unit Data from Audit Worksheet'!I7</f>
        <v>0</v>
      </c>
      <c r="I5" s="38"/>
      <c r="J5" s="42">
        <v>333</v>
      </c>
      <c r="K5" s="51" t="s">
        <v>184</v>
      </c>
      <c r="L5" s="589">
        <f>IF(D5="",E5,D5)</f>
        <v>0</v>
      </c>
      <c r="P5" s="322"/>
      <c r="S5" s="3">
        <v>500</v>
      </c>
      <c r="T5" s="3">
        <v>5</v>
      </c>
      <c r="W5" s="3" t="b">
        <f t="shared" si="0"/>
        <v>1</v>
      </c>
      <c r="X5" s="586">
        <f t="shared" ref="X5:X116" si="1">E5-L5</f>
        <v>0</v>
      </c>
      <c r="Y5" s="586">
        <f t="shared" ref="Y5:Y116" si="2">D5-L5</f>
        <v>0</v>
      </c>
    </row>
    <row r="6" spans="1:25" ht="39.75" customHeight="1" x14ac:dyDescent="0.3">
      <c r="A6" s="341">
        <f>'Unit Data from Audit Worksheet'!A8</f>
        <v>500</v>
      </c>
      <c r="B6" s="355" t="str">
        <f>'Unit Data from Audit Worksheet'!C8</f>
        <v>Net Position-Governmental Activities</v>
      </c>
      <c r="C6" s="340" t="str">
        <f>'Unit Data from Audit Worksheet'!D8</f>
        <v xml:space="preserve"> All restricted Cash and investments</v>
      </c>
      <c r="D6" s="144"/>
      <c r="E6" s="361">
        <f>'Unit Data from Audit Worksheet'!F8</f>
        <v>0</v>
      </c>
      <c r="F6" s="354">
        <f>IF(L6&lt;0,"Error: Number is normally positive.",)</f>
        <v>0</v>
      </c>
      <c r="G6" s="356"/>
      <c r="H6" s="353">
        <f>'Unit Data from Audit Worksheet'!I8</f>
        <v>0</v>
      </c>
      <c r="I6" s="38"/>
      <c r="J6" s="352">
        <v>500</v>
      </c>
      <c r="K6" s="351" t="s">
        <v>183</v>
      </c>
      <c r="L6" s="589">
        <f>IF(D6="",E6,D6)</f>
        <v>0</v>
      </c>
      <c r="P6" s="323"/>
      <c r="T6" s="3">
        <v>6</v>
      </c>
      <c r="W6" s="3" t="b">
        <f t="shared" si="0"/>
        <v>1</v>
      </c>
      <c r="X6" s="586">
        <f t="shared" si="1"/>
        <v>0</v>
      </c>
      <c r="Y6" s="586">
        <f t="shared" si="2"/>
        <v>0</v>
      </c>
    </row>
    <row r="7" spans="1:25" ht="43.5" customHeight="1" x14ac:dyDescent="0.3">
      <c r="A7" s="341">
        <f>'Unit Data from Audit Worksheet'!A9</f>
        <v>385</v>
      </c>
      <c r="B7" s="355" t="str">
        <f>'Unit Data from Audit Worksheet'!C9</f>
        <v>Net Position-Governmental Activities</v>
      </c>
      <c r="C7" s="340" t="str">
        <f>'Unit Data from Audit Worksheet'!D9</f>
        <v>Total Assets and deferred outflows</v>
      </c>
      <c r="D7" s="144"/>
      <c r="E7" s="361">
        <f>'Unit Data from Audit Worksheet'!F9</f>
        <v>0</v>
      </c>
      <c r="F7" s="135">
        <f>IF((L5+L6)&gt;L7,"Error: Please review accts (333 + 500) &gt; 385",)</f>
        <v>0</v>
      </c>
      <c r="G7" s="356" t="str">
        <f>IF(Q7=1," Included in error count"," ")</f>
        <v xml:space="preserve"> </v>
      </c>
      <c r="H7" s="353">
        <f>'Unit Data from Audit Worksheet'!I9</f>
        <v>0</v>
      </c>
      <c r="I7" s="38"/>
      <c r="J7" s="76">
        <v>385</v>
      </c>
      <c r="K7" s="77" t="s">
        <v>115</v>
      </c>
      <c r="L7" s="590">
        <f>IF(D7="",E7,D7)+IF(D9="",E9,D9)</f>
        <v>0</v>
      </c>
      <c r="N7" s="78" t="s">
        <v>544</v>
      </c>
      <c r="P7" s="323"/>
      <c r="T7" s="3">
        <v>7</v>
      </c>
      <c r="W7" s="3" t="b">
        <f t="shared" si="0"/>
        <v>1</v>
      </c>
      <c r="X7" s="586">
        <f t="shared" si="1"/>
        <v>0</v>
      </c>
      <c r="Y7" s="586">
        <f t="shared" si="2"/>
        <v>0</v>
      </c>
    </row>
    <row r="8" spans="1:25" ht="90.75" customHeight="1" x14ac:dyDescent="0.3">
      <c r="A8" s="341">
        <f>'Unit Data from Audit Worksheet'!A10</f>
        <v>575</v>
      </c>
      <c r="B8" s="355" t="str">
        <f>'Unit Data from Audit Worksheet'!C10</f>
        <v>Net Position-Governmental Activities</v>
      </c>
      <c r="C8" s="340" t="str">
        <f>'Unit Data from Audit Worksheet'!D10</f>
        <v>Record any positive Internal balances on the net position statements that appear in the Asset Section of the Net Position Statement</v>
      </c>
      <c r="D8" s="144"/>
      <c r="E8" s="361">
        <f>'Unit Data from Audit Worksheet'!F10</f>
        <v>0</v>
      </c>
      <c r="F8" s="354">
        <f>IF(L8&lt;0,"Error: Number is normally positive.",)</f>
        <v>0</v>
      </c>
      <c r="G8" s="356"/>
      <c r="H8" s="353">
        <f>'Unit Data from Audit Worksheet'!I10</f>
        <v>0</v>
      </c>
      <c r="I8" s="38"/>
      <c r="J8" s="352">
        <v>575</v>
      </c>
      <c r="K8" s="358" t="s">
        <v>547</v>
      </c>
      <c r="L8" s="589">
        <f>IF(D8="",E8,D8)</f>
        <v>0</v>
      </c>
      <c r="N8" s="64"/>
      <c r="P8" s="323"/>
      <c r="W8" s="3" t="b">
        <f t="shared" si="0"/>
        <v>1</v>
      </c>
      <c r="X8" s="586">
        <f t="shared" si="1"/>
        <v>0</v>
      </c>
      <c r="Y8" s="586">
        <f t="shared" si="2"/>
        <v>0</v>
      </c>
    </row>
    <row r="9" spans="1:25" ht="103.5" customHeight="1" x14ac:dyDescent="0.3">
      <c r="A9" s="341">
        <f>'Unit Data from Audit Worksheet'!A11</f>
        <v>576</v>
      </c>
      <c r="B9" s="355" t="str">
        <f>'Unit Data from Audit Worksheet'!C11</f>
        <v>Net Position-Governmental Activities</v>
      </c>
      <c r="C9" s="591" t="str">
        <f>'Unit Data from Audit Worksheet'!D11</f>
        <v>Record any negative Internal balances on the net position statements that appear in the Asset Section of the Net Position Statement.
Enter as a positive</v>
      </c>
      <c r="D9" s="110"/>
      <c r="E9" s="155">
        <f>'Unit Data from Audit Worksheet'!F11</f>
        <v>0</v>
      </c>
      <c r="F9" s="350">
        <f>IF(E9&lt;0,"Error: Enter as positive.",)</f>
        <v>0</v>
      </c>
      <c r="G9" s="112"/>
      <c r="H9" s="113">
        <f>'Unit Data from Audit Worksheet'!I11</f>
        <v>0</v>
      </c>
      <c r="I9" s="38"/>
      <c r="J9" s="105">
        <v>576</v>
      </c>
      <c r="K9" s="358" t="s">
        <v>548</v>
      </c>
      <c r="L9" s="589">
        <f>IF(D9="",E9,D9)</f>
        <v>0</v>
      </c>
      <c r="N9" s="64"/>
      <c r="P9" s="324"/>
      <c r="W9" s="3" t="b">
        <f t="shared" si="0"/>
        <v>1</v>
      </c>
      <c r="X9" s="586">
        <f t="shared" si="1"/>
        <v>0</v>
      </c>
      <c r="Y9" s="586">
        <f t="shared" si="2"/>
        <v>0</v>
      </c>
    </row>
    <row r="10" spans="1:25" s="18" customFormat="1" ht="100.5" customHeight="1" x14ac:dyDescent="0.3">
      <c r="A10" s="341">
        <f>'Unit Data from Audit Worksheet'!A12</f>
        <v>626</v>
      </c>
      <c r="B10" s="346" t="str">
        <f>'Unit Data from Audit Worksheet'!C12</f>
        <v>Net Position-Governmental Activities</v>
      </c>
      <c r="C10" s="345" t="str">
        <f>'Unit Data from Audit Worksheet'!D12</f>
        <v xml:space="preserve">Total Current liabilities (as reported on Statement of Net Position)
Include:   Current liabilities including current portion of long-term debt.  Deferred inflows should not be included in Current Liabilities  </v>
      </c>
      <c r="D10" s="110"/>
      <c r="E10" s="367">
        <f>'Unit Data from Audit Worksheet'!F12</f>
        <v>0</v>
      </c>
      <c r="F10" s="349">
        <f>IF(L10&lt;0,"Error: Enter as a positive.",)</f>
        <v>0</v>
      </c>
      <c r="G10" s="334"/>
      <c r="H10" s="349">
        <f>'Unit Data from Audit Worksheet'!I12</f>
        <v>0</v>
      </c>
      <c r="I10" s="38"/>
      <c r="J10" s="348">
        <v>626</v>
      </c>
      <c r="K10" s="315" t="s">
        <v>741</v>
      </c>
      <c r="L10" s="592">
        <f>IF(D10="",E10,D10)+IF(D9="",E9,D9)</f>
        <v>0</v>
      </c>
      <c r="M10" s="593"/>
      <c r="N10" s="183" t="s">
        <v>544</v>
      </c>
      <c r="O10" s="593"/>
      <c r="P10" s="325"/>
      <c r="Q10" s="594"/>
      <c r="R10" s="3"/>
      <c r="W10" s="18" t="b">
        <f t="shared" si="0"/>
        <v>1</v>
      </c>
      <c r="X10" s="595">
        <f t="shared" si="1"/>
        <v>0</v>
      </c>
      <c r="Y10" s="595">
        <f t="shared" si="2"/>
        <v>0</v>
      </c>
    </row>
    <row r="11" spans="1:25" s="18" customFormat="1" ht="86.25" customHeight="1" x14ac:dyDescent="0.3">
      <c r="A11" s="341">
        <f>'Unit Data from Audit Worksheet'!A13</f>
        <v>627</v>
      </c>
      <c r="B11" s="346" t="str">
        <f>'Unit Data from Audit Worksheet'!C13</f>
        <v>Net Position-Governmental Activities</v>
      </c>
      <c r="C11" s="345" t="str">
        <f>'Unit Data from Audit Worksheet'!D13</f>
        <v>Please enter any bond anticipation notes that are classified as current liabilities and included in account 626 above (amounts entered should agree to the current amount included in the changes to long-term debt note)</v>
      </c>
      <c r="D11" s="110"/>
      <c r="E11" s="367">
        <f>'Unit Data from Audit Worksheet'!F13</f>
        <v>0</v>
      </c>
      <c r="F11" s="349"/>
      <c r="G11" s="334"/>
      <c r="H11" s="349"/>
      <c r="I11" s="38"/>
      <c r="J11" s="348">
        <v>627</v>
      </c>
      <c r="K11" s="315" t="s">
        <v>733</v>
      </c>
      <c r="L11" s="596">
        <f t="shared" ref="L11:L16" si="3">IF(D11="",E11,D11)</f>
        <v>0</v>
      </c>
      <c r="M11" s="593"/>
      <c r="N11" s="182"/>
      <c r="O11" s="593"/>
      <c r="P11" s="325"/>
      <c r="Q11" s="594"/>
      <c r="R11" s="3"/>
      <c r="W11" s="18" t="b">
        <f t="shared" si="0"/>
        <v>1</v>
      </c>
      <c r="X11" s="595">
        <f t="shared" si="1"/>
        <v>0</v>
      </c>
      <c r="Y11" s="595">
        <f t="shared" si="2"/>
        <v>0</v>
      </c>
    </row>
    <row r="12" spans="1:25" s="18" customFormat="1" ht="86.25" customHeight="1" x14ac:dyDescent="0.3">
      <c r="A12" s="341">
        <f>'Unit Data from Audit Worksheet'!A14</f>
        <v>628</v>
      </c>
      <c r="B12" s="346" t="str">
        <f>'Unit Data from Audit Worksheet'!C14</f>
        <v>Net Position-Governmental Activities</v>
      </c>
      <c r="C12" s="345" t="str">
        <f>'Unit Data from Audit Worksheet'!D14</f>
        <v>Please enter any compensated absences that are classified as current liabilities and included in account 626 above (amounts entered should agree to the current amount included in the changes to long-term debt note)</v>
      </c>
      <c r="D12" s="110"/>
      <c r="E12" s="367">
        <f>'Unit Data from Audit Worksheet'!F14</f>
        <v>0</v>
      </c>
      <c r="F12" s="349"/>
      <c r="G12" s="334"/>
      <c r="H12" s="349"/>
      <c r="I12" s="38"/>
      <c r="J12" s="348">
        <v>628</v>
      </c>
      <c r="K12" s="315" t="s">
        <v>738</v>
      </c>
      <c r="L12" s="596">
        <f t="shared" si="3"/>
        <v>0</v>
      </c>
      <c r="M12" s="593"/>
      <c r="N12" s="182"/>
      <c r="O12" s="593"/>
      <c r="P12" s="325"/>
      <c r="Q12" s="594"/>
      <c r="R12" s="3"/>
      <c r="W12" s="18" t="b">
        <f t="shared" si="0"/>
        <v>1</v>
      </c>
      <c r="X12" s="595">
        <f t="shared" si="1"/>
        <v>0</v>
      </c>
      <c r="Y12" s="595">
        <f t="shared" si="2"/>
        <v>0</v>
      </c>
    </row>
    <row r="13" spans="1:25" s="18" customFormat="1" ht="93" customHeight="1" x14ac:dyDescent="0.3">
      <c r="A13" s="341">
        <f>'Unit Data from Audit Worksheet'!A15</f>
        <v>629</v>
      </c>
      <c r="B13" s="346" t="str">
        <f>'Unit Data from Audit Worksheet'!C15</f>
        <v>Net Position-Governmental Activities</v>
      </c>
      <c r="C13" s="345" t="str">
        <f>'Unit Data from Audit Worksheet'!D15</f>
        <v>Please enter any pension liabilities that are classified as current liabilities and included in account 626 above (amounts entered should agree to the current amount included in the changes to long-term debt note)</v>
      </c>
      <c r="D13" s="110"/>
      <c r="E13" s="367">
        <f>'Unit Data from Audit Worksheet'!F15</f>
        <v>0</v>
      </c>
      <c r="F13" s="349"/>
      <c r="G13" s="334"/>
      <c r="H13" s="349"/>
      <c r="I13" s="38"/>
      <c r="J13" s="348">
        <v>629</v>
      </c>
      <c r="K13" s="315" t="s">
        <v>737</v>
      </c>
      <c r="L13" s="596">
        <f t="shared" si="3"/>
        <v>0</v>
      </c>
      <c r="M13" s="593"/>
      <c r="N13" s="182"/>
      <c r="O13" s="593"/>
      <c r="P13" s="325"/>
      <c r="Q13" s="594"/>
      <c r="R13" s="3"/>
      <c r="W13" s="18" t="b">
        <f t="shared" si="0"/>
        <v>1</v>
      </c>
      <c r="X13" s="595">
        <f t="shared" si="1"/>
        <v>0</v>
      </c>
      <c r="Y13" s="595">
        <f t="shared" si="2"/>
        <v>0</v>
      </c>
    </row>
    <row r="14" spans="1:25" s="18" customFormat="1" ht="67.5" customHeight="1" x14ac:dyDescent="0.3">
      <c r="A14" s="341">
        <f>'Unit Data from Audit Worksheet'!A16</f>
        <v>630</v>
      </c>
      <c r="B14" s="346" t="str">
        <f>'Unit Data from Audit Worksheet'!C16</f>
        <v>Net Position-Governmental Activities</v>
      </c>
      <c r="C14" s="345" t="str">
        <f>'Unit Data from Audit Worksheet'!D16</f>
        <v>Please enter any current liabilities that are payable from restricted assets and included in account 626 above</v>
      </c>
      <c r="D14" s="110"/>
      <c r="E14" s="367">
        <f>'Unit Data from Audit Worksheet'!F16</f>
        <v>0</v>
      </c>
      <c r="F14" s="349"/>
      <c r="G14" s="334"/>
      <c r="H14" s="349"/>
      <c r="I14" s="38"/>
      <c r="J14" s="348">
        <v>630</v>
      </c>
      <c r="K14" s="315" t="s">
        <v>736</v>
      </c>
      <c r="L14" s="596">
        <f t="shared" si="3"/>
        <v>0</v>
      </c>
      <c r="M14" s="593"/>
      <c r="N14" s="182"/>
      <c r="O14" s="593"/>
      <c r="P14" s="325"/>
      <c r="Q14" s="594"/>
      <c r="R14" s="3"/>
      <c r="W14" s="18" t="b">
        <f t="shared" si="0"/>
        <v>1</v>
      </c>
      <c r="X14" s="595">
        <f t="shared" si="1"/>
        <v>0</v>
      </c>
      <c r="Y14" s="595">
        <f t="shared" si="2"/>
        <v>0</v>
      </c>
    </row>
    <row r="15" spans="1:25" s="18" customFormat="1" ht="102.75" customHeight="1" x14ac:dyDescent="0.3">
      <c r="A15" s="341">
        <f>'Unit Data from Audit Worksheet'!A17</f>
        <v>631</v>
      </c>
      <c r="B15" s="355" t="str">
        <f>'Unit Data from Audit Worksheet'!C17</f>
        <v>Net Position-Governmental Activities</v>
      </c>
      <c r="C15" s="335" t="str">
        <f>'Unit Data from Audit Worksheet'!D17</f>
        <v>Please enter any OPEB liabilities that are classified as current liabilities and included in account 626 above (amounts entered should agree to the current amount included in the changes to long-term debt note)</v>
      </c>
      <c r="D15" s="110"/>
      <c r="E15" s="367">
        <f>'Unit Data from Audit Worksheet'!F17</f>
        <v>0</v>
      </c>
      <c r="F15" s="349"/>
      <c r="G15" s="334"/>
      <c r="H15" s="349"/>
      <c r="I15" s="38"/>
      <c r="J15" s="348">
        <v>631</v>
      </c>
      <c r="K15" s="315" t="s">
        <v>735</v>
      </c>
      <c r="L15" s="596">
        <f t="shared" si="3"/>
        <v>0</v>
      </c>
      <c r="M15" s="593"/>
      <c r="N15" s="182"/>
      <c r="O15" s="593"/>
      <c r="P15" s="325"/>
      <c r="Q15" s="594"/>
      <c r="R15" s="3"/>
      <c r="W15" s="18" t="b">
        <f t="shared" si="0"/>
        <v>1</v>
      </c>
      <c r="X15" s="595">
        <f t="shared" si="1"/>
        <v>0</v>
      </c>
      <c r="Y15" s="595">
        <f t="shared" si="2"/>
        <v>0</v>
      </c>
    </row>
    <row r="16" spans="1:25" s="18" customFormat="1" ht="119.25" customHeight="1" x14ac:dyDescent="0.3">
      <c r="A16" s="341">
        <f>'Unit Data from Audit Worksheet'!A18</f>
        <v>632</v>
      </c>
      <c r="B16" s="355" t="str">
        <f>'Unit Data from Audit Worksheet'!C18</f>
        <v>Net Position-Governmental Activities</v>
      </c>
      <c r="C16" s="335"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10"/>
      <c r="E16" s="367">
        <f>'Unit Data from Audit Worksheet'!F18</f>
        <v>0</v>
      </c>
      <c r="F16" s="349"/>
      <c r="G16" s="334"/>
      <c r="H16" s="349"/>
      <c r="I16" s="38"/>
      <c r="J16" s="348">
        <v>632</v>
      </c>
      <c r="K16" s="315" t="s">
        <v>734</v>
      </c>
      <c r="L16" s="596">
        <f t="shared" si="3"/>
        <v>0</v>
      </c>
      <c r="M16" s="593"/>
      <c r="N16" s="182"/>
      <c r="O16" s="593"/>
      <c r="P16" s="325"/>
      <c r="Q16" s="594"/>
      <c r="R16" s="3"/>
      <c r="W16" s="18" t="b">
        <f t="shared" si="0"/>
        <v>1</v>
      </c>
      <c r="X16" s="595">
        <f t="shared" si="1"/>
        <v>0</v>
      </c>
      <c r="Y16" s="595">
        <f t="shared" si="2"/>
        <v>0</v>
      </c>
    </row>
    <row r="17" spans="1:25" ht="30.6" x14ac:dyDescent="0.3">
      <c r="A17" s="341">
        <f>'Unit Data from Audit Worksheet'!A19</f>
        <v>338</v>
      </c>
      <c r="B17" s="355" t="str">
        <f>'Unit Data from Audit Worksheet'!C19</f>
        <v>Net Position-Governmental Activities</v>
      </c>
      <c r="C17" s="340" t="str">
        <f>'Unit Data from Audit Worksheet'!D19</f>
        <v>Total Liabilities and total deferred inflows</v>
      </c>
      <c r="D17" s="110"/>
      <c r="E17" s="152">
        <f>'Unit Data from Audit Worksheet'!F19</f>
        <v>0</v>
      </c>
      <c r="F17" s="135" t="str">
        <f>IF(L10&gt;L17,"Please review accounts 626 greater than 338","")</f>
        <v/>
      </c>
      <c r="G17" s="72"/>
      <c r="H17" s="353">
        <f>'Unit Data from Audit Worksheet'!I19</f>
        <v>0</v>
      </c>
      <c r="I17" s="38"/>
      <c r="J17" s="114">
        <v>338</v>
      </c>
      <c r="K17" s="115" t="s">
        <v>116</v>
      </c>
      <c r="L17" s="590">
        <f>IF(D17="",E17,D17)+IF(D9="",E9,D9)</f>
        <v>0</v>
      </c>
      <c r="N17" s="78" t="s">
        <v>544</v>
      </c>
      <c r="P17" s="322"/>
      <c r="W17" s="3" t="b">
        <f t="shared" si="0"/>
        <v>1</v>
      </c>
      <c r="X17" s="586">
        <f t="shared" si="1"/>
        <v>0</v>
      </c>
      <c r="Y17" s="586">
        <f t="shared" si="2"/>
        <v>0</v>
      </c>
    </row>
    <row r="18" spans="1:25" ht="100.5" customHeight="1" x14ac:dyDescent="0.3">
      <c r="A18" s="341">
        <f>'Unit Data from Audit Worksheet'!A20</f>
        <v>335</v>
      </c>
      <c r="B18" s="355" t="str">
        <f>'Unit Data from Audit Worksheet'!C20</f>
        <v>Net Position-Governmental Activities</v>
      </c>
      <c r="C18" s="340" t="str">
        <f>'Unit Data from Audit Worksheet'!D20</f>
        <v>Unearned revenues that were included in current liabilities in your audit report or entered in acct # 626 above. 
Exclude - unearned revenues that are listed in deferred inflows.</v>
      </c>
      <c r="D18" s="110"/>
      <c r="E18" s="361">
        <f>'Unit Data from Audit Worksheet'!F20</f>
        <v>0</v>
      </c>
      <c r="F18" s="354">
        <f>IF(L18&lt;0,"Error: Enter as a positive.",)</f>
        <v>0</v>
      </c>
      <c r="G18" s="356"/>
      <c r="H18" s="353">
        <f>'Unit Data from Audit Worksheet'!I20</f>
        <v>0</v>
      </c>
      <c r="I18" s="38"/>
      <c r="J18" s="352">
        <v>335</v>
      </c>
      <c r="K18" s="351" t="s">
        <v>117</v>
      </c>
      <c r="L18" s="589">
        <f>IF(D18="",E18,D18)</f>
        <v>0</v>
      </c>
      <c r="P18" s="323"/>
      <c r="W18" s="3" t="b">
        <f t="shared" si="0"/>
        <v>1</v>
      </c>
      <c r="X18" s="586">
        <f t="shared" si="1"/>
        <v>0</v>
      </c>
      <c r="Y18" s="586">
        <f t="shared" si="2"/>
        <v>0</v>
      </c>
    </row>
    <row r="19" spans="1:25" ht="20.399999999999999" x14ac:dyDescent="0.3">
      <c r="A19" s="341">
        <f>'Unit Data from Audit Worksheet'!A21</f>
        <v>252</v>
      </c>
      <c r="B19" s="355" t="str">
        <f>'Unit Data from Audit Worksheet'!C21</f>
        <v>Net Position-Governmental Activities</v>
      </c>
      <c r="C19" s="340" t="str">
        <f>'Unit Data from Audit Worksheet'!D21</f>
        <v xml:space="preserve"> Total Net investment in capital assets</v>
      </c>
      <c r="D19" s="110"/>
      <c r="E19" s="361">
        <f>'Unit Data from Audit Worksheet'!F21</f>
        <v>0</v>
      </c>
      <c r="F19" s="354"/>
      <c r="G19" s="356"/>
      <c r="H19" s="353">
        <f>'Unit Data from Audit Worksheet'!I21</f>
        <v>0</v>
      </c>
      <c r="I19" s="38"/>
      <c r="J19" s="352">
        <v>252</v>
      </c>
      <c r="K19" s="351" t="s">
        <v>103</v>
      </c>
      <c r="L19" s="589">
        <f t="shared" ref="L19:L51" si="4">IF(D19="",E19,D19)</f>
        <v>0</v>
      </c>
      <c r="O19" s="597" t="e">
        <f>'Unit Data from Audit Worksheet'!E21</f>
        <v>#N/A</v>
      </c>
      <c r="P19" s="323"/>
      <c r="W19" s="3" t="b">
        <f t="shared" si="0"/>
        <v>1</v>
      </c>
      <c r="X19" s="586">
        <f t="shared" si="1"/>
        <v>0</v>
      </c>
      <c r="Y19" s="586">
        <f t="shared" si="2"/>
        <v>0</v>
      </c>
    </row>
    <row r="20" spans="1:25" ht="20.399999999999999" x14ac:dyDescent="0.3">
      <c r="A20" s="341">
        <f>'Unit Data from Audit Worksheet'!A22</f>
        <v>253</v>
      </c>
      <c r="B20" s="355" t="str">
        <f>'Unit Data from Audit Worksheet'!C22</f>
        <v>Net Position-Governmental Activities</v>
      </c>
      <c r="C20" s="340" t="str">
        <f>'Unit Data from Audit Worksheet'!D22</f>
        <v xml:space="preserve"> Total Net Position, Restricted</v>
      </c>
      <c r="D20" s="110"/>
      <c r="E20" s="361">
        <f>'Unit Data from Audit Worksheet'!F22</f>
        <v>0</v>
      </c>
      <c r="F20" s="354"/>
      <c r="G20" s="356"/>
      <c r="H20" s="353">
        <f>'Unit Data from Audit Worksheet'!I22</f>
        <v>0</v>
      </c>
      <c r="I20" s="38"/>
      <c r="J20" s="352">
        <v>253</v>
      </c>
      <c r="K20" s="351" t="s">
        <v>104</v>
      </c>
      <c r="L20" s="589">
        <f t="shared" si="4"/>
        <v>0</v>
      </c>
      <c r="O20" s="597" t="e">
        <f>'Unit Data from Audit Worksheet'!E22</f>
        <v>#N/A</v>
      </c>
      <c r="P20" s="323"/>
      <c r="W20" s="3" t="b">
        <f t="shared" si="0"/>
        <v>1</v>
      </c>
      <c r="X20" s="586">
        <f t="shared" si="1"/>
        <v>0</v>
      </c>
      <c r="Y20" s="586">
        <f t="shared" si="2"/>
        <v>0</v>
      </c>
    </row>
    <row r="21" spans="1:25" ht="73.5" customHeight="1" x14ac:dyDescent="0.3">
      <c r="A21" s="341">
        <f>'Unit Data from Audit Worksheet'!A23</f>
        <v>254</v>
      </c>
      <c r="B21" s="355" t="str">
        <f>'Unit Data from Audit Worksheet'!C23</f>
        <v>Net Position-Governmental Activities</v>
      </c>
      <c r="C21" s="340" t="str">
        <f>'Unit Data from Audit Worksheet'!D23</f>
        <v>Total Net Position, Unrestricted - enter negative unrestricted net position as a negative)</v>
      </c>
      <c r="D21" s="110"/>
      <c r="E21" s="361">
        <f>'Unit Data from Audit Worksheet'!F23</f>
        <v>0</v>
      </c>
      <c r="F21" s="354">
        <f>IF((L7-L17-L19-L20-L21)=0,,"Error: Total assets and deferred outflows less total liabilities and deferred inflows do not equal total net position accts 385-338-252-253-254")</f>
        <v>0</v>
      </c>
      <c r="G21" s="90">
        <f>+L7-L17-L19-L20-L21</f>
        <v>0</v>
      </c>
      <c r="H21" s="353">
        <f>'Unit Data from Audit Worksheet'!I23</f>
        <v>0</v>
      </c>
      <c r="I21" s="38"/>
      <c r="J21" s="352">
        <v>254</v>
      </c>
      <c r="K21" s="351" t="s">
        <v>105</v>
      </c>
      <c r="L21" s="589">
        <f t="shared" si="4"/>
        <v>0</v>
      </c>
      <c r="O21" s="597" t="e">
        <f>'Unit Data from Audit Worksheet'!E23</f>
        <v>#N/A</v>
      </c>
      <c r="P21" s="323"/>
      <c r="Q21" s="579">
        <f>IF(G21&lt;&gt;0,1,0)</f>
        <v>0</v>
      </c>
      <c r="W21" s="3" t="b">
        <f t="shared" si="0"/>
        <v>1</v>
      </c>
      <c r="X21" s="586">
        <f t="shared" si="1"/>
        <v>0</v>
      </c>
      <c r="Y21" s="586">
        <f t="shared" si="2"/>
        <v>0</v>
      </c>
    </row>
    <row r="22" spans="1:25" ht="51.75" customHeight="1" x14ac:dyDescent="0.3">
      <c r="A22" s="341">
        <f>'Unit Data from Audit Worksheet'!A25</f>
        <v>502</v>
      </c>
      <c r="B22" s="355" t="str">
        <f>'Unit Data from Audit Worksheet'!C25</f>
        <v>Net Position-Business Activities</v>
      </c>
      <c r="C22" s="340" t="str">
        <f>'Unit Data from Audit Worksheet'!D25</f>
        <v xml:space="preserve">All unrestricted Cash and investments. 
Exclude restricted cash and cash held by a third party. </v>
      </c>
      <c r="D22" s="110"/>
      <c r="E22" s="361">
        <f>'Unit Data from Audit Worksheet'!F25</f>
        <v>0</v>
      </c>
      <c r="F22" s="354">
        <f>IF(L22&lt;0,"Error: Number is normally positive.",)</f>
        <v>0</v>
      </c>
      <c r="G22" s="356"/>
      <c r="H22" s="353">
        <f>'Unit Data from Audit Worksheet'!I25</f>
        <v>0</v>
      </c>
      <c r="I22" s="38"/>
      <c r="J22" s="352">
        <v>502</v>
      </c>
      <c r="K22" s="351" t="s">
        <v>186</v>
      </c>
      <c r="L22" s="589">
        <f t="shared" si="4"/>
        <v>0</v>
      </c>
      <c r="P22" s="323"/>
      <c r="W22" s="3" t="b">
        <f t="shared" si="0"/>
        <v>1</v>
      </c>
      <c r="X22" s="586">
        <f t="shared" si="1"/>
        <v>0</v>
      </c>
      <c r="Y22" s="586">
        <f t="shared" si="2"/>
        <v>0</v>
      </c>
    </row>
    <row r="23" spans="1:25" ht="40.5" customHeight="1" x14ac:dyDescent="0.3">
      <c r="A23" s="341">
        <f>'Unit Data from Audit Worksheet'!A26</f>
        <v>503</v>
      </c>
      <c r="B23" s="355" t="str">
        <f>'Unit Data from Audit Worksheet'!C26</f>
        <v>Net Position-Business Activities</v>
      </c>
      <c r="C23" s="340" t="str">
        <f>'Unit Data from Audit Worksheet'!D26</f>
        <v>All restricted Cash and investments</v>
      </c>
      <c r="D23" s="110"/>
      <c r="E23" s="361">
        <f>'Unit Data from Audit Worksheet'!F26</f>
        <v>0</v>
      </c>
      <c r="F23" s="354">
        <f>IF(L23&lt;0,"Error: Number is normally positive.",)</f>
        <v>0</v>
      </c>
      <c r="G23" s="356"/>
      <c r="H23" s="353">
        <f>'Unit Data from Audit Worksheet'!I26</f>
        <v>0</v>
      </c>
      <c r="I23" s="38"/>
      <c r="J23" s="352">
        <v>503</v>
      </c>
      <c r="K23" s="351" t="s">
        <v>187</v>
      </c>
      <c r="L23" s="589">
        <f t="shared" si="4"/>
        <v>0</v>
      </c>
      <c r="P23" s="323"/>
      <c r="W23" s="3" t="b">
        <f t="shared" si="0"/>
        <v>1</v>
      </c>
      <c r="X23" s="586">
        <f t="shared" si="1"/>
        <v>0</v>
      </c>
      <c r="Y23" s="586">
        <f t="shared" si="2"/>
        <v>0</v>
      </c>
    </row>
    <row r="24" spans="1:25" ht="39" customHeight="1" x14ac:dyDescent="0.3">
      <c r="A24" s="341">
        <f>'Unit Data from Audit Worksheet'!A28</f>
        <v>344</v>
      </c>
      <c r="B24" s="355" t="str">
        <f>'Unit Data from Audit Worksheet'!C28</f>
        <v>Statement of Activities - Governmental</v>
      </c>
      <c r="C24" s="340" t="str">
        <f>'Unit Data from Audit Worksheet'!D28</f>
        <v xml:space="preserve">Total Interest expense on Long-Term Debt </v>
      </c>
      <c r="D24" s="110"/>
      <c r="E24" s="361">
        <f>'Unit Data from Audit Worksheet'!F28</f>
        <v>0</v>
      </c>
      <c r="F24" s="354">
        <f>IF(L24&lt;0,"Error: Enter as a positive.",)</f>
        <v>0</v>
      </c>
      <c r="G24" s="356"/>
      <c r="H24" s="353">
        <f>'Unit Data from Audit Worksheet'!I28</f>
        <v>0</v>
      </c>
      <c r="I24" s="38"/>
      <c r="J24" s="352">
        <v>344</v>
      </c>
      <c r="K24" s="351" t="s">
        <v>188</v>
      </c>
      <c r="L24" s="589">
        <f t="shared" si="4"/>
        <v>0</v>
      </c>
      <c r="P24" s="323"/>
      <c r="W24" s="3" t="b">
        <f t="shared" si="0"/>
        <v>1</v>
      </c>
      <c r="X24" s="586">
        <f t="shared" si="1"/>
        <v>0</v>
      </c>
      <c r="Y24" s="586">
        <f t="shared" si="2"/>
        <v>0</v>
      </c>
    </row>
    <row r="25" spans="1:25" ht="39" customHeight="1" x14ac:dyDescent="0.3">
      <c r="A25" s="341">
        <f>'Unit Data from Audit Worksheet'!A29</f>
        <v>388</v>
      </c>
      <c r="B25" s="355" t="str">
        <f>'Unit Data from Audit Worksheet'!C29</f>
        <v>Statement of Activities - Governmental</v>
      </c>
      <c r="C25" s="340" t="str">
        <f>'Unit Data from Audit Worksheet'!D29</f>
        <v>Total Expenses</v>
      </c>
      <c r="D25" s="110"/>
      <c r="E25" s="361">
        <f>'Unit Data from Audit Worksheet'!F29</f>
        <v>0</v>
      </c>
      <c r="F25" s="354">
        <f t="shared" ref="F25:F30" si="5">IF(L25&lt;0,"Error: Number is normally positive.",)</f>
        <v>0</v>
      </c>
      <c r="G25" s="356"/>
      <c r="H25" s="353">
        <f>'Unit Data from Audit Worksheet'!I29</f>
        <v>0</v>
      </c>
      <c r="I25" s="38"/>
      <c r="J25" s="352">
        <v>388</v>
      </c>
      <c r="K25" s="351" t="s">
        <v>189</v>
      </c>
      <c r="L25" s="589">
        <f t="shared" si="4"/>
        <v>0</v>
      </c>
      <c r="P25" s="323"/>
      <c r="W25" s="3" t="b">
        <f t="shared" si="0"/>
        <v>1</v>
      </c>
      <c r="X25" s="586">
        <f t="shared" si="1"/>
        <v>0</v>
      </c>
      <c r="Y25" s="586">
        <f t="shared" si="2"/>
        <v>0</v>
      </c>
    </row>
    <row r="26" spans="1:25" ht="39" customHeight="1" x14ac:dyDescent="0.3">
      <c r="A26" s="341">
        <f>'Unit Data from Audit Worksheet'!A30</f>
        <v>339</v>
      </c>
      <c r="B26" s="355" t="str">
        <f>'Unit Data from Audit Worksheet'!C30</f>
        <v>Statement of Activities - Governmental</v>
      </c>
      <c r="C26" s="340" t="str">
        <f>'Unit Data from Audit Worksheet'!D30</f>
        <v xml:space="preserve">Charges for services </v>
      </c>
      <c r="D26" s="110"/>
      <c r="E26" s="361">
        <f>'Unit Data from Audit Worksheet'!F30</f>
        <v>0</v>
      </c>
      <c r="F26" s="354">
        <f t="shared" si="5"/>
        <v>0</v>
      </c>
      <c r="G26" s="356"/>
      <c r="H26" s="353">
        <f>'Unit Data from Audit Worksheet'!I30</f>
        <v>0</v>
      </c>
      <c r="I26" s="38"/>
      <c r="J26" s="352">
        <v>339</v>
      </c>
      <c r="K26" s="351" t="s">
        <v>190</v>
      </c>
      <c r="L26" s="589">
        <f t="shared" si="4"/>
        <v>0</v>
      </c>
      <c r="P26" s="323"/>
      <c r="W26" s="3" t="b">
        <f t="shared" si="0"/>
        <v>1</v>
      </c>
      <c r="X26" s="586">
        <f t="shared" si="1"/>
        <v>0</v>
      </c>
      <c r="Y26" s="586">
        <f t="shared" si="2"/>
        <v>0</v>
      </c>
    </row>
    <row r="27" spans="1:25" ht="39" customHeight="1" x14ac:dyDescent="0.3">
      <c r="A27" s="341">
        <f>'Unit Data from Audit Worksheet'!A31</f>
        <v>504</v>
      </c>
      <c r="B27" s="355" t="str">
        <f>'Unit Data from Audit Worksheet'!C31</f>
        <v>Statement of Activities - Governmental</v>
      </c>
      <c r="C27" s="340" t="str">
        <f>'Unit Data from Audit Worksheet'!D31</f>
        <v>Operating grants and contributions</v>
      </c>
      <c r="D27" s="110"/>
      <c r="E27" s="361">
        <f>'Unit Data from Audit Worksheet'!F31</f>
        <v>0</v>
      </c>
      <c r="F27" s="354">
        <f t="shared" si="5"/>
        <v>0</v>
      </c>
      <c r="G27" s="356"/>
      <c r="H27" s="353">
        <f>'Unit Data from Audit Worksheet'!I31</f>
        <v>0</v>
      </c>
      <c r="I27" s="38"/>
      <c r="J27" s="352">
        <v>504</v>
      </c>
      <c r="K27" s="351" t="s">
        <v>191</v>
      </c>
      <c r="L27" s="589">
        <f t="shared" si="4"/>
        <v>0</v>
      </c>
      <c r="P27" s="323"/>
      <c r="W27" s="3" t="b">
        <f t="shared" si="0"/>
        <v>1</v>
      </c>
      <c r="X27" s="586">
        <f t="shared" si="1"/>
        <v>0</v>
      </c>
      <c r="Y27" s="586">
        <f t="shared" si="2"/>
        <v>0</v>
      </c>
    </row>
    <row r="28" spans="1:25" ht="39" customHeight="1" x14ac:dyDescent="0.3">
      <c r="A28" s="341">
        <f>'Unit Data from Audit Worksheet'!A32</f>
        <v>505</v>
      </c>
      <c r="B28" s="355" t="str">
        <f>'Unit Data from Audit Worksheet'!C32</f>
        <v>Statement of Activities - Governmental</v>
      </c>
      <c r="C28" s="340" t="str">
        <f>'Unit Data from Audit Worksheet'!D32</f>
        <v>Capital grants and contributions</v>
      </c>
      <c r="D28" s="110"/>
      <c r="E28" s="361">
        <f>'Unit Data from Audit Worksheet'!F32</f>
        <v>0</v>
      </c>
      <c r="F28" s="354">
        <f t="shared" si="5"/>
        <v>0</v>
      </c>
      <c r="G28" s="356"/>
      <c r="H28" s="353">
        <f>'Unit Data from Audit Worksheet'!I32</f>
        <v>0</v>
      </c>
      <c r="I28" s="38"/>
      <c r="J28" s="352">
        <v>505</v>
      </c>
      <c r="K28" s="351" t="s">
        <v>192</v>
      </c>
      <c r="L28" s="589">
        <f t="shared" si="4"/>
        <v>0</v>
      </c>
      <c r="P28" s="323"/>
      <c r="W28" s="3" t="b">
        <f t="shared" si="0"/>
        <v>1</v>
      </c>
      <c r="X28" s="586">
        <f t="shared" si="1"/>
        <v>0</v>
      </c>
      <c r="Y28" s="586">
        <f t="shared" si="2"/>
        <v>0</v>
      </c>
    </row>
    <row r="29" spans="1:25" ht="82.5" customHeight="1" x14ac:dyDescent="0.3">
      <c r="A29" s="341">
        <f>'Unit Data from Audit Worksheet'!A33</f>
        <v>341</v>
      </c>
      <c r="B29" s="355" t="str">
        <f>'Unit Data from Audit Worksheet'!C33</f>
        <v>Statement of Activities - Governmental</v>
      </c>
      <c r="C29" s="340" t="str">
        <f>'Unit Data from Audit Worksheet'!D33</f>
        <v>Total General revenues
Exclude: transfers-in or out,
                 special items,
                 extraordinary amounts</v>
      </c>
      <c r="D29" s="110"/>
      <c r="E29" s="361">
        <f>'Unit Data from Audit Worksheet'!F33</f>
        <v>0</v>
      </c>
      <c r="F29" s="354">
        <f t="shared" si="5"/>
        <v>0</v>
      </c>
      <c r="G29" s="356"/>
      <c r="H29" s="353">
        <f>'Unit Data from Audit Worksheet'!I33</f>
        <v>0</v>
      </c>
      <c r="I29" s="38"/>
      <c r="J29" s="352">
        <v>341</v>
      </c>
      <c r="K29" s="351" t="s">
        <v>193</v>
      </c>
      <c r="L29" s="589">
        <f t="shared" si="4"/>
        <v>0</v>
      </c>
      <c r="P29" s="323"/>
      <c r="W29" s="3" t="b">
        <f t="shared" si="0"/>
        <v>1</v>
      </c>
      <c r="X29" s="586">
        <f t="shared" si="1"/>
        <v>0</v>
      </c>
      <c r="Y29" s="586">
        <f t="shared" si="2"/>
        <v>0</v>
      </c>
    </row>
    <row r="30" spans="1:25" ht="82.5" customHeight="1" x14ac:dyDescent="0.3">
      <c r="A30" s="341">
        <f>'Unit Data from Audit Worksheet'!A34</f>
        <v>386</v>
      </c>
      <c r="B30" s="355" t="str">
        <f>'Unit Data from Audit Worksheet'!C34</f>
        <v>Statement of Activities - Governmental</v>
      </c>
      <c r="C30" s="340" t="str">
        <f>'Unit Data from Audit Worksheet'!D34</f>
        <v>Total Transfers in    (Preference is that transfers-in  are not netted against transfers-out)</v>
      </c>
      <c r="D30" s="110"/>
      <c r="E30" s="361">
        <f>'Unit Data from Audit Worksheet'!F34</f>
        <v>0</v>
      </c>
      <c r="F30" s="354">
        <f t="shared" si="5"/>
        <v>0</v>
      </c>
      <c r="G30" s="356"/>
      <c r="H30" s="353">
        <f>'Unit Data from Audit Worksheet'!I34</f>
        <v>0</v>
      </c>
      <c r="I30" s="38"/>
      <c r="J30" s="352">
        <v>386</v>
      </c>
      <c r="K30" s="351" t="s">
        <v>194</v>
      </c>
      <c r="L30" s="589">
        <f t="shared" si="4"/>
        <v>0</v>
      </c>
      <c r="P30" s="323"/>
      <c r="W30" s="3" t="b">
        <f t="shared" si="0"/>
        <v>1</v>
      </c>
      <c r="X30" s="586">
        <f t="shared" si="1"/>
        <v>0</v>
      </c>
      <c r="Y30" s="586">
        <f t="shared" si="2"/>
        <v>0</v>
      </c>
    </row>
    <row r="31" spans="1:25" ht="82.5" customHeight="1" x14ac:dyDescent="0.3">
      <c r="A31" s="341">
        <f>'Unit Data from Audit Worksheet'!A35</f>
        <v>387</v>
      </c>
      <c r="B31" s="355" t="str">
        <f>'Unit Data from Audit Worksheet'!C35</f>
        <v>Statement of Activities - Governmental</v>
      </c>
      <c r="C31" s="340" t="str">
        <f>'Unit Data from Audit Worksheet'!D35</f>
        <v>Total Transfers out    (Preference is that transfers-in  are not netted against transfers-out)</v>
      </c>
      <c r="D31" s="110"/>
      <c r="E31" s="361">
        <f>'Unit Data from Audit Worksheet'!F35</f>
        <v>0</v>
      </c>
      <c r="F31" s="354">
        <f>IF(L31&lt;0,"Error: Enter as a positive.",)</f>
        <v>0</v>
      </c>
      <c r="G31" s="356"/>
      <c r="H31" s="353">
        <f>'Unit Data from Audit Worksheet'!I35</f>
        <v>0</v>
      </c>
      <c r="I31" s="38"/>
      <c r="J31" s="352">
        <v>387</v>
      </c>
      <c r="K31" s="351" t="s">
        <v>195</v>
      </c>
      <c r="L31" s="589">
        <f t="shared" si="4"/>
        <v>0</v>
      </c>
      <c r="P31" s="323"/>
      <c r="W31" s="3" t="b">
        <f t="shared" si="0"/>
        <v>1</v>
      </c>
      <c r="X31" s="586">
        <f t="shared" si="1"/>
        <v>0</v>
      </c>
      <c r="Y31" s="586">
        <f t="shared" si="2"/>
        <v>0</v>
      </c>
    </row>
    <row r="32" spans="1:25" ht="82.5" customHeight="1" x14ac:dyDescent="0.3">
      <c r="A32" s="341">
        <f>'Unit Data from Audit Worksheet'!A36</f>
        <v>389</v>
      </c>
      <c r="B32" s="355" t="str">
        <f>'Unit Data from Audit Worksheet'!C36</f>
        <v>Statement of Activities - Governmental</v>
      </c>
      <c r="C32" s="340" t="str">
        <f>'Unit Data from Audit Worksheet'!D36</f>
        <v>Total Special and Extraordinary items.    (Amounts that increase net position are recorded as positive and amounts that decrease net position are recorded as negative)</v>
      </c>
      <c r="D32" s="110"/>
      <c r="E32" s="361">
        <f>'Unit Data from Audit Worksheet'!F36</f>
        <v>0</v>
      </c>
      <c r="F32" s="354"/>
      <c r="G32" s="356"/>
      <c r="H32" s="353">
        <f>'Unit Data from Audit Worksheet'!I36</f>
        <v>0</v>
      </c>
      <c r="I32" s="38"/>
      <c r="J32" s="352">
        <v>389</v>
      </c>
      <c r="K32" s="351" t="s">
        <v>196</v>
      </c>
      <c r="L32" s="589">
        <f t="shared" si="4"/>
        <v>0</v>
      </c>
      <c r="N32" s="598"/>
      <c r="P32" s="323"/>
      <c r="W32" s="3" t="b">
        <f t="shared" si="0"/>
        <v>1</v>
      </c>
      <c r="X32" s="586">
        <f t="shared" si="1"/>
        <v>0</v>
      </c>
      <c r="Y32" s="586">
        <f t="shared" si="2"/>
        <v>0</v>
      </c>
    </row>
    <row r="33" spans="1:25" ht="79.5" customHeight="1" x14ac:dyDescent="0.3">
      <c r="A33" s="341">
        <f>'Unit Data from Audit Worksheet'!A37</f>
        <v>255</v>
      </c>
      <c r="B33" s="355" t="str">
        <f>'Unit Data from Audit Worksheet'!C37</f>
        <v>Statement of Activities - Governmental</v>
      </c>
      <c r="C33" s="340" t="str">
        <f>'Unit Data from Audit Worksheet'!D37</f>
        <v>Total Change in net position - (Increase in net position is recorded as a positive and a decrease in net position is recorded as a negative)</v>
      </c>
      <c r="D33" s="110"/>
      <c r="E33" s="361">
        <f>'Unit Data from Audit Worksheet'!F37</f>
        <v>0</v>
      </c>
      <c r="F33" s="354">
        <f>IF((L26+L27+L28+L29+L30-L31+L32-L25-L33)=0,,"Total revenues less total expenses do not equal total change in net position. Acct 339+504+505+341+386-387+389-388-255=0")</f>
        <v>0</v>
      </c>
      <c r="G33" s="91">
        <f>L26+L27+L28+L29+L30-L31+L32-L25-L33</f>
        <v>0</v>
      </c>
      <c r="H33" s="353">
        <f>'Unit Data from Audit Worksheet'!I37</f>
        <v>0</v>
      </c>
      <c r="I33" s="38"/>
      <c r="J33" s="352">
        <v>255</v>
      </c>
      <c r="K33" s="351" t="s">
        <v>197</v>
      </c>
      <c r="L33" s="589">
        <f t="shared" si="4"/>
        <v>0</v>
      </c>
      <c r="O33" s="597" t="e">
        <f>'Unit Data from Audit Worksheet'!E37</f>
        <v>#N/A</v>
      </c>
      <c r="P33" s="323"/>
      <c r="Q33" s="579">
        <f>IF(G33&lt;&gt;0,1,0)</f>
        <v>0</v>
      </c>
      <c r="W33" s="3" t="b">
        <f t="shared" si="0"/>
        <v>1</v>
      </c>
      <c r="X33" s="586">
        <f t="shared" si="1"/>
        <v>0</v>
      </c>
      <c r="Y33" s="586">
        <f t="shared" si="2"/>
        <v>0</v>
      </c>
    </row>
    <row r="34" spans="1:25" ht="89.25" customHeight="1" x14ac:dyDescent="0.3">
      <c r="A34" s="341">
        <f>'Unit Data from Audit Worksheet'!A38</f>
        <v>376</v>
      </c>
      <c r="B34" s="355" t="str">
        <f>'Unit Data from Audit Worksheet'!C38</f>
        <v>Statement of Activities - Governmental</v>
      </c>
      <c r="C34" s="340" t="str">
        <f>'Unit Data from Audit Worksheet'!D38</f>
        <v>Any adjustment to beginning net position including rounding, prior period adjustments and restatements.   (Increases to net position are positive; decreases to net position are negative)</v>
      </c>
      <c r="D34" s="110"/>
      <c r="E34" s="361">
        <f>'Unit Data from Audit Worksheet'!F38</f>
        <v>0</v>
      </c>
      <c r="F34" s="87" t="e">
        <f>IF(L19+L20+L21-L33-L34=O19+O20+O21,,"Beginning Balance does not agree with our records acct (252+253+254-255-376=PY252+PY253+PY254)")</f>
        <v>#N/A</v>
      </c>
      <c r="G34" s="92" t="e">
        <f>L19+L20+L21-L33-L34-(O19+O20+O21)</f>
        <v>#N/A</v>
      </c>
      <c r="H34" s="353" t="str">
        <f>'Unit Data from Audit Worksheet'!I38</f>
        <v>Please do not enter prior's years beginning balance as an adjustment in column F.</v>
      </c>
      <c r="I34" s="38"/>
      <c r="J34" s="352">
        <v>376</v>
      </c>
      <c r="K34" s="351" t="s">
        <v>108</v>
      </c>
      <c r="L34" s="589">
        <f t="shared" si="4"/>
        <v>0</v>
      </c>
      <c r="O34" s="597" t="e">
        <f>'Unit Data from Audit Worksheet'!E38</f>
        <v>#N/A</v>
      </c>
      <c r="P34" s="323"/>
      <c r="Q34" s="579" t="e">
        <f>IF(G34&lt;&gt;0,1,0)</f>
        <v>#N/A</v>
      </c>
      <c r="W34" s="3" t="b">
        <f t="shared" si="0"/>
        <v>1</v>
      </c>
      <c r="X34" s="586">
        <f t="shared" si="1"/>
        <v>0</v>
      </c>
      <c r="Y34" s="586">
        <f t="shared" si="2"/>
        <v>0</v>
      </c>
    </row>
    <row r="35" spans="1:25" ht="157.5" customHeight="1" x14ac:dyDescent="0.3">
      <c r="A35" s="341">
        <f>'Unit Data from Audit Worksheet'!A39</f>
        <v>597</v>
      </c>
      <c r="B35" s="355" t="str">
        <f>'Unit Data from Audit Worksheet'!C39</f>
        <v>Statement of Activities                               (all governmental and business funds)</v>
      </c>
      <c r="C35" s="340"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10"/>
      <c r="E35" s="361">
        <f>'Unit Data from Audit Worksheet'!F39</f>
        <v>0</v>
      </c>
      <c r="F35" s="354">
        <f>IF(L35&lt;0,"Error: Number is normally positive.",)</f>
        <v>0</v>
      </c>
      <c r="G35" s="356"/>
      <c r="H35" s="353">
        <f>'Unit Data from Audit Worksheet'!I39</f>
        <v>0</v>
      </c>
      <c r="I35" s="38"/>
      <c r="J35" s="352">
        <v>597</v>
      </c>
      <c r="K35" s="351" t="s">
        <v>676</v>
      </c>
      <c r="L35" s="589">
        <f t="shared" si="4"/>
        <v>0</v>
      </c>
      <c r="O35" s="597"/>
      <c r="P35" s="323"/>
      <c r="W35" s="3" t="b">
        <f t="shared" si="0"/>
        <v>1</v>
      </c>
      <c r="X35" s="586">
        <f t="shared" si="1"/>
        <v>0</v>
      </c>
      <c r="Y35" s="586">
        <f t="shared" si="2"/>
        <v>0</v>
      </c>
    </row>
    <row r="36" spans="1:25" ht="90" customHeight="1" x14ac:dyDescent="0.3">
      <c r="A36" s="341">
        <f>'Unit Data from Audit Worksheet'!A41</f>
        <v>592</v>
      </c>
      <c r="B36" s="355" t="str">
        <f>'Unit Data from Audit Worksheet'!C41</f>
        <v>Statement of Activities - Business Activities</v>
      </c>
      <c r="C36" s="340" t="str">
        <f>'Unit Data from Audit Worksheet'!D41</f>
        <v>Total Change in net position Business Type 
(Increase in net position is recorded as a positive and a decrease in net position is recorded as a negative)</v>
      </c>
      <c r="D36" s="110"/>
      <c r="E36" s="361">
        <f>'Unit Data from Audit Worksheet'!F41</f>
        <v>0</v>
      </c>
      <c r="F36" s="354"/>
      <c r="G36" s="356"/>
      <c r="H36" s="353">
        <f>'Unit Data from Audit Worksheet'!I41</f>
        <v>0</v>
      </c>
      <c r="I36" s="38"/>
      <c r="J36" s="352">
        <v>592</v>
      </c>
      <c r="K36" s="351" t="s">
        <v>611</v>
      </c>
      <c r="L36" s="589">
        <f t="shared" si="4"/>
        <v>0</v>
      </c>
      <c r="O36" s="597"/>
      <c r="P36" s="323"/>
      <c r="W36" s="3" t="b">
        <f t="shared" ref="W36:W66" si="6">EXACT(A36,J36)</f>
        <v>1</v>
      </c>
      <c r="X36" s="586">
        <f t="shared" si="1"/>
        <v>0</v>
      </c>
      <c r="Y36" s="586">
        <f t="shared" si="2"/>
        <v>0</v>
      </c>
    </row>
    <row r="37" spans="1:25" ht="66" customHeight="1" x14ac:dyDescent="0.3">
      <c r="A37" s="341">
        <f>'Unit Data from Audit Worksheet'!A42</f>
        <v>591</v>
      </c>
      <c r="B37" s="355" t="str">
        <f>'Unit Data from Audit Worksheet'!C42</f>
        <v>Statement of Activities - Business Activities</v>
      </c>
      <c r="C37" s="340" t="str">
        <f>'Unit Data from Audit Worksheet'!D42</f>
        <v>Total Expenses - Exclude Transfers</v>
      </c>
      <c r="D37" s="110"/>
      <c r="E37" s="361">
        <f>'Unit Data from Audit Worksheet'!F42</f>
        <v>0</v>
      </c>
      <c r="F37" s="354">
        <f>IF(L37&lt;0,"Error: Enter as a positive.",)</f>
        <v>0</v>
      </c>
      <c r="G37" s="356"/>
      <c r="H37" s="353">
        <f>'Unit Data from Audit Worksheet'!I42</f>
        <v>0</v>
      </c>
      <c r="I37" s="38"/>
      <c r="J37" s="352">
        <v>591</v>
      </c>
      <c r="K37" s="351" t="s">
        <v>610</v>
      </c>
      <c r="L37" s="589">
        <f t="shared" si="4"/>
        <v>0</v>
      </c>
      <c r="O37" s="597"/>
      <c r="P37" s="323"/>
      <c r="W37" s="3" t="b">
        <f t="shared" si="6"/>
        <v>1</v>
      </c>
      <c r="X37" s="586">
        <f t="shared" si="1"/>
        <v>0</v>
      </c>
      <c r="Y37" s="586">
        <f t="shared" si="2"/>
        <v>0</v>
      </c>
    </row>
    <row r="38" spans="1:25" s="725" customFormat="1" ht="66" customHeight="1" x14ac:dyDescent="0.3">
      <c r="A38" s="341">
        <f>'Unit Data from Audit Worksheet'!A43</f>
        <v>593</v>
      </c>
      <c r="B38" s="355" t="str">
        <f>'Unit Data from Audit Worksheet'!C43</f>
        <v>Statement of Activities - Business Activities</v>
      </c>
      <c r="C38" s="340" t="str">
        <f>'Unit Data from Audit Worksheet'!D43</f>
        <v>Total Transfers in    (Preference is that transfers-in  are not netted against transfers-out)</v>
      </c>
      <c r="D38" s="110"/>
      <c r="E38" s="361">
        <f>'Unit Data from Audit Worksheet'!F43</f>
        <v>0</v>
      </c>
      <c r="F38" s="354"/>
      <c r="G38" s="356"/>
      <c r="H38" s="353"/>
      <c r="I38" s="727"/>
      <c r="J38" s="352">
        <v>593</v>
      </c>
      <c r="K38" s="730" t="s">
        <v>1408</v>
      </c>
      <c r="L38" s="589">
        <f t="shared" si="4"/>
        <v>0</v>
      </c>
      <c r="O38" s="597"/>
      <c r="P38" s="323"/>
      <c r="Q38" s="579"/>
      <c r="X38" s="586"/>
      <c r="Y38" s="586"/>
    </row>
    <row r="39" spans="1:25" s="725" customFormat="1" ht="66" customHeight="1" x14ac:dyDescent="0.3">
      <c r="A39" s="341">
        <f>'Unit Data from Audit Worksheet'!A44</f>
        <v>594</v>
      </c>
      <c r="B39" s="355" t="str">
        <f>'Unit Data from Audit Worksheet'!C44</f>
        <v>Statement of Activities - Business Activities</v>
      </c>
      <c r="C39" s="340" t="str">
        <f>'Unit Data from Audit Worksheet'!D44</f>
        <v>Total Transfers out    (Preference is that transfers-in  are not netted against transfers-out)</v>
      </c>
      <c r="D39" s="110"/>
      <c r="E39" s="361">
        <f>'Unit Data from Audit Worksheet'!F44</f>
        <v>0</v>
      </c>
      <c r="F39" s="354"/>
      <c r="G39" s="356"/>
      <c r="H39" s="353"/>
      <c r="I39" s="727"/>
      <c r="J39" s="352">
        <v>594</v>
      </c>
      <c r="K39" s="730" t="s">
        <v>1409</v>
      </c>
      <c r="L39" s="589">
        <f t="shared" si="4"/>
        <v>0</v>
      </c>
      <c r="O39" s="597"/>
      <c r="P39" s="323"/>
      <c r="Q39" s="579"/>
      <c r="X39" s="586"/>
      <c r="Y39" s="586"/>
    </row>
    <row r="40" spans="1:25" s="725" customFormat="1" ht="66" customHeight="1" x14ac:dyDescent="0.3">
      <c r="A40" s="341">
        <f>'Unit Data from Audit Worksheet'!A46</f>
        <v>558</v>
      </c>
      <c r="B40" s="355" t="str">
        <f>'Unit Data from Audit Worksheet'!C46</f>
        <v>Mental Health-Balance Sheet - Non GAAP</v>
      </c>
      <c r="C40" s="340" t="str">
        <f>'Unit Data from Audit Worksheet'!D46</f>
        <v xml:space="preserve">All unrestricted cash and investments.  
Exclude restricted cash and cash held by a third party. </v>
      </c>
      <c r="D40" s="110"/>
      <c r="E40" s="361">
        <f>'Unit Data from Audit Worksheet'!F46</f>
        <v>0</v>
      </c>
      <c r="F40" s="354"/>
      <c r="G40" s="356"/>
      <c r="H40" s="353"/>
      <c r="I40" s="727"/>
      <c r="J40" s="352">
        <v>558</v>
      </c>
      <c r="K40" s="726" t="s">
        <v>1410</v>
      </c>
      <c r="L40" s="589">
        <f t="shared" si="4"/>
        <v>0</v>
      </c>
      <c r="O40" s="597"/>
      <c r="P40" s="323"/>
      <c r="Q40" s="579"/>
      <c r="X40" s="586"/>
      <c r="Y40" s="586"/>
    </row>
    <row r="41" spans="1:25" s="725" customFormat="1" ht="66" customHeight="1" x14ac:dyDescent="0.3">
      <c r="A41" s="341">
        <f>'Unit Data from Audit Worksheet'!A47</f>
        <v>559</v>
      </c>
      <c r="B41" s="355" t="str">
        <f>'Unit Data from Audit Worksheet'!C47</f>
        <v>Mental Health-Balance Sheet - Non GAAP</v>
      </c>
      <c r="C41" s="340" t="str">
        <f>'Unit Data from Audit Worksheet'!D47</f>
        <v>All restricted cash and investments</v>
      </c>
      <c r="D41" s="110"/>
      <c r="E41" s="361">
        <f>'Unit Data from Audit Worksheet'!F47</f>
        <v>0</v>
      </c>
      <c r="F41" s="354"/>
      <c r="G41" s="356"/>
      <c r="H41" s="353"/>
      <c r="I41" s="727"/>
      <c r="J41" s="352">
        <v>559</v>
      </c>
      <c r="K41" s="726" t="s">
        <v>1411</v>
      </c>
      <c r="L41" s="589">
        <f t="shared" si="4"/>
        <v>0</v>
      </c>
      <c r="O41" s="597"/>
      <c r="P41" s="323"/>
      <c r="Q41" s="579"/>
      <c r="X41" s="586"/>
      <c r="Y41" s="586"/>
    </row>
    <row r="42" spans="1:25" s="725" customFormat="1" ht="124.5" customHeight="1" x14ac:dyDescent="0.3">
      <c r="A42" s="341">
        <f>'Unit Data from Audit Worksheet'!A48</f>
        <v>560</v>
      </c>
      <c r="B42" s="355" t="str">
        <f>'Unit Data from Audit Worksheet'!C48</f>
        <v>Mental Health-Balance Sheet - Non GAAP</v>
      </c>
      <c r="C42" s="340" t="str">
        <f>'Unit Data from Audit Worksheet'!D48</f>
        <v>Current Liabilities 
Exclude: all deferred inflows
                 current debt service payments
Include: Liabilities payable from restricted assets.</v>
      </c>
      <c r="D42" s="110"/>
      <c r="E42" s="361">
        <f>'Unit Data from Audit Worksheet'!F48</f>
        <v>0</v>
      </c>
      <c r="F42" s="354"/>
      <c r="G42" s="356"/>
      <c r="H42" s="353"/>
      <c r="I42" s="727"/>
      <c r="J42" s="352">
        <v>560</v>
      </c>
      <c r="K42" s="726" t="s">
        <v>1412</v>
      </c>
      <c r="L42" s="589">
        <f t="shared" si="4"/>
        <v>0</v>
      </c>
      <c r="O42" s="597"/>
      <c r="P42" s="323"/>
      <c r="Q42" s="579"/>
      <c r="X42" s="586"/>
      <c r="Y42" s="586"/>
    </row>
    <row r="43" spans="1:25" s="725" customFormat="1" ht="66" customHeight="1" x14ac:dyDescent="0.3">
      <c r="A43" s="341">
        <f>'Unit Data from Audit Worksheet'!A49</f>
        <v>561</v>
      </c>
      <c r="B43" s="355" t="str">
        <f>'Unit Data from Audit Worksheet'!C49</f>
        <v>Mental Health-Balance Sheet - Non GAAP</v>
      </c>
      <c r="C43" s="340" t="str">
        <f>'Unit Data from Audit Worksheet'!D49</f>
        <v xml:space="preserve">Mental Health Enterprise Fund Non GAAP deferred inflows or liabilities derived from cash receipts.   </v>
      </c>
      <c r="D43" s="110"/>
      <c r="E43" s="361">
        <f>'Unit Data from Audit Worksheet'!F49</f>
        <v>0</v>
      </c>
      <c r="F43" s="354"/>
      <c r="G43" s="356"/>
      <c r="H43" s="353"/>
      <c r="I43" s="727"/>
      <c r="J43" s="352">
        <v>561</v>
      </c>
      <c r="K43" s="726" t="s">
        <v>1413</v>
      </c>
      <c r="L43" s="589">
        <f t="shared" si="4"/>
        <v>0</v>
      </c>
      <c r="O43" s="597"/>
      <c r="P43" s="323"/>
      <c r="Q43" s="579"/>
      <c r="X43" s="586"/>
      <c r="Y43" s="586"/>
    </row>
    <row r="44" spans="1:25" s="725" customFormat="1" ht="137.25" customHeight="1" x14ac:dyDescent="0.3">
      <c r="A44" s="341">
        <f>'Unit Data from Audit Worksheet'!A50</f>
        <v>563</v>
      </c>
      <c r="B44" s="355" t="str">
        <f>'Unit Data from Audit Worksheet'!C50</f>
        <v>Mental Health-Balance Sheet - Non GAAP</v>
      </c>
      <c r="C44" s="340" t="str">
        <f>'Unit Data from Audit Worksheet'!D50</f>
        <v>Total Liabilities payable from restricted assets (only complete if this if unit has listed this account in their financial statements for the Mental Health Enterprise Fund Non GAAP and the auditor has listed the cash to be used to pay the liabilities as restricted)</v>
      </c>
      <c r="D44" s="110"/>
      <c r="E44" s="361">
        <f>'Unit Data from Audit Worksheet'!F50</f>
        <v>0</v>
      </c>
      <c r="F44" s="354"/>
      <c r="G44" s="356"/>
      <c r="H44" s="353"/>
      <c r="I44" s="727"/>
      <c r="J44" s="352">
        <v>563</v>
      </c>
      <c r="K44" s="726" t="s">
        <v>1414</v>
      </c>
      <c r="L44" s="589">
        <f t="shared" si="4"/>
        <v>0</v>
      </c>
      <c r="O44" s="597"/>
      <c r="P44" s="323"/>
      <c r="Q44" s="579"/>
      <c r="X44" s="586"/>
      <c r="Y44" s="586"/>
    </row>
    <row r="45" spans="1:25" s="725" customFormat="1" ht="66" customHeight="1" x14ac:dyDescent="0.3">
      <c r="A45" s="341">
        <f>'Unit Data from Audit Worksheet'!A51</f>
        <v>564</v>
      </c>
      <c r="B45" s="355" t="str">
        <f>'Unit Data from Audit Worksheet'!C51</f>
        <v>Mental Health Enterprise Fund Non GAAP-Rev, Exp. Change in Fund Balance</v>
      </c>
      <c r="C45" s="340" t="str">
        <f>'Unit Data from Audit Worksheet'!D51</f>
        <v>Total expenditures  
Exclude: expenditures in the ""other financing sources (uses)"" section.</v>
      </c>
      <c r="D45" s="110"/>
      <c r="E45" s="361">
        <f>'Unit Data from Audit Worksheet'!F51</f>
        <v>0</v>
      </c>
      <c r="F45" s="354"/>
      <c r="G45" s="356"/>
      <c r="H45" s="353"/>
      <c r="I45" s="727"/>
      <c r="J45" s="352">
        <v>564</v>
      </c>
      <c r="K45" s="726" t="s">
        <v>1415</v>
      </c>
      <c r="L45" s="589">
        <f t="shared" si="4"/>
        <v>0</v>
      </c>
      <c r="O45" s="597"/>
      <c r="P45" s="323"/>
      <c r="Q45" s="579"/>
      <c r="X45" s="586"/>
      <c r="Y45" s="586"/>
    </row>
    <row r="46" spans="1:25" s="725" customFormat="1" ht="66" customHeight="1" x14ac:dyDescent="0.3">
      <c r="A46" s="341">
        <f>'Unit Data from Audit Worksheet'!A52</f>
        <v>568</v>
      </c>
      <c r="B46" s="355" t="str">
        <f>'Unit Data from Audit Worksheet'!C52</f>
        <v>Mental Health Enterprise Fund Non GAAP-Rev, Exp. Change in Fund Balance</v>
      </c>
      <c r="C46" s="340" t="str">
        <f>'Unit Data from Audit Worksheet'!D52</f>
        <v>Total Proceeds from all long-term debt issuances 
Exclude: proceeds from refundings</v>
      </c>
      <c r="D46" s="110"/>
      <c r="E46" s="361">
        <f>'Unit Data from Audit Worksheet'!F52</f>
        <v>0</v>
      </c>
      <c r="F46" s="354"/>
      <c r="G46" s="356"/>
      <c r="H46" s="353"/>
      <c r="I46" s="727"/>
      <c r="J46" s="352">
        <v>568</v>
      </c>
      <c r="K46" s="726" t="s">
        <v>1416</v>
      </c>
      <c r="L46" s="589">
        <f t="shared" si="4"/>
        <v>0</v>
      </c>
      <c r="O46" s="597"/>
      <c r="P46" s="323"/>
      <c r="Q46" s="579"/>
      <c r="X46" s="586"/>
      <c r="Y46" s="586"/>
    </row>
    <row r="47" spans="1:25" s="729" customFormat="1" ht="66" customHeight="1" x14ac:dyDescent="0.3">
      <c r="A47" s="341">
        <f>'Unit Data from Audit Worksheet'!A53</f>
        <v>565</v>
      </c>
      <c r="B47" s="355" t="str">
        <f>'Unit Data from Audit Worksheet'!C53</f>
        <v>Mental Health Enterprise Fund Non GAAP-Rev, Exp. Change in Fund Balance</v>
      </c>
      <c r="C47" s="340" t="str">
        <f>'Unit Data from Audit Worksheet'!D53</f>
        <v>Debt Refunding - Net refunding proceeds against debt payoff and if negative place results on this line.</v>
      </c>
      <c r="D47" s="110"/>
      <c r="E47" s="361">
        <f>'Unit Data from Audit Worksheet'!F53</f>
        <v>0</v>
      </c>
      <c r="F47" s="354"/>
      <c r="G47" s="356"/>
      <c r="H47" s="353"/>
      <c r="I47" s="731"/>
      <c r="J47" s="352">
        <v>565</v>
      </c>
      <c r="K47" s="726" t="s">
        <v>1550</v>
      </c>
      <c r="L47" s="589">
        <f t="shared" si="4"/>
        <v>0</v>
      </c>
      <c r="O47" s="597"/>
      <c r="P47" s="323"/>
      <c r="Q47" s="579"/>
      <c r="X47" s="586"/>
      <c r="Y47" s="586"/>
    </row>
    <row r="48" spans="1:25" s="725" customFormat="1" ht="66" customHeight="1" x14ac:dyDescent="0.3">
      <c r="A48" s="341">
        <f>'Unit Data from Audit Worksheet'!A54</f>
        <v>566</v>
      </c>
      <c r="B48" s="355" t="str">
        <f>'Unit Data from Audit Worksheet'!C54</f>
        <v>Mental Health Enterprise Fund Non GAAP-Rev, Exp. Change in Fund Balance</v>
      </c>
      <c r="C48" s="340" t="str">
        <f>'Unit Data from Audit Worksheet'!D54</f>
        <v>Debt Refunding - Net refunding proceeds against debt payoff and if positive place results on this line.</v>
      </c>
      <c r="D48" s="110"/>
      <c r="E48" s="361">
        <f>'Unit Data from Audit Worksheet'!F54</f>
        <v>0</v>
      </c>
      <c r="F48" s="354"/>
      <c r="G48" s="356"/>
      <c r="H48" s="353"/>
      <c r="I48" s="727"/>
      <c r="J48" s="352">
        <v>566</v>
      </c>
      <c r="K48" s="726" t="s">
        <v>1417</v>
      </c>
      <c r="L48" s="589">
        <f t="shared" si="4"/>
        <v>0</v>
      </c>
      <c r="O48" s="597"/>
      <c r="P48" s="323"/>
      <c r="Q48" s="579"/>
      <c r="X48" s="586"/>
      <c r="Y48" s="586"/>
    </row>
    <row r="49" spans="1:25" s="725" customFormat="1" ht="66" customHeight="1" x14ac:dyDescent="0.3">
      <c r="A49" s="341">
        <f>'Unit Data from Audit Worksheet'!A55</f>
        <v>567</v>
      </c>
      <c r="B49" s="355" t="str">
        <f>'Unit Data from Audit Worksheet'!C55</f>
        <v>Mental Health Enterprise Fund Non GAAP-Rev, Exp. Change in Fund Balance</v>
      </c>
      <c r="C49" s="340" t="str">
        <f>'Unit Data from Audit Worksheet'!D55</f>
        <v>Total Transfers out    (Preference is that transfers-in  are not netted against transfers-out)</v>
      </c>
      <c r="D49" s="110"/>
      <c r="E49" s="361">
        <f>'Unit Data from Audit Worksheet'!F55</f>
        <v>0</v>
      </c>
      <c r="F49" s="354"/>
      <c r="G49" s="356"/>
      <c r="H49" s="353"/>
      <c r="I49" s="727"/>
      <c r="J49" s="352">
        <v>567</v>
      </c>
      <c r="K49" s="726" t="s">
        <v>1418</v>
      </c>
      <c r="L49" s="589">
        <f t="shared" si="4"/>
        <v>0</v>
      </c>
      <c r="O49" s="597"/>
      <c r="P49" s="323"/>
      <c r="Q49" s="579"/>
      <c r="X49" s="586"/>
      <c r="Y49" s="586"/>
    </row>
    <row r="50" spans="1:25" s="725" customFormat="1" ht="66" customHeight="1" x14ac:dyDescent="0.3">
      <c r="A50" s="341">
        <f>'Unit Data from Audit Worksheet'!A56</f>
        <v>562</v>
      </c>
      <c r="B50" s="355" t="str">
        <f>'Unit Data from Audit Worksheet'!C56</f>
        <v>Notes</v>
      </c>
      <c r="C50" s="340" t="str">
        <f>'Unit Data from Audit Worksheet'!D56</f>
        <v>Mental Health Enterprise Fund Non GAAP -  Total Encumbrances.  You will have to refer to the note disclosure where the amount of encumbrances is listed.</v>
      </c>
      <c r="D50" s="110"/>
      <c r="E50" s="361">
        <f>'Unit Data from Audit Worksheet'!F56</f>
        <v>0</v>
      </c>
      <c r="F50" s="354"/>
      <c r="G50" s="356"/>
      <c r="H50" s="353"/>
      <c r="I50" s="727"/>
      <c r="J50" s="352">
        <v>562</v>
      </c>
      <c r="K50" s="726" t="s">
        <v>1419</v>
      </c>
      <c r="L50" s="589">
        <f t="shared" si="4"/>
        <v>0</v>
      </c>
      <c r="O50" s="597"/>
      <c r="P50" s="323"/>
      <c r="Q50" s="579"/>
      <c r="X50" s="586"/>
      <c r="Y50" s="586"/>
    </row>
    <row r="51" spans="1:25" s="725" customFormat="1" ht="66" customHeight="1" x14ac:dyDescent="0.3">
      <c r="A51" s="341">
        <f>'Unit Data from Audit Worksheet'!A57</f>
        <v>569</v>
      </c>
      <c r="B51" s="355" t="str">
        <f>'Unit Data from Audit Worksheet'!C57</f>
        <v>Notes</v>
      </c>
      <c r="C51" s="340" t="str">
        <f>'Unit Data from Audit Worksheet'!D57</f>
        <v>Please enter the principal and interest due next fiscal year on existing borrowings.</v>
      </c>
      <c r="D51" s="110"/>
      <c r="E51" s="361">
        <f>'Unit Data from Audit Worksheet'!F57</f>
        <v>0</v>
      </c>
      <c r="F51" s="354"/>
      <c r="G51" s="356"/>
      <c r="H51" s="353"/>
      <c r="I51" s="727"/>
      <c r="J51" s="352">
        <v>569</v>
      </c>
      <c r="K51" s="726" t="s">
        <v>1420</v>
      </c>
      <c r="L51" s="589">
        <f t="shared" si="4"/>
        <v>0</v>
      </c>
      <c r="O51" s="597"/>
      <c r="P51" s="323"/>
      <c r="Q51" s="579"/>
      <c r="X51" s="586"/>
      <c r="Y51" s="586"/>
    </row>
    <row r="52" spans="1:25" ht="54" customHeight="1" x14ac:dyDescent="0.3">
      <c r="A52" s="341">
        <f>'Unit Data from Audit Worksheet'!A59</f>
        <v>506</v>
      </c>
      <c r="B52" s="53" t="str">
        <f>'Unit Data from Audit Worksheet'!C59</f>
        <v>General Fund-Balance Sheet</v>
      </c>
      <c r="C52" s="599" t="str">
        <f>'Unit Data from Audit Worksheet'!D59</f>
        <v xml:space="preserve">All unrestricted cash and investments.  
Exclude restricted cash and cash held by a third party. </v>
      </c>
      <c r="D52" s="110"/>
      <c r="E52" s="154">
        <f>'Unit Data from Audit Worksheet'!F59</f>
        <v>0</v>
      </c>
      <c r="F52" s="37">
        <f>IF(L52&lt;0,"Error: Number is normally positive.",)</f>
        <v>0</v>
      </c>
      <c r="G52" s="73"/>
      <c r="H52" s="353">
        <f>'Unit Data from Audit Worksheet'!I59</f>
        <v>0</v>
      </c>
      <c r="I52" s="38"/>
      <c r="J52" s="41">
        <v>506</v>
      </c>
      <c r="K52" s="351" t="s">
        <v>198</v>
      </c>
      <c r="L52" s="600">
        <f t="shared" ref="L52:L65" si="7">IF(D52="",E52,D52)</f>
        <v>0</v>
      </c>
      <c r="P52" s="323"/>
      <c r="W52" s="3" t="b">
        <f t="shared" si="6"/>
        <v>1</v>
      </c>
      <c r="X52" s="586">
        <f t="shared" si="1"/>
        <v>0</v>
      </c>
      <c r="Y52" s="586">
        <f t="shared" si="2"/>
        <v>0</v>
      </c>
    </row>
    <row r="53" spans="1:25" ht="45.75" customHeight="1" x14ac:dyDescent="0.3">
      <c r="A53" s="341">
        <f>'Unit Data from Audit Worksheet'!A60</f>
        <v>536</v>
      </c>
      <c r="B53" s="53" t="str">
        <f>'Unit Data from Audit Worksheet'!C60</f>
        <v>General Fund-Balance Sheet</v>
      </c>
      <c r="C53" s="599" t="str">
        <f>'Unit Data from Audit Worksheet'!D60</f>
        <v>All restricted cash and investments</v>
      </c>
      <c r="D53" s="110"/>
      <c r="E53" s="154">
        <f>'Unit Data from Audit Worksheet'!F60</f>
        <v>0</v>
      </c>
      <c r="F53" s="37">
        <f>IF(L53&lt;0,"Error: Number is normally positive.",)</f>
        <v>0</v>
      </c>
      <c r="G53" s="73"/>
      <c r="H53" s="353">
        <f>'Unit Data from Audit Worksheet'!I60</f>
        <v>0</v>
      </c>
      <c r="I53" s="38"/>
      <c r="J53" s="41">
        <v>536</v>
      </c>
      <c r="K53" s="351" t="s">
        <v>199</v>
      </c>
      <c r="L53" s="600">
        <f t="shared" si="7"/>
        <v>0</v>
      </c>
      <c r="P53" s="323"/>
      <c r="W53" s="3" t="b">
        <f t="shared" si="6"/>
        <v>1</v>
      </c>
      <c r="X53" s="586">
        <f t="shared" si="1"/>
        <v>0</v>
      </c>
      <c r="Y53" s="586">
        <f t="shared" si="2"/>
        <v>0</v>
      </c>
    </row>
    <row r="54" spans="1:25" ht="56.25" customHeight="1" x14ac:dyDescent="0.3">
      <c r="A54" s="341">
        <f>'Unit Data from Audit Worksheet'!A61</f>
        <v>586</v>
      </c>
      <c r="B54" s="355" t="str">
        <f>'Unit Data from Audit Worksheet'!C61</f>
        <v>General Fund-Balance Sheet</v>
      </c>
      <c r="C54" s="340" t="str">
        <f>'Unit Data from Audit Worksheet'!D61</f>
        <v>Advance To: Interfund loan receivable-portion of repayment plan longer than 12 months</v>
      </c>
      <c r="D54" s="144"/>
      <c r="E54" s="361">
        <f>'Unit Data from Audit Worksheet'!F61</f>
        <v>0</v>
      </c>
      <c r="F54" s="354"/>
      <c r="G54" s="356"/>
      <c r="H54" s="353"/>
      <c r="I54" s="38"/>
      <c r="J54" s="352">
        <v>586</v>
      </c>
      <c r="K54" s="340" t="s">
        <v>562</v>
      </c>
      <c r="L54" s="589">
        <f t="shared" si="7"/>
        <v>0</v>
      </c>
      <c r="P54" s="323"/>
      <c r="W54" s="3" t="b">
        <f t="shared" si="6"/>
        <v>1</v>
      </c>
      <c r="X54" s="586">
        <f t="shared" si="1"/>
        <v>0</v>
      </c>
      <c r="Y54" s="586">
        <f t="shared" si="2"/>
        <v>0</v>
      </c>
    </row>
    <row r="55" spans="1:25" ht="28.8" x14ac:dyDescent="0.3">
      <c r="A55" s="341">
        <f>'Unit Data from Audit Worksheet'!A62</f>
        <v>379</v>
      </c>
      <c r="B55" s="355" t="str">
        <f>'Unit Data from Audit Worksheet'!C62</f>
        <v>General Fund-Balance Sheet</v>
      </c>
      <c r="C55" s="340" t="str">
        <f>'Unit Data from Audit Worksheet'!D62</f>
        <v>Total Assets and deferred outflows</v>
      </c>
      <c r="D55" s="144"/>
      <c r="E55" s="361">
        <f>'Unit Data from Audit Worksheet'!F62</f>
        <v>0</v>
      </c>
      <c r="F55" s="84">
        <f>IF((L52+L53)&gt;L55,"Error: Please review accts (506+536)&gt;379",)</f>
        <v>0</v>
      </c>
      <c r="G55" s="356" t="str">
        <f>IF(Q55=1," Included in error count"," ")</f>
        <v xml:space="preserve"> </v>
      </c>
      <c r="H55" s="353">
        <f>'Unit Data from Audit Worksheet'!I62</f>
        <v>0</v>
      </c>
      <c r="I55" s="38"/>
      <c r="J55" s="352">
        <v>379</v>
      </c>
      <c r="K55" s="351" t="s">
        <v>118</v>
      </c>
      <c r="L55" s="589">
        <f t="shared" si="7"/>
        <v>0</v>
      </c>
      <c r="P55" s="323"/>
      <c r="Q55" s="579">
        <f>IF(L52+L53&gt;L55,1,0)</f>
        <v>0</v>
      </c>
      <c r="W55" s="3" t="b">
        <f t="shared" si="6"/>
        <v>1</v>
      </c>
      <c r="X55" s="586">
        <f t="shared" si="1"/>
        <v>0</v>
      </c>
      <c r="Y55" s="586">
        <f t="shared" si="2"/>
        <v>0</v>
      </c>
    </row>
    <row r="56" spans="1:25" ht="106.5" customHeight="1" x14ac:dyDescent="0.3">
      <c r="A56" s="341">
        <f>'Unit Data from Audit Worksheet'!A63</f>
        <v>368</v>
      </c>
      <c r="B56" s="355" t="str">
        <f>'Unit Data from Audit Worksheet'!C63</f>
        <v>General Fund-Balance Sheet</v>
      </c>
      <c r="C56" s="340" t="str">
        <f>'Unit Data from Audit Worksheet'!D63</f>
        <v>Total Liabilities payable from restricted assets (only complete if this is listed in your financial statements for the general fund and the auditor has listed the cash to be used to pay the liabilities as restricted)</v>
      </c>
      <c r="D56" s="144"/>
      <c r="E56" s="361">
        <f>'Unit Data from Audit Worksheet'!F63</f>
        <v>0</v>
      </c>
      <c r="F56" s="354">
        <f>IF(L56&lt;0,"Error: Enter as a positive.",)</f>
        <v>0</v>
      </c>
      <c r="G56" s="356"/>
      <c r="H56" s="353">
        <f>'Unit Data from Audit Worksheet'!I63</f>
        <v>0</v>
      </c>
      <c r="I56" s="38"/>
      <c r="J56" s="352">
        <v>368</v>
      </c>
      <c r="K56" s="351" t="s">
        <v>200</v>
      </c>
      <c r="L56" s="589">
        <f t="shared" si="7"/>
        <v>0</v>
      </c>
      <c r="P56" s="323"/>
      <c r="W56" s="3" t="b">
        <f t="shared" si="6"/>
        <v>1</v>
      </c>
      <c r="X56" s="586">
        <f t="shared" si="1"/>
        <v>0</v>
      </c>
      <c r="Y56" s="586">
        <f t="shared" si="2"/>
        <v>0</v>
      </c>
    </row>
    <row r="57" spans="1:25" ht="90.75" customHeight="1" x14ac:dyDescent="0.3">
      <c r="A57" s="341">
        <f>'Unit Data from Audit Worksheet'!A64</f>
        <v>4</v>
      </c>
      <c r="B57" s="53" t="str">
        <f>'Unit Data from Audit Worksheet'!C64</f>
        <v>General Fund-Balance Sheet</v>
      </c>
      <c r="C57" s="599" t="str">
        <f>'Unit Data from Audit Worksheet'!D64</f>
        <v>Current Liabilities (as reported on the Balance Sheet)
Exclude all deferred inflows. 
Include advance from(long-term portion of interfund loans)</v>
      </c>
      <c r="D57" s="144"/>
      <c r="E57" s="154">
        <f>'Unit Data from Audit Worksheet'!F64</f>
        <v>0</v>
      </c>
      <c r="F57" s="37">
        <f t="shared" ref="F57:F66" si="8">IF(L57&lt;0,"Error: Enter as a positive.",)</f>
        <v>0</v>
      </c>
      <c r="G57" s="73"/>
      <c r="H57" s="353">
        <f>'Unit Data from Audit Worksheet'!I64</f>
        <v>0</v>
      </c>
      <c r="I57" s="38"/>
      <c r="J57" s="41">
        <v>4</v>
      </c>
      <c r="K57" s="351" t="s">
        <v>119</v>
      </c>
      <c r="L57" s="600">
        <f t="shared" si="7"/>
        <v>0</v>
      </c>
      <c r="P57" s="323"/>
      <c r="W57" s="3" t="b">
        <f t="shared" si="6"/>
        <v>1</v>
      </c>
      <c r="X57" s="586">
        <f t="shared" si="1"/>
        <v>0</v>
      </c>
      <c r="Y57" s="586">
        <f t="shared" si="2"/>
        <v>0</v>
      </c>
    </row>
    <row r="58" spans="1:25" ht="131.25" customHeight="1" x14ac:dyDescent="0.3">
      <c r="A58" s="341">
        <f>'Unit Data from Audit Worksheet'!A65</f>
        <v>5</v>
      </c>
      <c r="B58" s="53" t="str">
        <f>'Unit Data from Audit Worksheet'!C65</f>
        <v>General Fund-Balance Sheet</v>
      </c>
      <c r="C58" s="599" t="str">
        <f>'Unit Data from Audit Worksheet'!D65</f>
        <v>General fund deferred inflows derived from cash receipts. 
 Prepaid taxes is a common item listed.  Deferred inflows on the face of the statements can include cash and non-cash.  You may have to refer to the note disclosure where the cash and non-cash is broken out.</v>
      </c>
      <c r="D58" s="144"/>
      <c r="E58" s="154">
        <f>'Unit Data from Audit Worksheet'!F65</f>
        <v>0</v>
      </c>
      <c r="F58" s="37">
        <f t="shared" si="8"/>
        <v>0</v>
      </c>
      <c r="G58" s="73"/>
      <c r="H58" s="353">
        <f>'Unit Data from Audit Worksheet'!I65</f>
        <v>0</v>
      </c>
      <c r="I58" s="38"/>
      <c r="J58" s="41">
        <v>5</v>
      </c>
      <c r="K58" s="351" t="s">
        <v>120</v>
      </c>
      <c r="L58" s="600">
        <f t="shared" si="7"/>
        <v>0</v>
      </c>
      <c r="P58" s="323"/>
      <c r="W58" s="3" t="b">
        <f t="shared" si="6"/>
        <v>1</v>
      </c>
      <c r="X58" s="586">
        <f t="shared" si="1"/>
        <v>0</v>
      </c>
      <c r="Y58" s="586">
        <f t="shared" si="2"/>
        <v>0</v>
      </c>
    </row>
    <row r="59" spans="1:25" ht="104.25" customHeight="1" x14ac:dyDescent="0.3">
      <c r="A59" s="341">
        <f>'Unit Data from Audit Worksheet'!A66</f>
        <v>380</v>
      </c>
      <c r="B59" s="355" t="str">
        <f>'Unit Data from Audit Worksheet'!C66</f>
        <v>General Fund-Balance Sheet</v>
      </c>
      <c r="C59" s="340" t="str">
        <f>'Unit Data from Audit Worksheet'!D66</f>
        <v>Total Deferred inflows not derived from cash receipts.  Deferred inflows on the face of the statements can include cash and non-cash.  You may have to refer to the note disclosure where the cash and non-cash is broken out.</v>
      </c>
      <c r="D59" s="144"/>
      <c r="E59" s="361">
        <f>'Unit Data from Audit Worksheet'!F66</f>
        <v>0</v>
      </c>
      <c r="F59" s="354">
        <f t="shared" si="8"/>
        <v>0</v>
      </c>
      <c r="G59" s="356"/>
      <c r="H59" s="353">
        <f>'Unit Data from Audit Worksheet'!I66</f>
        <v>0</v>
      </c>
      <c r="I59" s="38"/>
      <c r="J59" s="352">
        <v>380</v>
      </c>
      <c r="K59" s="351" t="s">
        <v>121</v>
      </c>
      <c r="L59" s="589">
        <f t="shared" si="7"/>
        <v>0</v>
      </c>
      <c r="P59" s="323"/>
      <c r="W59" s="3" t="b">
        <f t="shared" si="6"/>
        <v>1</v>
      </c>
      <c r="X59" s="586">
        <f t="shared" si="1"/>
        <v>0</v>
      </c>
      <c r="Y59" s="586">
        <f t="shared" si="2"/>
        <v>0</v>
      </c>
    </row>
    <row r="60" spans="1:25" ht="41.25" customHeight="1" x14ac:dyDescent="0.3">
      <c r="A60" s="341">
        <f>'Unit Data from Audit Worksheet'!A67</f>
        <v>391</v>
      </c>
      <c r="B60" s="355" t="str">
        <f>'Unit Data from Audit Worksheet'!C67</f>
        <v>General Fund-Balance Sheet</v>
      </c>
      <c r="C60" s="340" t="str">
        <f>'Unit Data from Audit Worksheet'!D67</f>
        <v xml:space="preserve">Fund balance, Restricted for Stabilization by State Statute </v>
      </c>
      <c r="D60" s="144"/>
      <c r="E60" s="361">
        <f>'Unit Data from Audit Worksheet'!F67</f>
        <v>0</v>
      </c>
      <c r="F60" s="354">
        <f t="shared" si="8"/>
        <v>0</v>
      </c>
      <c r="G60" s="356"/>
      <c r="H60" s="353">
        <f>'Unit Data from Audit Worksheet'!I67</f>
        <v>0</v>
      </c>
      <c r="I60" s="38"/>
      <c r="J60" s="352">
        <v>391</v>
      </c>
      <c r="K60" s="351" t="s">
        <v>201</v>
      </c>
      <c r="L60" s="589">
        <f t="shared" si="7"/>
        <v>0</v>
      </c>
      <c r="P60" s="323"/>
      <c r="W60" s="3" t="b">
        <f t="shared" si="6"/>
        <v>1</v>
      </c>
      <c r="X60" s="586">
        <f t="shared" si="1"/>
        <v>0</v>
      </c>
      <c r="Y60" s="586">
        <f t="shared" si="2"/>
        <v>0</v>
      </c>
    </row>
    <row r="61" spans="1:25" ht="28.8" x14ac:dyDescent="0.3">
      <c r="A61" s="341">
        <f>'Unit Data from Audit Worksheet'!A68</f>
        <v>7</v>
      </c>
      <c r="B61" s="53" t="str">
        <f>'Unit Data from Audit Worksheet'!C68</f>
        <v>General Fund-Balance Sheet</v>
      </c>
      <c r="C61" s="599" t="str">
        <f>'Unit Data from Audit Worksheet'!D68</f>
        <v>Fund balance, Nonspendable-  inventory/prepaids/etc.</v>
      </c>
      <c r="D61" s="144"/>
      <c r="E61" s="154">
        <f>'Unit Data from Audit Worksheet'!F68</f>
        <v>0</v>
      </c>
      <c r="F61" s="37">
        <f t="shared" si="8"/>
        <v>0</v>
      </c>
      <c r="G61" s="73"/>
      <c r="H61" s="353">
        <f>'Unit Data from Audit Worksheet'!I68</f>
        <v>0</v>
      </c>
      <c r="I61" s="38"/>
      <c r="J61" s="41">
        <v>7</v>
      </c>
      <c r="K61" s="351" t="s">
        <v>202</v>
      </c>
      <c r="L61" s="600">
        <f t="shared" si="7"/>
        <v>0</v>
      </c>
      <c r="P61" s="323"/>
      <c r="W61" s="3" t="b">
        <f t="shared" si="6"/>
        <v>1</v>
      </c>
      <c r="X61" s="586">
        <f t="shared" si="1"/>
        <v>0</v>
      </c>
      <c r="Y61" s="586">
        <f t="shared" si="2"/>
        <v>0</v>
      </c>
    </row>
    <row r="62" spans="1:25" ht="89.25" customHeight="1" x14ac:dyDescent="0.3">
      <c r="A62" s="601">
        <f>'Unit Data from Audit Worksheet'!A69</f>
        <v>11</v>
      </c>
      <c r="B62" s="117" t="str">
        <f>'Unit Data from Audit Worksheet'!C69</f>
        <v>General Fund-Balance Sheet</v>
      </c>
      <c r="C62" s="591" t="str">
        <f>'Unit Data from Audit Worksheet'!D69</f>
        <v>Fund balance, Restricted for Streets (unspent Powell Bill balance).  You may have to refer to the note disclosure where restricted fund balance is described.</v>
      </c>
      <c r="D62" s="110"/>
      <c r="E62" s="155">
        <f>'Unit Data from Audit Worksheet'!F69</f>
        <v>0</v>
      </c>
      <c r="F62" s="111">
        <f t="shared" si="8"/>
        <v>0</v>
      </c>
      <c r="G62" s="112"/>
      <c r="H62" s="113">
        <f>'Unit Data from Audit Worksheet'!I69</f>
        <v>0</v>
      </c>
      <c r="I62" s="38"/>
      <c r="J62" s="105">
        <v>11</v>
      </c>
      <c r="K62" s="44" t="s">
        <v>203</v>
      </c>
      <c r="L62" s="589">
        <f t="shared" si="7"/>
        <v>0</v>
      </c>
      <c r="P62" s="324"/>
      <c r="W62" s="3" t="b">
        <f t="shared" si="6"/>
        <v>1</v>
      </c>
      <c r="X62" s="586">
        <f t="shared" si="1"/>
        <v>0</v>
      </c>
      <c r="Y62" s="586">
        <f t="shared" si="2"/>
        <v>0</v>
      </c>
    </row>
    <row r="63" spans="1:25" s="18" customFormat="1" ht="48.75" customHeight="1" x14ac:dyDescent="0.3">
      <c r="A63" s="312">
        <f>'Unit Data from Audit Worksheet'!A70</f>
        <v>645</v>
      </c>
      <c r="B63" s="368" t="str">
        <f>'Unit Data from Audit Worksheet'!C70</f>
        <v>General Fund-Balance Sheet</v>
      </c>
      <c r="C63" s="312" t="str">
        <f>'Unit Data from Audit Worksheet'!D70</f>
        <v>Fund balance, Assigned (total of all assigned components)</v>
      </c>
      <c r="D63" s="116"/>
      <c r="E63" s="367">
        <f>'Unit Data from Audit Worksheet'!F70</f>
        <v>0</v>
      </c>
      <c r="F63" s="349">
        <f>IF(L63&lt;0,"Error: Enter as a positive.",)</f>
        <v>0</v>
      </c>
      <c r="G63" s="334"/>
      <c r="H63" s="349">
        <f>'Unit Data from Audit Worksheet'!I70</f>
        <v>0</v>
      </c>
      <c r="I63" s="602"/>
      <c r="J63" s="348">
        <v>645</v>
      </c>
      <c r="K63" s="312" t="s">
        <v>752</v>
      </c>
      <c r="L63" s="603">
        <f t="shared" si="7"/>
        <v>0</v>
      </c>
      <c r="M63" s="593"/>
      <c r="N63" s="593"/>
      <c r="O63" s="593"/>
      <c r="P63" s="325"/>
      <c r="Q63" s="594"/>
      <c r="R63" s="3"/>
      <c r="S63" s="593"/>
      <c r="T63" s="593"/>
      <c r="U63" s="593"/>
      <c r="V63" s="593"/>
      <c r="W63" s="18" t="b">
        <f t="shared" si="6"/>
        <v>1</v>
      </c>
      <c r="X63" s="595">
        <f t="shared" si="1"/>
        <v>0</v>
      </c>
      <c r="Y63" s="595">
        <f t="shared" si="2"/>
        <v>0</v>
      </c>
    </row>
    <row r="64" spans="1:25" s="18" customFormat="1" ht="45.75" customHeight="1" x14ac:dyDescent="0.3">
      <c r="A64" s="312">
        <f>'Unit Data from Audit Worksheet'!A71</f>
        <v>646</v>
      </c>
      <c r="B64" s="368" t="str">
        <f>'Unit Data from Audit Worksheet'!C71</f>
        <v>General Fund-Balance Sheet</v>
      </c>
      <c r="C64" s="312" t="str">
        <f>'Unit Data from Audit Worksheet'!D71</f>
        <v>Fund Balance, Unassigned</v>
      </c>
      <c r="D64" s="116"/>
      <c r="E64" s="367">
        <f>'Unit Data from Audit Worksheet'!F71</f>
        <v>0</v>
      </c>
      <c r="F64" s="349">
        <f>IF(L64&lt;0,"Error: Enter as a positive.",)</f>
        <v>0</v>
      </c>
      <c r="G64" s="334"/>
      <c r="H64" s="349">
        <f>'Unit Data from Audit Worksheet'!I71</f>
        <v>0</v>
      </c>
      <c r="I64" s="602"/>
      <c r="J64" s="348">
        <v>646</v>
      </c>
      <c r="K64" s="312" t="s">
        <v>753</v>
      </c>
      <c r="L64" s="603">
        <f t="shared" si="7"/>
        <v>0</v>
      </c>
      <c r="M64" s="593"/>
      <c r="N64" s="593"/>
      <c r="O64" s="593"/>
      <c r="P64" s="325"/>
      <c r="Q64" s="594"/>
      <c r="R64" s="3"/>
      <c r="S64" s="593"/>
      <c r="T64" s="593"/>
      <c r="U64" s="593"/>
      <c r="V64" s="593"/>
      <c r="W64" s="18" t="b">
        <f t="shared" si="6"/>
        <v>1</v>
      </c>
      <c r="X64" s="595">
        <f t="shared" si="1"/>
        <v>0</v>
      </c>
      <c r="Y64" s="595">
        <f t="shared" si="2"/>
        <v>0</v>
      </c>
    </row>
    <row r="65" spans="1:27" ht="55.5" customHeight="1" x14ac:dyDescent="0.3">
      <c r="A65" s="587">
        <f>'Unit Data from Audit Worksheet'!A72</f>
        <v>9</v>
      </c>
      <c r="B65" s="118" t="str">
        <f>'Unit Data from Audit Worksheet'!C72</f>
        <v>General Fund-Balance Sheet</v>
      </c>
      <c r="C65" s="604" t="str">
        <f>'Unit Data from Audit Worksheet'!D72</f>
        <v>Total Fund balance (enter fund deficits as negative)</v>
      </c>
      <c r="D65" s="144"/>
      <c r="E65" s="153">
        <f>'Unit Data from Audit Worksheet'!F72</f>
        <v>0</v>
      </c>
      <c r="F65" s="119">
        <f>IF(L55-L57-L58-L59-L65=0,,"Error: Total assets less total liabilities do not equal Acct +379-4-5-380-9=0")</f>
        <v>0</v>
      </c>
      <c r="G65" s="120">
        <f>L55-L57-L58-L59-L65</f>
        <v>0</v>
      </c>
      <c r="H65" s="353">
        <f>'Unit Data from Audit Worksheet'!I72</f>
        <v>0</v>
      </c>
      <c r="I65" s="38"/>
      <c r="J65" s="121">
        <v>9</v>
      </c>
      <c r="K65" s="51" t="s">
        <v>204</v>
      </c>
      <c r="L65" s="600">
        <f t="shared" si="7"/>
        <v>0</v>
      </c>
      <c r="O65" s="597" t="e">
        <f>'Unit Data from Audit Worksheet'!E72</f>
        <v>#N/A</v>
      </c>
      <c r="P65" s="322"/>
      <c r="Q65" s="579">
        <f>IF(G65&lt;&gt;0,1,0)</f>
        <v>0</v>
      </c>
      <c r="W65" s="3" t="b">
        <f t="shared" si="6"/>
        <v>1</v>
      </c>
      <c r="X65" s="586">
        <f t="shared" si="1"/>
        <v>0</v>
      </c>
      <c r="Y65" s="586">
        <f t="shared" si="2"/>
        <v>0</v>
      </c>
    </row>
    <row r="66" spans="1:27" s="18" customFormat="1" ht="73.5" customHeight="1" x14ac:dyDescent="0.3">
      <c r="A66" s="341">
        <f>'Unit Data from Audit Worksheet'!A73</f>
        <v>540</v>
      </c>
      <c r="B66" s="355" t="str">
        <f>'Unit Data from Audit Worksheet'!C73</f>
        <v>General Fund - Budget Actual Statement</v>
      </c>
      <c r="C66" s="340" t="str">
        <f>'Unit Data from Audit Worksheet'!D73</f>
        <v>Amount of the General Fund Balance appropriated in next year's budget. As reported on the General Fund Balance Sheet.</v>
      </c>
      <c r="D66" s="144"/>
      <c r="E66" s="361">
        <f>'Unit Data from Audit Worksheet'!F73</f>
        <v>0</v>
      </c>
      <c r="F66" s="354">
        <f t="shared" si="8"/>
        <v>0</v>
      </c>
      <c r="G66" s="356"/>
      <c r="H66" s="353">
        <f>'Unit Data from Audit Worksheet'!I73</f>
        <v>0</v>
      </c>
      <c r="I66" s="38"/>
      <c r="J66" s="352">
        <v>540</v>
      </c>
      <c r="K66" s="351" t="s">
        <v>267</v>
      </c>
      <c r="L66" s="589">
        <f t="shared" ref="L66:L123" si="9">IF(D66="",E66,D66)</f>
        <v>0</v>
      </c>
      <c r="P66" s="323"/>
      <c r="Q66" s="579"/>
      <c r="R66" s="3"/>
      <c r="W66" s="3" t="b">
        <f t="shared" si="6"/>
        <v>1</v>
      </c>
      <c r="X66" s="586">
        <f t="shared" si="1"/>
        <v>0</v>
      </c>
      <c r="Y66" s="586">
        <f t="shared" si="2"/>
        <v>0</v>
      </c>
      <c r="AA66" s="3"/>
    </row>
    <row r="67" spans="1:27" s="18" customFormat="1" ht="73.5" customHeight="1" x14ac:dyDescent="0.3">
      <c r="A67" s="605">
        <f>'Unit Data from Audit Worksheet'!A75</f>
        <v>984</v>
      </c>
      <c r="B67" s="359" t="str">
        <f>'Unit Data from Audit Worksheet'!C75</f>
        <v>General Fund - Budget Actual Statement</v>
      </c>
      <c r="C67" s="606" t="str">
        <f>'Unit Data from Audit Worksheet'!D75</f>
        <v>Amount of Ad valorem tax collected (including motor vehicle and prior years) reported on budget actual statement</v>
      </c>
      <c r="D67" s="144"/>
      <c r="E67" s="362">
        <f>'Unit Data from Audit Worksheet'!F75</f>
        <v>0</v>
      </c>
      <c r="F67" s="354"/>
      <c r="G67" s="356"/>
      <c r="H67" s="353"/>
      <c r="I67" s="38"/>
      <c r="J67" s="370">
        <v>984</v>
      </c>
      <c r="K67" s="126" t="s">
        <v>1118</v>
      </c>
      <c r="L67" s="607">
        <f t="shared" si="9"/>
        <v>0</v>
      </c>
      <c r="P67" s="323"/>
      <c r="Q67" s="579"/>
      <c r="R67" s="3"/>
      <c r="W67" s="3"/>
      <c r="X67" s="586"/>
      <c r="Y67" s="586"/>
      <c r="AA67" s="3"/>
    </row>
    <row r="68" spans="1:27" s="18" customFormat="1" ht="73.5" customHeight="1" x14ac:dyDescent="0.3">
      <c r="A68" s="605">
        <f>'Unit Data from Audit Worksheet'!A76</f>
        <v>985</v>
      </c>
      <c r="B68" s="359" t="str">
        <f>'Unit Data from Audit Worksheet'!C76</f>
        <v>General Fund - Budget Actual Statement</v>
      </c>
      <c r="C68" s="606" t="str">
        <f>'Unit Data from Audit Worksheet'!D76</f>
        <v>Amount of Ad valorem tax budgeted (including motor vehicle and prior years) reported on budget actual statement</v>
      </c>
      <c r="D68" s="144"/>
      <c r="E68" s="362">
        <f>'Unit Data from Audit Worksheet'!F76</f>
        <v>0</v>
      </c>
      <c r="F68" s="354"/>
      <c r="G68" s="356"/>
      <c r="H68" s="353"/>
      <c r="I68" s="38"/>
      <c r="J68" s="370">
        <v>985</v>
      </c>
      <c r="K68" s="126" t="s">
        <v>1119</v>
      </c>
      <c r="L68" s="607">
        <f t="shared" si="9"/>
        <v>0</v>
      </c>
      <c r="P68" s="323"/>
      <c r="Q68" s="579"/>
      <c r="R68" s="3"/>
      <c r="W68" s="3"/>
      <c r="X68" s="586"/>
      <c r="Y68" s="586"/>
      <c r="AA68" s="3"/>
    </row>
    <row r="69" spans="1:27" ht="73.5" customHeight="1" x14ac:dyDescent="0.3">
      <c r="A69" s="341">
        <f>'Unit Data from Audit Worksheet'!A77</f>
        <v>369</v>
      </c>
      <c r="B69" s="355" t="str">
        <f>'Unit Data from Audit Worksheet'!C77</f>
        <v>General Fund-Rev, Exp. Change in Fund Balance</v>
      </c>
      <c r="C69" s="340" t="str">
        <f>'Unit Data from Audit Worksheet'!D77</f>
        <v>Total Intergovernmental revenue 
Include restricted and unrestricted revenues</v>
      </c>
      <c r="D69" s="144"/>
      <c r="E69" s="361">
        <f>'Unit Data from Audit Worksheet'!F77</f>
        <v>0</v>
      </c>
      <c r="F69" s="354"/>
      <c r="G69" s="356"/>
      <c r="H69" s="353">
        <f>'Unit Data from Audit Worksheet'!I77</f>
        <v>0</v>
      </c>
      <c r="I69" s="38"/>
      <c r="J69" s="352">
        <v>369</v>
      </c>
      <c r="K69" s="351" t="s">
        <v>205</v>
      </c>
      <c r="L69" s="589">
        <f t="shared" si="9"/>
        <v>0</v>
      </c>
      <c r="P69" s="323"/>
      <c r="W69" s="3" t="b">
        <f t="shared" ref="W69:W132" si="10">EXACT(A69,J69)</f>
        <v>1</v>
      </c>
      <c r="X69" s="586">
        <f t="shared" si="1"/>
        <v>0</v>
      </c>
      <c r="Y69" s="586">
        <f t="shared" si="2"/>
        <v>0</v>
      </c>
    </row>
    <row r="70" spans="1:27" ht="73.5" customHeight="1" x14ac:dyDescent="0.3">
      <c r="A70" s="341">
        <f>'Unit Data from Audit Worksheet'!A78</f>
        <v>16</v>
      </c>
      <c r="B70" s="355" t="str">
        <f>'Unit Data from Audit Worksheet'!C78</f>
        <v>General Fund-Rev, Exp. Change in Fund Balance</v>
      </c>
      <c r="C70" s="340" t="str">
        <f>'Unit Data from Audit Worksheet'!D78</f>
        <v>Total revenues</v>
      </c>
      <c r="D70" s="144"/>
      <c r="E70" s="361">
        <f>'Unit Data from Audit Worksheet'!F78</f>
        <v>0</v>
      </c>
      <c r="F70" s="354"/>
      <c r="G70" s="356"/>
      <c r="H70" s="353">
        <f>'Unit Data from Audit Worksheet'!I78</f>
        <v>0</v>
      </c>
      <c r="I70" s="38"/>
      <c r="J70" s="352">
        <v>16</v>
      </c>
      <c r="K70" s="351" t="s">
        <v>206</v>
      </c>
      <c r="L70" s="589">
        <f t="shared" si="9"/>
        <v>0</v>
      </c>
      <c r="P70" s="323"/>
      <c r="W70" s="3" t="b">
        <f t="shared" si="10"/>
        <v>1</v>
      </c>
      <c r="X70" s="586">
        <f t="shared" si="1"/>
        <v>0</v>
      </c>
      <c r="Y70" s="586">
        <f t="shared" si="2"/>
        <v>0</v>
      </c>
    </row>
    <row r="71" spans="1:27" ht="73.5" customHeight="1" x14ac:dyDescent="0.3">
      <c r="A71" s="341">
        <f>'Unit Data from Audit Worksheet'!A79</f>
        <v>370</v>
      </c>
      <c r="B71" s="355" t="str">
        <f>'Unit Data from Audit Worksheet'!C79</f>
        <v>General Fund-Rev, Exp. Change in Fund Balance</v>
      </c>
      <c r="C71" s="340" t="str">
        <f>'Unit Data from Audit Worksheet'!D79</f>
        <v>Debt service expenditures. 
Include principal, interest paid, and bond/debt issuance costs on long-term debt</v>
      </c>
      <c r="D71" s="144"/>
      <c r="E71" s="361">
        <f>'Unit Data from Audit Worksheet'!F79</f>
        <v>0</v>
      </c>
      <c r="F71" s="354">
        <f t="shared" ref="F71:F77" si="11">IF(L71&lt;0,"Error: Enter as a positive.",)</f>
        <v>0</v>
      </c>
      <c r="G71" s="356"/>
      <c r="H71" s="353">
        <f>'Unit Data from Audit Worksheet'!I79</f>
        <v>0</v>
      </c>
      <c r="I71" s="38"/>
      <c r="J71" s="352">
        <v>370</v>
      </c>
      <c r="K71" s="351" t="s">
        <v>207</v>
      </c>
      <c r="L71" s="589">
        <f t="shared" si="9"/>
        <v>0</v>
      </c>
      <c r="P71" s="323"/>
      <c r="W71" s="3" t="b">
        <f t="shared" si="10"/>
        <v>1</v>
      </c>
      <c r="X71" s="586">
        <f t="shared" si="1"/>
        <v>0</v>
      </c>
      <c r="Y71" s="586">
        <f t="shared" si="2"/>
        <v>0</v>
      </c>
    </row>
    <row r="72" spans="1:27" ht="73.5" customHeight="1" x14ac:dyDescent="0.3">
      <c r="A72" s="341">
        <f>'Unit Data from Audit Worksheet'!A80</f>
        <v>532</v>
      </c>
      <c r="B72" s="355" t="str">
        <f>'Unit Data from Audit Worksheet'!C80</f>
        <v>General Fund-Rev, Exp. Change in Fund Balance</v>
      </c>
      <c r="C72" s="340" t="str">
        <f>'Unit Data from Audit Worksheet'!D80</f>
        <v xml:space="preserve">Total expenditures  
Exclude expenditures in the "other financing sources (uses)" section.
</v>
      </c>
      <c r="D72" s="144"/>
      <c r="E72" s="361">
        <f>'Unit Data from Audit Worksheet'!F80</f>
        <v>0</v>
      </c>
      <c r="F72" s="354">
        <f t="shared" si="11"/>
        <v>0</v>
      </c>
      <c r="G72" s="356"/>
      <c r="H72" s="353">
        <f>'Unit Data from Audit Worksheet'!I80</f>
        <v>0</v>
      </c>
      <c r="I72" s="38"/>
      <c r="J72" s="352">
        <v>532</v>
      </c>
      <c r="K72" s="608" t="s">
        <v>208</v>
      </c>
      <c r="L72" s="589">
        <f t="shared" si="9"/>
        <v>0</v>
      </c>
      <c r="P72" s="323"/>
      <c r="W72" s="3" t="b">
        <f t="shared" si="10"/>
        <v>1</v>
      </c>
      <c r="X72" s="586">
        <f t="shared" si="1"/>
        <v>0</v>
      </c>
      <c r="Y72" s="586">
        <f t="shared" si="2"/>
        <v>0</v>
      </c>
    </row>
    <row r="73" spans="1:27" ht="73.5" customHeight="1" x14ac:dyDescent="0.3">
      <c r="A73" s="341">
        <f>'Unit Data from Audit Worksheet'!A81</f>
        <v>17</v>
      </c>
      <c r="B73" s="355" t="str">
        <f>'Unit Data from Audit Worksheet'!C81</f>
        <v>General Fund-Rev, Exp. Change in Fund Balance</v>
      </c>
      <c r="C73" s="340" t="str">
        <f>'Unit Data from Audit Worksheet'!D81</f>
        <v>Total Transfers in    (Preference is that transfers-in  are not netted against transfers-out)</v>
      </c>
      <c r="D73" s="144"/>
      <c r="E73" s="361">
        <f>'Unit Data from Audit Worksheet'!F81</f>
        <v>0</v>
      </c>
      <c r="F73" s="354">
        <f t="shared" si="11"/>
        <v>0</v>
      </c>
      <c r="G73" s="356"/>
      <c r="H73" s="353">
        <f>'Unit Data from Audit Worksheet'!I81</f>
        <v>0</v>
      </c>
      <c r="I73" s="38"/>
      <c r="J73" s="352">
        <v>17</v>
      </c>
      <c r="K73" s="351" t="s">
        <v>209</v>
      </c>
      <c r="L73" s="589">
        <f t="shared" si="9"/>
        <v>0</v>
      </c>
      <c r="P73" s="323"/>
      <c r="W73" s="3" t="b">
        <f t="shared" si="10"/>
        <v>1</v>
      </c>
      <c r="X73" s="586">
        <f t="shared" si="1"/>
        <v>0</v>
      </c>
      <c r="Y73" s="586">
        <f t="shared" si="2"/>
        <v>0</v>
      </c>
    </row>
    <row r="74" spans="1:27" ht="54.75" customHeight="1" x14ac:dyDescent="0.3">
      <c r="A74" s="341">
        <f>'Unit Data from Audit Worksheet'!A82</f>
        <v>20</v>
      </c>
      <c r="B74" s="355" t="str">
        <f>'Unit Data from Audit Worksheet'!C82</f>
        <v>General Fund-Rev, Exp. Change in Fund Balance</v>
      </c>
      <c r="C74" s="340" t="str">
        <f>'Unit Data from Audit Worksheet'!D82</f>
        <v>Total Transfers out    (Preference is that transfers-in  are not netted against transfers-out)</v>
      </c>
      <c r="D74" s="144"/>
      <c r="E74" s="361">
        <f>'Unit Data from Audit Worksheet'!F82</f>
        <v>0</v>
      </c>
      <c r="F74" s="354">
        <f t="shared" si="11"/>
        <v>0</v>
      </c>
      <c r="G74" s="356"/>
      <c r="H74" s="353">
        <f>'Unit Data from Audit Worksheet'!I82</f>
        <v>0</v>
      </c>
      <c r="I74" s="38"/>
      <c r="J74" s="352">
        <v>20</v>
      </c>
      <c r="K74" s="351" t="s">
        <v>210</v>
      </c>
      <c r="L74" s="589">
        <f t="shared" si="9"/>
        <v>0</v>
      </c>
      <c r="P74" s="323"/>
      <c r="W74" s="3" t="b">
        <f t="shared" si="10"/>
        <v>1</v>
      </c>
      <c r="X74" s="586">
        <f t="shared" si="1"/>
        <v>0</v>
      </c>
      <c r="Y74" s="586">
        <f t="shared" si="2"/>
        <v>0</v>
      </c>
    </row>
    <row r="75" spans="1:27" ht="54.75" customHeight="1" x14ac:dyDescent="0.3">
      <c r="A75" s="341">
        <f>'Unit Data from Audit Worksheet'!A83</f>
        <v>533</v>
      </c>
      <c r="B75" s="355" t="str">
        <f>'Unit Data from Audit Worksheet'!C83</f>
        <v>General Fund-Rev, Exp. Change in Fund Balance</v>
      </c>
      <c r="C75" s="340" t="str">
        <f>'Unit Data from Audit Worksheet'!D83</f>
        <v>Total Proceeds from all long-term debt issuances 
Exclude proceeds from refundings</v>
      </c>
      <c r="D75" s="144"/>
      <c r="E75" s="361">
        <f>'Unit Data from Audit Worksheet'!F83</f>
        <v>0</v>
      </c>
      <c r="F75" s="354">
        <f t="shared" si="11"/>
        <v>0</v>
      </c>
      <c r="G75" s="356"/>
      <c r="H75" s="353">
        <f>'Unit Data from Audit Worksheet'!I83</f>
        <v>0</v>
      </c>
      <c r="I75" s="38"/>
      <c r="J75" s="352">
        <v>533</v>
      </c>
      <c r="K75" s="608" t="s">
        <v>211</v>
      </c>
      <c r="L75" s="589">
        <f t="shared" si="9"/>
        <v>0</v>
      </c>
      <c r="P75" s="323"/>
      <c r="W75" s="3" t="b">
        <f t="shared" si="10"/>
        <v>1</v>
      </c>
      <c r="X75" s="586">
        <f t="shared" si="1"/>
        <v>0</v>
      </c>
      <c r="Y75" s="586">
        <f t="shared" si="2"/>
        <v>0</v>
      </c>
    </row>
    <row r="76" spans="1:27" ht="54.75" customHeight="1" x14ac:dyDescent="0.3">
      <c r="A76" s="341">
        <f>'Unit Data from Audit Worksheet'!A84</f>
        <v>508</v>
      </c>
      <c r="B76" s="355" t="str">
        <f>'Unit Data from Audit Worksheet'!C84</f>
        <v>General Fund-Rev, Exp. Change in Fund Balance</v>
      </c>
      <c r="C76" s="340" t="str">
        <f>'Unit Data from Audit Worksheet'!D84</f>
        <v>Debt Refunding - Net refunding proceeds against debt payoff and if positive place results on this line.</v>
      </c>
      <c r="D76" s="144"/>
      <c r="E76" s="361">
        <f>'Unit Data from Audit Worksheet'!F84</f>
        <v>0</v>
      </c>
      <c r="F76" s="354">
        <f t="shared" si="11"/>
        <v>0</v>
      </c>
      <c r="G76" s="356"/>
      <c r="H76" s="353">
        <f>'Unit Data from Audit Worksheet'!I84</f>
        <v>0</v>
      </c>
      <c r="I76" s="38"/>
      <c r="J76" s="352">
        <v>508</v>
      </c>
      <c r="K76" s="351" t="s">
        <v>213</v>
      </c>
      <c r="L76" s="589">
        <f t="shared" si="9"/>
        <v>0</v>
      </c>
      <c r="P76" s="323"/>
      <c r="W76" s="3" t="b">
        <f t="shared" si="10"/>
        <v>1</v>
      </c>
      <c r="X76" s="586">
        <f t="shared" si="1"/>
        <v>0</v>
      </c>
      <c r="Y76" s="586">
        <f t="shared" si="2"/>
        <v>0</v>
      </c>
    </row>
    <row r="77" spans="1:27" ht="54.75" customHeight="1" x14ac:dyDescent="0.3">
      <c r="A77" s="341">
        <f>'Unit Data from Audit Worksheet'!A85</f>
        <v>509</v>
      </c>
      <c r="B77" s="355" t="str">
        <f>'Unit Data from Audit Worksheet'!C85</f>
        <v>General Fund-Rev, Exp. Change in Fund Balance</v>
      </c>
      <c r="C77" s="340" t="str">
        <f>'Unit Data from Audit Worksheet'!D85</f>
        <v>Debt Refunding - Net refunding proceeds against debt payoff and if negative place results on this line.</v>
      </c>
      <c r="D77" s="144"/>
      <c r="E77" s="361">
        <f>'Unit Data from Audit Worksheet'!F85</f>
        <v>0</v>
      </c>
      <c r="F77" s="354">
        <f t="shared" si="11"/>
        <v>0</v>
      </c>
      <c r="G77" s="356"/>
      <c r="H77" s="353">
        <f>'Unit Data from Audit Worksheet'!I85</f>
        <v>0</v>
      </c>
      <c r="I77" s="38"/>
      <c r="J77" s="352">
        <v>509</v>
      </c>
      <c r="K77" s="351" t="s">
        <v>214</v>
      </c>
      <c r="L77" s="589">
        <f t="shared" si="9"/>
        <v>0</v>
      </c>
      <c r="P77" s="323"/>
      <c r="W77" s="3" t="b">
        <f t="shared" si="10"/>
        <v>1</v>
      </c>
      <c r="X77" s="586">
        <f t="shared" si="1"/>
        <v>0</v>
      </c>
      <c r="Y77" s="586">
        <f t="shared" si="2"/>
        <v>0</v>
      </c>
    </row>
    <row r="78" spans="1:27" ht="84.75" customHeight="1" x14ac:dyDescent="0.3">
      <c r="A78" s="341">
        <f>'Unit Data from Audit Worksheet'!A86</f>
        <v>22</v>
      </c>
      <c r="B78" s="355" t="str">
        <f>'Unit Data from Audit Worksheet'!C86</f>
        <v>General Fund-Rev, Exp. Change in Fund Balance</v>
      </c>
      <c r="C78" s="340" t="str">
        <f>'Unit Data from Audit Worksheet'!D86</f>
        <v xml:space="preserve">All other items on this statement that were not included in total revenues, total expenditures, transfers in or out, or proceeds from long-term debt above.  </v>
      </c>
      <c r="D78" s="144"/>
      <c r="E78" s="361">
        <f>'Unit Data from Audit Worksheet'!F86</f>
        <v>0</v>
      </c>
      <c r="F78" s="354"/>
      <c r="G78" s="356"/>
      <c r="H78" s="353">
        <f>'Unit Data from Audit Worksheet'!I86</f>
        <v>0</v>
      </c>
      <c r="I78" s="38"/>
      <c r="J78" s="352">
        <v>22</v>
      </c>
      <c r="K78" s="351" t="s">
        <v>212</v>
      </c>
      <c r="L78" s="589">
        <f t="shared" si="9"/>
        <v>0</v>
      </c>
      <c r="P78" s="323"/>
      <c r="W78" s="3" t="b">
        <f t="shared" si="10"/>
        <v>1</v>
      </c>
      <c r="X78" s="586">
        <f t="shared" si="1"/>
        <v>0</v>
      </c>
      <c r="Y78" s="586">
        <f t="shared" si="2"/>
        <v>0</v>
      </c>
    </row>
    <row r="79" spans="1:27" ht="74.25" customHeight="1" x14ac:dyDescent="0.3">
      <c r="A79" s="341">
        <f>'Unit Data from Audit Worksheet'!A87</f>
        <v>23</v>
      </c>
      <c r="B79" s="355" t="str">
        <f>'Unit Data from Audit Worksheet'!C87</f>
        <v>General Fund-Rev, Exp. Change in Fund Balance</v>
      </c>
      <c r="C79" s="340" t="str">
        <f>'Unit Data from Audit Worksheet'!D87</f>
        <v>Change in fund balance - (Increase in Fund balance is recorded as a positive and a decrease in fund balance is recorded as a negative)</v>
      </c>
      <c r="D79" s="144"/>
      <c r="E79" s="361">
        <f>'Unit Data from Audit Worksheet'!F87</f>
        <v>0</v>
      </c>
      <c r="F79" s="354">
        <f>IF(+L70-L72+L73-L74+L75+L76-L77+L78-L79=0,,"Error:Total revenues less toal Expenditures do not equal change in fund balance")</f>
        <v>0</v>
      </c>
      <c r="G79" s="91">
        <f>+L70-L72+L73-L74+L75+L78+L76-L77-L79</f>
        <v>0</v>
      </c>
      <c r="H79" s="353">
        <f>'Unit Data from Audit Worksheet'!I87</f>
        <v>0</v>
      </c>
      <c r="I79" s="38"/>
      <c r="J79" s="352">
        <v>23</v>
      </c>
      <c r="K79" s="351" t="s">
        <v>215</v>
      </c>
      <c r="L79" s="589">
        <f t="shared" si="9"/>
        <v>0</v>
      </c>
      <c r="P79" s="323"/>
      <c r="Q79" s="579">
        <f>IF(G79&lt;&gt;0,1,0)</f>
        <v>0</v>
      </c>
      <c r="W79" s="3" t="b">
        <f t="shared" si="10"/>
        <v>1</v>
      </c>
      <c r="X79" s="586">
        <f t="shared" si="1"/>
        <v>0</v>
      </c>
      <c r="Y79" s="586">
        <f t="shared" si="2"/>
        <v>0</v>
      </c>
    </row>
    <row r="80" spans="1:27" ht="123" customHeight="1" x14ac:dyDescent="0.3">
      <c r="A80" s="601">
        <f>'Unit Data from Audit Worksheet'!A89</f>
        <v>507</v>
      </c>
      <c r="B80" s="117" t="str">
        <f>'Unit Data from Audit Worksheet'!C89</f>
        <v>General Fund-Rev, Exp. Change in Fund Balance</v>
      </c>
      <c r="C80" s="333" t="str">
        <f>'Unit Data from Audit Worksheet'!D89</f>
        <v>Any adjustment to beginning fund balance including rounding, prior period adjustments and restatements.   (Amounts that increase fund balance are recorded as positive and amounts that decrease fund balance are recorded as negative)</v>
      </c>
      <c r="D80" s="110"/>
      <c r="E80" s="155">
        <f>'Unit Data from Audit Worksheet'!F89</f>
        <v>0</v>
      </c>
      <c r="F80" s="111" t="e">
        <f>IF(+L65-L79-L80=O65,,"Error: Beginning Fund Bal does not equal our records Accts 9-23-507= PY9")</f>
        <v>#N/A</v>
      </c>
      <c r="G80" s="122" t="e">
        <f>L65-L79-L80-O65</f>
        <v>#N/A</v>
      </c>
      <c r="H80" s="113" t="str">
        <f>'Unit Data from Audit Worksheet'!I89</f>
        <v>Please do not enter prior's years beginning balance as an adjustment in column F.</v>
      </c>
      <c r="I80" s="38"/>
      <c r="J80" s="105">
        <v>507</v>
      </c>
      <c r="K80" s="44" t="s">
        <v>216</v>
      </c>
      <c r="L80" s="589">
        <f t="shared" si="9"/>
        <v>0</v>
      </c>
      <c r="N80" s="598"/>
      <c r="O80" s="597"/>
      <c r="P80" s="324"/>
      <c r="Q80" s="579" t="e">
        <f>IF(G80&lt;&gt;0,1,0)</f>
        <v>#N/A</v>
      </c>
      <c r="W80" s="3" t="b">
        <f t="shared" si="10"/>
        <v>1</v>
      </c>
      <c r="X80" s="586">
        <f t="shared" si="1"/>
        <v>0</v>
      </c>
      <c r="Y80" s="586">
        <f t="shared" si="2"/>
        <v>0</v>
      </c>
    </row>
    <row r="81" spans="1:26" ht="123" customHeight="1" x14ac:dyDescent="0.3">
      <c r="A81" s="601">
        <f>'Unit Data from Audit Worksheet'!A90</f>
        <v>147</v>
      </c>
      <c r="B81" s="117" t="str">
        <f>'Unit Data from Audit Worksheet'!C90</f>
        <v>General Fund-Rev, Exp. Change in Fund Balance or General Fund Budget Actual</v>
      </c>
      <c r="C81" s="333" t="str">
        <f>'Unit Data from Audit Worksheet'!D90</f>
        <v>Local Current Expense sent to Boards of Education (some units present this information in the detailed general fund statements after the notes)
Exclude: amounts for community colleges and 
                  supplemental taxes
Include: amounts spent on resource officers, 
                  nurses and Timber receipts</v>
      </c>
      <c r="D81" s="364"/>
      <c r="E81" s="155">
        <f>'Unit Data from Audit Worksheet'!F90</f>
        <v>0</v>
      </c>
      <c r="F81" s="357"/>
      <c r="G81" s="365"/>
      <c r="H81" s="357"/>
      <c r="I81" s="38"/>
      <c r="J81" s="366">
        <v>147</v>
      </c>
      <c r="K81" s="358" t="s">
        <v>372</v>
      </c>
      <c r="L81" s="589">
        <f t="shared" si="9"/>
        <v>0</v>
      </c>
      <c r="N81" s="598"/>
      <c r="O81" s="597"/>
      <c r="P81" s="332"/>
      <c r="W81" s="3" t="b">
        <f t="shared" si="10"/>
        <v>1</v>
      </c>
      <c r="X81" s="586"/>
      <c r="Y81" s="586"/>
    </row>
    <row r="82" spans="1:26" ht="123" customHeight="1" x14ac:dyDescent="0.3">
      <c r="A82" s="601">
        <f>'Unit Data from Audit Worksheet'!A91</f>
        <v>585</v>
      </c>
      <c r="B82" s="117" t="str">
        <f>'Unit Data from Audit Worksheet'!C91</f>
        <v>General Fund-Rev, Exp. Change in Fund Balance or General Fund Budget Actual</v>
      </c>
      <c r="C82" s="591" t="str">
        <f>'Unit Data from Audit Worksheet'!D91</f>
        <v xml:space="preserve">How much of the above number in account 147 is from Timber Receipts sent to the schools </v>
      </c>
      <c r="D82" s="364"/>
      <c r="E82" s="155">
        <f>'Unit Data from Audit Worksheet'!F91</f>
        <v>0</v>
      </c>
      <c r="F82" s="357"/>
      <c r="G82" s="365"/>
      <c r="H82" s="357"/>
      <c r="I82" s="38"/>
      <c r="J82" s="366">
        <v>585</v>
      </c>
      <c r="K82" s="369" t="s">
        <v>661</v>
      </c>
      <c r="L82" s="589">
        <f t="shared" si="9"/>
        <v>0</v>
      </c>
      <c r="N82" s="598"/>
      <c r="O82" s="597"/>
      <c r="P82" s="332"/>
      <c r="W82" s="3" t="b">
        <f t="shared" si="10"/>
        <v>1</v>
      </c>
      <c r="X82" s="586"/>
      <c r="Y82" s="586"/>
    </row>
    <row r="83" spans="1:26" ht="123" customHeight="1" x14ac:dyDescent="0.3">
      <c r="A83" s="601">
        <f>'Unit Data from Audit Worksheet'!A92</f>
        <v>546</v>
      </c>
      <c r="B83" s="117" t="str">
        <f>'Unit Data from Audit Worksheet'!C92</f>
        <v>General Fund-Rev, Exp. Change in Fund Balance or General Fund Budget Actual</v>
      </c>
      <c r="C83" s="591" t="str">
        <f>'Unit Data from Audit Worksheet'!D92</f>
        <v>Amount of Supplemental School Tax revenue recorded in the governmental funds.</v>
      </c>
      <c r="D83" s="364"/>
      <c r="E83" s="155">
        <f>'Unit Data from Audit Worksheet'!F92</f>
        <v>0</v>
      </c>
      <c r="F83" s="357"/>
      <c r="G83" s="365"/>
      <c r="H83" s="357"/>
      <c r="I83" s="38"/>
      <c r="J83" s="366">
        <v>546</v>
      </c>
      <c r="K83" s="369" t="s">
        <v>850</v>
      </c>
      <c r="L83" s="589">
        <f t="shared" si="9"/>
        <v>0</v>
      </c>
      <c r="N83" s="598"/>
      <c r="O83" s="597"/>
      <c r="P83" s="332"/>
      <c r="W83" s="3" t="b">
        <f t="shared" si="10"/>
        <v>1</v>
      </c>
      <c r="X83" s="586"/>
      <c r="Y83" s="586"/>
    </row>
    <row r="84" spans="1:26" ht="123" customHeight="1" x14ac:dyDescent="0.3">
      <c r="A84" s="601">
        <f>'Unit Data from Audit Worksheet'!A93</f>
        <v>589</v>
      </c>
      <c r="B84" s="117" t="str">
        <f>'Unit Data from Audit Worksheet'!C93</f>
        <v>General Fund-Rev, Exp. Change in Fund Balance or General Fund Budget Actual</v>
      </c>
      <c r="C84" s="591" t="str">
        <f>'Unit Data from Audit Worksheet'!D93</f>
        <v>Amount of Supplemental School Tax revenue recorded in agency funds.</v>
      </c>
      <c r="D84" s="364"/>
      <c r="E84" s="155">
        <f>'Unit Data from Audit Worksheet'!F93</f>
        <v>0</v>
      </c>
      <c r="F84" s="357"/>
      <c r="G84" s="365"/>
      <c r="H84" s="357"/>
      <c r="I84" s="38"/>
      <c r="J84" s="366">
        <v>589</v>
      </c>
      <c r="K84" s="124" t="s">
        <v>1287</v>
      </c>
      <c r="L84" s="589">
        <f t="shared" si="9"/>
        <v>0</v>
      </c>
      <c r="N84" s="598"/>
      <c r="O84" s="597"/>
      <c r="P84" s="332"/>
      <c r="W84" s="3" t="b">
        <f t="shared" si="10"/>
        <v>1</v>
      </c>
      <c r="X84" s="586"/>
      <c r="Y84" s="586"/>
    </row>
    <row r="85" spans="1:26" ht="123" customHeight="1" x14ac:dyDescent="0.3">
      <c r="A85" s="601">
        <f>'Unit Data from Audit Worksheet'!A94</f>
        <v>149</v>
      </c>
      <c r="B85" s="117" t="str">
        <f>'Unit Data from Audit Worksheet'!C94</f>
        <v>General Fund-Rev, Exp. Change in Fund Balance or General Fund Budget Actual</v>
      </c>
      <c r="C85" s="591" t="str">
        <f>'Unit Data from Audit Worksheet'!D94</f>
        <v>Local Current Expense Revenue from the County (Enter as a positive) 
Exclude: supplemental taxes
Include: Timber Receipts, amounts spent on 
                  resource officers and nurses, etc.  
                  Amount must agree with the amount
                  reported in the County Audit Report</v>
      </c>
      <c r="D85" s="364"/>
      <c r="E85" s="155">
        <f>'Unit Data from Audit Worksheet'!F94</f>
        <v>0</v>
      </c>
      <c r="F85" s="357"/>
      <c r="G85" s="365"/>
      <c r="H85" s="357"/>
      <c r="I85" s="38"/>
      <c r="J85" s="366">
        <v>149</v>
      </c>
      <c r="K85" s="258" t="s">
        <v>376</v>
      </c>
      <c r="L85" s="589">
        <f t="shared" si="9"/>
        <v>0</v>
      </c>
      <c r="N85" s="598"/>
      <c r="O85" s="597"/>
      <c r="P85" s="332"/>
      <c r="W85" s="3" t="b">
        <f t="shared" si="10"/>
        <v>1</v>
      </c>
      <c r="X85" s="586"/>
      <c r="Y85" s="586"/>
      <c r="Z85" s="3" t="s">
        <v>1364</v>
      </c>
    </row>
    <row r="86" spans="1:26" ht="123" customHeight="1" x14ac:dyDescent="0.3">
      <c r="A86" s="601">
        <f>'Unit Data from Audit Worksheet'!A95</f>
        <v>150</v>
      </c>
      <c r="B86" s="117" t="str">
        <f>'Unit Data from Audit Worksheet'!C95</f>
        <v>General Fund-Rev, Exp. Change in Fund Balance or General Fund Budget Actual</v>
      </c>
      <c r="C86" s="591" t="str">
        <f>'Unit Data from Audit Worksheet'!D95</f>
        <v xml:space="preserve">Capital Outlay revenue from the County and budgeted by the County as Capital Outlay reported in the School Capital Outlay fund or the local current expense fund.  (capitalization policies might be different between the Schools and County)
</v>
      </c>
      <c r="D86" s="364"/>
      <c r="E86" s="155">
        <f>'Unit Data from Audit Worksheet'!F95</f>
        <v>0</v>
      </c>
      <c r="F86" s="357"/>
      <c r="G86" s="365"/>
      <c r="H86" s="357"/>
      <c r="I86" s="38"/>
      <c r="J86" s="366">
        <v>150</v>
      </c>
      <c r="K86" s="258" t="s">
        <v>850</v>
      </c>
      <c r="L86" s="589">
        <f t="shared" si="9"/>
        <v>0</v>
      </c>
      <c r="N86" s="598"/>
      <c r="O86" s="597"/>
      <c r="P86" s="332"/>
      <c r="W86" s="3" t="b">
        <f t="shared" si="10"/>
        <v>1</v>
      </c>
      <c r="X86" s="586"/>
      <c r="Y86" s="586"/>
      <c r="Z86" s="3" t="s">
        <v>1364</v>
      </c>
    </row>
    <row r="87" spans="1:26" ht="123" customHeight="1" x14ac:dyDescent="0.3">
      <c r="A87" s="601">
        <f>'Unit Data from Audit Worksheet'!A96</f>
        <v>587</v>
      </c>
      <c r="B87" s="117" t="str">
        <f>'Unit Data from Audit Worksheet'!C96</f>
        <v xml:space="preserve">Fund 8 Rev, Exp. Change in Fund Balance Rpt. </v>
      </c>
      <c r="C87" s="591" t="str">
        <f>'Unit Data from Audit Worksheet'!D96</f>
        <v>Amount of Local Current Expense Funds received from the County transferred to Fund 8 this year.</v>
      </c>
      <c r="D87" s="364"/>
      <c r="E87" s="155">
        <f>'Unit Data from Audit Worksheet'!F96</f>
        <v>0</v>
      </c>
      <c r="F87" s="357"/>
      <c r="G87" s="365"/>
      <c r="H87" s="357"/>
      <c r="I87" s="38"/>
      <c r="J87" s="366">
        <v>587</v>
      </c>
      <c r="K87" s="258" t="s">
        <v>665</v>
      </c>
      <c r="L87" s="589">
        <f t="shared" si="9"/>
        <v>0</v>
      </c>
      <c r="N87" s="598"/>
      <c r="O87" s="597"/>
      <c r="P87" s="332"/>
      <c r="W87" s="3" t="b">
        <f t="shared" si="10"/>
        <v>1</v>
      </c>
      <c r="X87" s="586"/>
      <c r="Y87" s="586"/>
      <c r="Z87" s="3" t="s">
        <v>1364</v>
      </c>
    </row>
    <row r="88" spans="1:26" ht="123" customHeight="1" x14ac:dyDescent="0.3">
      <c r="A88" s="601">
        <f>'Unit Data from Audit Worksheet'!A97</f>
        <v>588</v>
      </c>
      <c r="B88" s="117" t="str">
        <f>'Unit Data from Audit Worksheet'!C97</f>
        <v xml:space="preserve">Fund 8 Rev, Exp. Change in Fund Balance Rpt. </v>
      </c>
      <c r="C88" s="591" t="str">
        <f>'Unit Data from Audit Worksheet'!D97</f>
        <v>Amount of Capital Outlay Funds received from the County transferred to Fund 8 this year.</v>
      </c>
      <c r="D88" s="364"/>
      <c r="E88" s="155">
        <f>'Unit Data from Audit Worksheet'!F97</f>
        <v>0</v>
      </c>
      <c r="F88" s="357"/>
      <c r="G88" s="365"/>
      <c r="H88" s="357"/>
      <c r="I88" s="38"/>
      <c r="J88" s="366">
        <v>588</v>
      </c>
      <c r="K88" s="258" t="s">
        <v>667</v>
      </c>
      <c r="L88" s="589">
        <f t="shared" si="9"/>
        <v>0</v>
      </c>
      <c r="N88" s="598"/>
      <c r="O88" s="597"/>
      <c r="P88" s="332"/>
      <c r="W88" s="3" t="b">
        <f t="shared" si="10"/>
        <v>1</v>
      </c>
      <c r="X88" s="586"/>
      <c r="Y88" s="586"/>
      <c r="Z88" s="3" t="s">
        <v>1364</v>
      </c>
    </row>
    <row r="89" spans="1:26" s="18" customFormat="1" ht="40.5" customHeight="1" x14ac:dyDescent="0.3">
      <c r="A89" s="312">
        <f>'Unit Data from Audit Worksheet'!A98</f>
        <v>647</v>
      </c>
      <c r="B89" s="368" t="str">
        <f>'Unit Data from Audit Worksheet'!C98</f>
        <v>Debt Service Fund</v>
      </c>
      <c r="C89" s="312" t="str">
        <f>'Unit Data from Audit Worksheet'!D98</f>
        <v>Please enter the Total Fund Balance for any Debt Service Funds</v>
      </c>
      <c r="D89" s="116"/>
      <c r="E89" s="367">
        <f>'Unit Data from Audit Worksheet'!F98</f>
        <v>0</v>
      </c>
      <c r="F89" s="349"/>
      <c r="G89" s="344"/>
      <c r="H89" s="349">
        <f>'Unit Data from Audit Worksheet'!I98</f>
        <v>0</v>
      </c>
      <c r="I89" s="602"/>
      <c r="J89" s="348">
        <v>647</v>
      </c>
      <c r="K89" s="315" t="s">
        <v>1576</v>
      </c>
      <c r="L89" s="603">
        <f>IF(D89="",E89,D89)</f>
        <v>0</v>
      </c>
      <c r="M89" s="593"/>
      <c r="N89" s="593"/>
      <c r="O89" s="609"/>
      <c r="P89" s="325"/>
      <c r="Q89" s="594"/>
      <c r="R89" s="3"/>
      <c r="S89" s="593"/>
      <c r="T89" s="593"/>
      <c r="U89" s="593"/>
      <c r="V89" s="593"/>
      <c r="W89" s="18" t="b">
        <f t="shared" si="10"/>
        <v>1</v>
      </c>
      <c r="X89" s="595">
        <f t="shared" si="1"/>
        <v>0</v>
      </c>
      <c r="Y89" s="595">
        <f t="shared" si="2"/>
        <v>0</v>
      </c>
    </row>
    <row r="90" spans="1:26" s="18" customFormat="1" ht="66" customHeight="1" x14ac:dyDescent="0.3">
      <c r="A90" s="312">
        <f>'Unit Data from Audit Worksheet'!A100</f>
        <v>148</v>
      </c>
      <c r="B90" s="368" t="str">
        <f>'Unit Data from Audit Worksheet'!C100</f>
        <v>All Gov. Funds Rev, Exp. Change in Fund Balance</v>
      </c>
      <c r="C90" s="347" t="str">
        <f>'Unit Data from Audit Worksheet'!D100</f>
        <v>Capital Outlay contributions to the BOEs (include amounts from general fund, capital project funds and any other fund sent to the BOE as part of capital outlay)</v>
      </c>
      <c r="D90" s="364"/>
      <c r="E90" s="367">
        <f>'Unit Data from Audit Worksheet'!F100</f>
        <v>0</v>
      </c>
      <c r="F90" s="357"/>
      <c r="G90" s="365"/>
      <c r="H90" s="357"/>
      <c r="I90" s="38"/>
      <c r="J90" s="366">
        <v>148</v>
      </c>
      <c r="K90" s="358" t="s">
        <v>374</v>
      </c>
      <c r="L90" s="589">
        <f t="shared" si="9"/>
        <v>0</v>
      </c>
      <c r="M90" s="610"/>
      <c r="N90" s="610"/>
      <c r="O90" s="611"/>
      <c r="P90" s="332"/>
      <c r="Q90" s="612"/>
      <c r="R90" s="3"/>
      <c r="S90" s="610"/>
      <c r="T90" s="610"/>
      <c r="U90" s="610"/>
      <c r="V90" s="610"/>
      <c r="W90" s="610" t="b">
        <f t="shared" si="10"/>
        <v>1</v>
      </c>
      <c r="X90" s="595"/>
      <c r="Y90" s="595"/>
    </row>
    <row r="91" spans="1:26" ht="60" customHeight="1" x14ac:dyDescent="0.3">
      <c r="A91" s="587">
        <f>'Unit Data from Audit Worksheet'!A101</f>
        <v>171</v>
      </c>
      <c r="B91" s="54" t="str">
        <f>'Unit Data from Audit Worksheet'!C101</f>
        <v>Fund Statements - all Governmental Funds</v>
      </c>
      <c r="C91" s="588" t="str">
        <f>'Unit Data from Audit Worksheet'!D101</f>
        <v>Debt service expenditures from all governmental funds.  Include principal, interest paid, and debt issuance costs on long-term debt.</v>
      </c>
      <c r="D91" s="360"/>
      <c r="E91" s="152">
        <f>'Unit Data from Audit Worksheet'!F101</f>
        <v>0</v>
      </c>
      <c r="F91" s="47">
        <f>IF(L91&lt;0,"Error: Enter as a positive.",)</f>
        <v>0</v>
      </c>
      <c r="G91" s="72"/>
      <c r="H91" s="353">
        <f>'Unit Data from Audit Worksheet'!I101</f>
        <v>0</v>
      </c>
      <c r="I91" s="38"/>
      <c r="J91" s="42">
        <v>171</v>
      </c>
      <c r="K91" s="51" t="s">
        <v>217</v>
      </c>
      <c r="L91" s="589">
        <f t="shared" si="9"/>
        <v>0</v>
      </c>
      <c r="P91" s="322"/>
      <c r="W91" s="3" t="b">
        <f t="shared" si="10"/>
        <v>1</v>
      </c>
      <c r="X91" s="586">
        <f t="shared" si="1"/>
        <v>0</v>
      </c>
      <c r="Y91" s="586">
        <f t="shared" si="2"/>
        <v>0</v>
      </c>
    </row>
    <row r="92" spans="1:26" s="729" customFormat="1" ht="60" customHeight="1" x14ac:dyDescent="0.3">
      <c r="A92" s="587">
        <f>'Unit Data from Audit Worksheet'!A103</f>
        <v>36</v>
      </c>
      <c r="B92" s="54" t="str">
        <f>'Unit Data from Audit Worksheet'!C103</f>
        <v>Net Position</v>
      </c>
      <c r="C92" s="588" t="str">
        <f>'Unit Data from Audit Worksheet'!D103</f>
        <v>Total Gross Capital Assets - without accumulated depreciation</v>
      </c>
      <c r="D92" s="360"/>
      <c r="E92" s="152">
        <f>'Unit Data from Audit Worksheet'!F103</f>
        <v>0</v>
      </c>
      <c r="F92" s="47"/>
      <c r="G92" s="72"/>
      <c r="H92" s="353"/>
      <c r="I92" s="731"/>
      <c r="J92" s="42">
        <v>36</v>
      </c>
      <c r="K92" s="51" t="s">
        <v>1421</v>
      </c>
      <c r="L92" s="589">
        <f t="shared" si="9"/>
        <v>0</v>
      </c>
      <c r="P92" s="322"/>
      <c r="Q92" s="579"/>
      <c r="W92" s="610" t="b">
        <f t="shared" si="10"/>
        <v>1</v>
      </c>
      <c r="X92" s="586"/>
      <c r="Y92" s="586"/>
    </row>
    <row r="93" spans="1:26" s="729" customFormat="1" ht="60" customHeight="1" x14ac:dyDescent="0.3">
      <c r="A93" s="587">
        <f>'Unit Data from Audit Worksheet'!A104</f>
        <v>534</v>
      </c>
      <c r="B93" s="54" t="str">
        <f>'Unit Data from Audit Worksheet'!C104</f>
        <v>Net Position</v>
      </c>
      <c r="C93" s="588" t="str">
        <f>'Unit Data from Audit Worksheet'!D104</f>
        <v>Combined Totals of all Proprietary Funds - Amount of Inventories and Prepaids in current assets</v>
      </c>
      <c r="D93" s="360"/>
      <c r="E93" s="152">
        <f>'Unit Data from Audit Worksheet'!F104</f>
        <v>0</v>
      </c>
      <c r="F93" s="47"/>
      <c r="G93" s="72"/>
      <c r="H93" s="353"/>
      <c r="I93" s="731"/>
      <c r="J93" s="42">
        <v>534</v>
      </c>
      <c r="K93" s="51" t="s">
        <v>275</v>
      </c>
      <c r="L93" s="589">
        <f t="shared" si="9"/>
        <v>0</v>
      </c>
      <c r="P93" s="322"/>
      <c r="Q93" s="579"/>
      <c r="W93" s="610" t="b">
        <f t="shared" si="10"/>
        <v>1</v>
      </c>
      <c r="X93" s="586"/>
      <c r="Y93" s="586"/>
    </row>
    <row r="94" spans="1:26" ht="60" customHeight="1" x14ac:dyDescent="0.3">
      <c r="A94" s="587">
        <f>'Unit Data from Audit Worksheet'!A105</f>
        <v>13</v>
      </c>
      <c r="B94" s="54" t="str">
        <f>'Unit Data from Audit Worksheet'!C105</f>
        <v>Combined Proprietary Funds - Net Position</v>
      </c>
      <c r="C94" s="588" t="str">
        <f>'Unit Data from Audit Worksheet'!D105</f>
        <v>Comb-Proprietary Funds-Current Assets 
Exclude: any restricted assets
                  deferred outflows</v>
      </c>
      <c r="D94" s="360"/>
      <c r="E94" s="152">
        <f>'Unit Data from Audit Worksheet'!F105</f>
        <v>0</v>
      </c>
      <c r="F94" s="47"/>
      <c r="G94" s="72"/>
      <c r="H94" s="353"/>
      <c r="I94" s="38"/>
      <c r="J94" s="42">
        <v>13</v>
      </c>
      <c r="K94" s="51" t="s">
        <v>1354</v>
      </c>
      <c r="L94" s="589">
        <f t="shared" si="9"/>
        <v>0</v>
      </c>
      <c r="P94" s="322"/>
      <c r="X94" s="586"/>
      <c r="Y94" s="586"/>
    </row>
    <row r="95" spans="1:26" ht="60" customHeight="1" x14ac:dyDescent="0.3">
      <c r="A95" s="587">
        <f>'Unit Data from Audit Worksheet'!A106</f>
        <v>14</v>
      </c>
      <c r="B95" s="54" t="str">
        <f>'Unit Data from Audit Worksheet'!C106</f>
        <v>Combined Proprietary Funds - Net Position</v>
      </c>
      <c r="C95" s="588" t="str">
        <f>'Unit Data from Audit Worksheet'!D106</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95" s="360"/>
      <c r="E95" s="152">
        <f>'Unit Data from Audit Worksheet'!F106</f>
        <v>0</v>
      </c>
      <c r="F95" s="47"/>
      <c r="G95" s="72"/>
      <c r="H95" s="353"/>
      <c r="I95" s="38"/>
      <c r="J95" s="42">
        <v>14</v>
      </c>
      <c r="K95" s="51" t="s">
        <v>1355</v>
      </c>
      <c r="L95" s="589">
        <f t="shared" si="9"/>
        <v>0</v>
      </c>
      <c r="P95" s="322"/>
      <c r="X95" s="586"/>
      <c r="Y95" s="586"/>
    </row>
    <row r="96" spans="1:26" s="729" customFormat="1" ht="60" customHeight="1" x14ac:dyDescent="0.3">
      <c r="A96" s="587">
        <f>'Unit Data from Audit Worksheet'!A107</f>
        <v>571</v>
      </c>
      <c r="B96" s="54" t="str">
        <f>'Unit Data from Audit Worksheet'!C107</f>
        <v>Statement of Net Position - combined totals from all Proprietary Funds</v>
      </c>
      <c r="C96" s="588" t="str">
        <f>'Unit Data from Audit Worksheet'!D107</f>
        <v>Mental Health Net Position - Net Investment in Capital Assets</v>
      </c>
      <c r="D96" s="360"/>
      <c r="E96" s="152">
        <f>'Unit Data from Audit Worksheet'!F107</f>
        <v>0</v>
      </c>
      <c r="F96" s="47"/>
      <c r="G96" s="72"/>
      <c r="H96" s="353"/>
      <c r="I96" s="731"/>
      <c r="J96" s="42">
        <v>571</v>
      </c>
      <c r="K96" s="51" t="s">
        <v>1392</v>
      </c>
      <c r="L96" s="589">
        <f t="shared" si="9"/>
        <v>0</v>
      </c>
      <c r="P96" s="322"/>
      <c r="Q96" s="579"/>
      <c r="X96" s="586"/>
      <c r="Y96" s="586"/>
    </row>
    <row r="97" spans="1:26" s="729" customFormat="1" ht="60" customHeight="1" x14ac:dyDescent="0.3">
      <c r="A97" s="587">
        <f>'Unit Data from Audit Worksheet'!A108</f>
        <v>572</v>
      </c>
      <c r="B97" s="54" t="str">
        <f>'Unit Data from Audit Worksheet'!C108</f>
        <v>Statement of Net Position - combined totals from all Proprietary Funds</v>
      </c>
      <c r="C97" s="588" t="str">
        <f>'Unit Data from Audit Worksheet'!D108</f>
        <v>Mental Health Net Position - Restricted Net Position</v>
      </c>
      <c r="D97" s="360"/>
      <c r="E97" s="152">
        <f>'Unit Data from Audit Worksheet'!F108</f>
        <v>0</v>
      </c>
      <c r="F97" s="47"/>
      <c r="G97" s="72"/>
      <c r="H97" s="353"/>
      <c r="I97" s="731"/>
      <c r="J97" s="42">
        <v>572</v>
      </c>
      <c r="K97" s="51" t="s">
        <v>1393</v>
      </c>
      <c r="L97" s="589">
        <f t="shared" si="9"/>
        <v>0</v>
      </c>
      <c r="P97" s="322"/>
      <c r="Q97" s="579"/>
      <c r="X97" s="586"/>
      <c r="Y97" s="586"/>
    </row>
    <row r="98" spans="1:26" s="729" customFormat="1" ht="60" customHeight="1" x14ac:dyDescent="0.3">
      <c r="A98" s="587">
        <f>'Unit Data from Audit Worksheet'!A109</f>
        <v>573</v>
      </c>
      <c r="B98" s="54" t="str">
        <f>'Unit Data from Audit Worksheet'!C109</f>
        <v>Statement of Net Position - combined totals from all Proprietary Funds</v>
      </c>
      <c r="C98" s="588" t="str">
        <f>'Unit Data from Audit Worksheet'!D109</f>
        <v>Mental Health Net Position - Unrestricted Net Position</v>
      </c>
      <c r="D98" s="360"/>
      <c r="E98" s="152">
        <f>'Unit Data from Audit Worksheet'!F109</f>
        <v>0</v>
      </c>
      <c r="F98" s="47"/>
      <c r="G98" s="72"/>
      <c r="H98" s="353"/>
      <c r="I98" s="731"/>
      <c r="J98" s="42">
        <v>573</v>
      </c>
      <c r="K98" s="51" t="s">
        <v>1551</v>
      </c>
      <c r="L98" s="589">
        <f t="shared" si="9"/>
        <v>0</v>
      </c>
      <c r="P98" s="322"/>
      <c r="Q98" s="579"/>
      <c r="X98" s="586"/>
      <c r="Y98" s="586"/>
    </row>
    <row r="99" spans="1:26" ht="60" customHeight="1" x14ac:dyDescent="0.3">
      <c r="A99" s="587">
        <f>'Unit Data from Audit Worksheet'!A110</f>
        <v>34</v>
      </c>
      <c r="B99" s="54" t="str">
        <f>'Unit Data from Audit Worksheet'!C110</f>
        <v>Net Position</v>
      </c>
      <c r="C99" s="588" t="str">
        <f>'Unit Data from Audit Worksheet'!D110</f>
        <v>Hospital-EF- Unrestricted Cash &amp; Invest. [Incl.all but Held by Trustee or 3rd party restricted](BS)</v>
      </c>
      <c r="D99" s="360"/>
      <c r="E99" s="152">
        <f>'Unit Data from Audit Worksheet'!F110</f>
        <v>0</v>
      </c>
      <c r="F99" s="47"/>
      <c r="G99" s="72"/>
      <c r="H99" s="353"/>
      <c r="I99" s="38"/>
      <c r="J99" s="42">
        <v>34</v>
      </c>
      <c r="K99" s="51" t="s">
        <v>1367</v>
      </c>
      <c r="L99" s="589">
        <f t="shared" si="9"/>
        <v>0</v>
      </c>
      <c r="P99" s="322"/>
      <c r="X99" s="586"/>
      <c r="Y99" s="586"/>
      <c r="Z99" s="3" t="s">
        <v>1365</v>
      </c>
    </row>
    <row r="100" spans="1:26" ht="60" customHeight="1" x14ac:dyDescent="0.3">
      <c r="A100" s="587">
        <f>'Unit Data from Audit Worksheet'!A111</f>
        <v>35</v>
      </c>
      <c r="B100" s="54" t="str">
        <f>'Unit Data from Audit Worksheet'!C111</f>
        <v>Net Position</v>
      </c>
      <c r="C100" s="588" t="str">
        <f>'Unit Data from Audit Worksheet'!D111</f>
        <v>Mental Health or Hospital-EF- Patient Accounts Receivable, Net of Allowance for Bad Debt</v>
      </c>
      <c r="D100" s="360"/>
      <c r="E100" s="152">
        <f>'Unit Data from Audit Worksheet'!F111</f>
        <v>0</v>
      </c>
      <c r="F100" s="47"/>
      <c r="G100" s="72"/>
      <c r="H100" s="353"/>
      <c r="I100" s="38"/>
      <c r="J100" s="42">
        <v>35</v>
      </c>
      <c r="K100" s="51" t="s">
        <v>1368</v>
      </c>
      <c r="L100" s="589">
        <f t="shared" si="9"/>
        <v>0</v>
      </c>
      <c r="P100" s="322"/>
      <c r="X100" s="586"/>
      <c r="Y100" s="586"/>
      <c r="Z100" s="3" t="s">
        <v>1365</v>
      </c>
    </row>
    <row r="101" spans="1:26" ht="60" customHeight="1" x14ac:dyDescent="0.3">
      <c r="A101" s="587">
        <f>'Unit Data from Audit Worksheet'!A112</f>
        <v>37</v>
      </c>
      <c r="B101" s="54" t="str">
        <f>'Unit Data from Audit Worksheet'!C112</f>
        <v>Net Position</v>
      </c>
      <c r="C101" s="588" t="str">
        <f>'Unit Data from Audit Worksheet'!D112</f>
        <v>Total Long-term debt (non current portion only) - enter as a positive</v>
      </c>
      <c r="D101" s="360"/>
      <c r="E101" s="152">
        <f>'Unit Data from Audit Worksheet'!F112</f>
        <v>0</v>
      </c>
      <c r="F101" s="47"/>
      <c r="G101" s="72"/>
      <c r="H101" s="353"/>
      <c r="I101" s="38"/>
      <c r="J101" s="42">
        <v>37</v>
      </c>
      <c r="K101" s="51" t="s">
        <v>1378</v>
      </c>
      <c r="L101" s="589">
        <f t="shared" si="9"/>
        <v>0</v>
      </c>
      <c r="P101" s="322"/>
      <c r="X101" s="586"/>
      <c r="Y101" s="586"/>
      <c r="Z101" s="3" t="s">
        <v>1365</v>
      </c>
    </row>
    <row r="102" spans="1:26" ht="60" customHeight="1" x14ac:dyDescent="0.3">
      <c r="A102" s="587">
        <f>'Unit Data from Audit Worksheet'!A113</f>
        <v>38</v>
      </c>
      <c r="B102" s="54" t="str">
        <f>'Unit Data from Audit Worksheet'!C113</f>
        <v>Net Position</v>
      </c>
      <c r="C102" s="588" t="str">
        <f>'Unit Data from Audit Worksheet'!D113</f>
        <v>Unrestricted fund equity or net position</v>
      </c>
      <c r="D102" s="360"/>
      <c r="E102" s="152">
        <f>'Unit Data from Audit Worksheet'!F113</f>
        <v>0</v>
      </c>
      <c r="F102" s="47"/>
      <c r="G102" s="72"/>
      <c r="H102" s="353"/>
      <c r="I102" s="38"/>
      <c r="J102" s="42">
        <v>38</v>
      </c>
      <c r="K102" s="51" t="s">
        <v>1369</v>
      </c>
      <c r="L102" s="589">
        <f t="shared" si="9"/>
        <v>0</v>
      </c>
      <c r="P102" s="322"/>
      <c r="X102" s="586"/>
      <c r="Y102" s="586"/>
      <c r="Z102" s="3" t="s">
        <v>1365</v>
      </c>
    </row>
    <row r="103" spans="1:26" ht="60" customHeight="1" x14ac:dyDescent="0.3">
      <c r="A103" s="587">
        <f>'Unit Data from Audit Worksheet'!A114</f>
        <v>32</v>
      </c>
      <c r="B103" s="54" t="str">
        <f>'Unit Data from Audit Worksheet'!C114</f>
        <v>Combined Totals of all Proprietary Funds - Revenue, Expenses, Changes in Net Position</v>
      </c>
      <c r="C103" s="588" t="str">
        <f>'Unit Data from Audit Worksheet'!D114</f>
        <v>Combined Totals of all proprietary Funds - Depreciation &amp; Amortization Expense</v>
      </c>
      <c r="D103" s="360"/>
      <c r="E103" s="152">
        <f>'Unit Data from Audit Worksheet'!F114</f>
        <v>0</v>
      </c>
      <c r="F103" s="47"/>
      <c r="G103" s="72"/>
      <c r="H103" s="353"/>
      <c r="I103" s="38"/>
      <c r="J103" s="42">
        <v>32</v>
      </c>
      <c r="K103" s="51" t="s">
        <v>1357</v>
      </c>
      <c r="L103" s="589">
        <f t="shared" si="9"/>
        <v>0</v>
      </c>
      <c r="P103" s="322"/>
      <c r="X103" s="586"/>
      <c r="Y103" s="586"/>
      <c r="Z103" s="3" t="s">
        <v>1365</v>
      </c>
    </row>
    <row r="104" spans="1:26" ht="60" customHeight="1" x14ac:dyDescent="0.3">
      <c r="A104" s="587">
        <f>'Unit Data from Audit Worksheet'!A115</f>
        <v>40</v>
      </c>
      <c r="B104" s="54" t="str">
        <f>'Unit Data from Audit Worksheet'!C115</f>
        <v>Revenue, Expenses, Changes in Net Position</v>
      </c>
      <c r="C104" s="588" t="str">
        <f>'Unit Data from Audit Worksheet'!D115</f>
        <v>Net Patient Revenues</v>
      </c>
      <c r="D104" s="360"/>
      <c r="E104" s="152">
        <f>'Unit Data from Audit Worksheet'!F115</f>
        <v>0</v>
      </c>
      <c r="F104" s="47"/>
      <c r="G104" s="72"/>
      <c r="H104" s="353"/>
      <c r="I104" s="38"/>
      <c r="J104" s="42">
        <v>40</v>
      </c>
      <c r="K104" s="51" t="s">
        <v>1371</v>
      </c>
      <c r="L104" s="589">
        <f t="shared" si="9"/>
        <v>0</v>
      </c>
      <c r="P104" s="322"/>
      <c r="X104" s="586"/>
      <c r="Y104" s="586"/>
      <c r="Z104" s="3" t="s">
        <v>1365</v>
      </c>
    </row>
    <row r="105" spans="1:26" ht="60" customHeight="1" x14ac:dyDescent="0.3">
      <c r="A105" s="587">
        <f>'Unit Data from Audit Worksheet'!A116</f>
        <v>107</v>
      </c>
      <c r="B105" s="54" t="str">
        <f>'Unit Data from Audit Worksheet'!C116</f>
        <v>Revenue, Expenses, Changes in Net Position</v>
      </c>
      <c r="C105" s="588" t="str">
        <f>'Unit Data from Audit Worksheet'!D116</f>
        <v>Total Operating Revenues</v>
      </c>
      <c r="D105" s="360"/>
      <c r="E105" s="152">
        <f>'Unit Data from Audit Worksheet'!F116</f>
        <v>0</v>
      </c>
      <c r="F105" s="47"/>
      <c r="G105" s="72"/>
      <c r="H105" s="353"/>
      <c r="I105" s="38"/>
      <c r="J105" s="42">
        <v>107</v>
      </c>
      <c r="K105" s="51" t="s">
        <v>1372</v>
      </c>
      <c r="L105" s="589">
        <f t="shared" si="9"/>
        <v>0</v>
      </c>
      <c r="P105" s="322"/>
      <c r="X105" s="586"/>
      <c r="Y105" s="586"/>
      <c r="Z105" s="3" t="s">
        <v>1365</v>
      </c>
    </row>
    <row r="106" spans="1:26" ht="60" customHeight="1" x14ac:dyDescent="0.3">
      <c r="A106" s="587">
        <f>'Unit Data from Audit Worksheet'!A117</f>
        <v>108</v>
      </c>
      <c r="B106" s="54" t="str">
        <f>'Unit Data from Audit Worksheet'!C117</f>
        <v>Revenue, Expenses, Changes in Net Position</v>
      </c>
      <c r="C106" s="588" t="str">
        <f>'Unit Data from Audit Worksheet'!D117</f>
        <v>Total Operating Expenses. May include Interest Expense - Enter as a positive</v>
      </c>
      <c r="D106" s="360"/>
      <c r="E106" s="152">
        <f>'Unit Data from Audit Worksheet'!F117</f>
        <v>0</v>
      </c>
      <c r="F106" s="47"/>
      <c r="G106" s="72"/>
      <c r="H106" s="353"/>
      <c r="I106" s="38"/>
      <c r="J106" s="42">
        <v>108</v>
      </c>
      <c r="K106" s="51" t="s">
        <v>1379</v>
      </c>
      <c r="L106" s="589">
        <f t="shared" si="9"/>
        <v>0</v>
      </c>
      <c r="P106" s="322"/>
      <c r="X106" s="586"/>
      <c r="Y106" s="586"/>
      <c r="Z106" s="3" t="s">
        <v>1365</v>
      </c>
    </row>
    <row r="107" spans="1:26" ht="60" customHeight="1" x14ac:dyDescent="0.3">
      <c r="A107" s="587">
        <f>'Unit Data from Audit Worksheet'!A118</f>
        <v>41</v>
      </c>
      <c r="B107" s="54" t="str">
        <f>'Unit Data from Audit Worksheet'!C118</f>
        <v>Revenue, Expenses, Changes in Net Position</v>
      </c>
      <c r="C107" s="588" t="str">
        <f>'Unit Data from Audit Worksheet'!D118</f>
        <v xml:space="preserve">Interest Expense - Enter as a positive </v>
      </c>
      <c r="D107" s="360"/>
      <c r="E107" s="152">
        <f>'Unit Data from Audit Worksheet'!F118</f>
        <v>0</v>
      </c>
      <c r="F107" s="47"/>
      <c r="G107" s="72"/>
      <c r="H107" s="353"/>
      <c r="I107" s="38"/>
      <c r="J107" s="42">
        <v>41</v>
      </c>
      <c r="K107" s="51" t="s">
        <v>1380</v>
      </c>
      <c r="L107" s="589">
        <f t="shared" si="9"/>
        <v>0</v>
      </c>
      <c r="P107" s="322"/>
      <c r="X107" s="586"/>
      <c r="Y107" s="586"/>
      <c r="Z107" s="3" t="s">
        <v>1365</v>
      </c>
    </row>
    <row r="108" spans="1:26" ht="60" customHeight="1" x14ac:dyDescent="0.3">
      <c r="A108" s="587">
        <f>'Unit Data from Audit Worksheet'!A119</f>
        <v>194</v>
      </c>
      <c r="B108" s="54" t="str">
        <f>'Unit Data from Audit Worksheet'!C119</f>
        <v>Revenue, Expenses, Changes in Net Position</v>
      </c>
      <c r="C108" s="588" t="str">
        <f>'Unit Data from Audit Worksheet'!D119</f>
        <v xml:space="preserve">Capital Contributions </v>
      </c>
      <c r="D108" s="360"/>
      <c r="E108" s="152">
        <f>'Unit Data from Audit Worksheet'!F119</f>
        <v>0</v>
      </c>
      <c r="F108" s="47"/>
      <c r="G108" s="72"/>
      <c r="H108" s="353"/>
      <c r="I108" s="38"/>
      <c r="J108" s="42">
        <v>194</v>
      </c>
      <c r="K108" s="51" t="s">
        <v>1373</v>
      </c>
      <c r="L108" s="589">
        <f t="shared" si="9"/>
        <v>0</v>
      </c>
      <c r="P108" s="322"/>
      <c r="X108" s="586"/>
      <c r="Y108" s="586"/>
      <c r="Z108" s="3" t="s">
        <v>1365</v>
      </c>
    </row>
    <row r="109" spans="1:26" ht="60" customHeight="1" x14ac:dyDescent="0.3">
      <c r="A109" s="587">
        <f>'Unit Data from Audit Worksheet'!A120</f>
        <v>294</v>
      </c>
      <c r="B109" s="54" t="str">
        <f>'Unit Data from Audit Worksheet'!C120</f>
        <v>Revenue, Expenses, Changes in Net Position</v>
      </c>
      <c r="C109" s="588" t="str">
        <f>'Unit Data from Audit Worksheet'!D120</f>
        <v>Change in Net Position</v>
      </c>
      <c r="D109" s="360"/>
      <c r="E109" s="152">
        <f>'Unit Data from Audit Worksheet'!F120</f>
        <v>0</v>
      </c>
      <c r="F109" s="47"/>
      <c r="G109" s="72"/>
      <c r="H109" s="353"/>
      <c r="I109" s="38"/>
      <c r="J109" s="42">
        <v>294</v>
      </c>
      <c r="K109" s="51" t="s">
        <v>1374</v>
      </c>
      <c r="L109" s="589">
        <f t="shared" si="9"/>
        <v>0</v>
      </c>
      <c r="P109" s="322"/>
      <c r="X109" s="586"/>
      <c r="Y109" s="586"/>
      <c r="Z109" s="3" t="s">
        <v>1365</v>
      </c>
    </row>
    <row r="110" spans="1:26" ht="81.599999999999994" customHeight="1" x14ac:dyDescent="0.3">
      <c r="A110" s="587">
        <f>'Unit Data from Audit Worksheet'!A123</f>
        <v>31</v>
      </c>
      <c r="B110" s="54" t="str">
        <f>'Unit Data from Audit Worksheet'!C123</f>
        <v>Combined Totals of all Proprietary Funds - Revenue, Expenses, Changes in Net Position</v>
      </c>
      <c r="C110" s="588" t="str">
        <f>'Unit Data from Audit Worksheet'!D123</f>
        <v>Combined Totals of all Proprietary Funds - Change in net position - (increase in net position is recorded as a positive and a decrease in net position is recorded as a negative)</v>
      </c>
      <c r="D110" s="360"/>
      <c r="E110" s="152">
        <f>'Unit Data from Audit Worksheet'!F123</f>
        <v>0</v>
      </c>
      <c r="F110" s="47"/>
      <c r="G110" s="72"/>
      <c r="H110" s="353"/>
      <c r="I110" s="38"/>
      <c r="J110" s="42">
        <v>31</v>
      </c>
      <c r="K110" s="51" t="s">
        <v>1358</v>
      </c>
      <c r="L110" s="589">
        <f t="shared" si="9"/>
        <v>0</v>
      </c>
      <c r="P110" s="322"/>
      <c r="X110" s="586"/>
      <c r="Y110" s="586"/>
    </row>
    <row r="111" spans="1:26" ht="60" customHeight="1" x14ac:dyDescent="0.3">
      <c r="A111" s="587">
        <f>'Unit Data from Audit Worksheet'!A124</f>
        <v>193</v>
      </c>
      <c r="B111" s="54" t="str">
        <f>'Unit Data from Audit Worksheet'!C124</f>
        <v>Combined Proprietary Funds - Change in Cash Flow Statement</v>
      </c>
      <c r="C111" s="588" t="str">
        <f>'Unit Data from Audit Worksheet'!D124</f>
        <v>Combined Totals of all Proprietary Funds - Capital Contributions</v>
      </c>
      <c r="D111" s="360"/>
      <c r="E111" s="152">
        <f>'Unit Data from Audit Worksheet'!F124</f>
        <v>0</v>
      </c>
      <c r="F111" s="47"/>
      <c r="G111" s="72"/>
      <c r="H111" s="353"/>
      <c r="I111" s="38"/>
      <c r="J111" s="42">
        <v>193</v>
      </c>
      <c r="K111" s="51" t="s">
        <v>383</v>
      </c>
      <c r="L111" s="589">
        <f t="shared" si="9"/>
        <v>0</v>
      </c>
      <c r="P111" s="322"/>
      <c r="X111" s="586"/>
      <c r="Y111" s="586"/>
    </row>
    <row r="112" spans="1:26" ht="60" customHeight="1" x14ac:dyDescent="0.3">
      <c r="A112" s="587">
        <f>'Unit Data from Audit Worksheet'!A125</f>
        <v>33</v>
      </c>
      <c r="B112" s="54" t="str">
        <f>'Unit Data from Audit Worksheet'!C125</f>
        <v>Combined Proprietary Funds - Change in Cash Flow Statement</v>
      </c>
      <c r="C112" s="588" t="str">
        <f>'Unit Data from Audit Worksheet'!D125</f>
        <v>Combined Totals of all Proprietary Funds - Cash Flow from Operating</v>
      </c>
      <c r="D112" s="360"/>
      <c r="E112" s="152">
        <f>'Unit Data from Audit Worksheet'!F125</f>
        <v>0</v>
      </c>
      <c r="F112" s="47"/>
      <c r="G112" s="72"/>
      <c r="H112" s="353"/>
      <c r="I112" s="38"/>
      <c r="J112" s="42">
        <v>33</v>
      </c>
      <c r="K112" s="51" t="s">
        <v>318</v>
      </c>
      <c r="L112" s="589">
        <f t="shared" si="9"/>
        <v>0</v>
      </c>
      <c r="P112" s="322"/>
      <c r="X112" s="586"/>
      <c r="Y112" s="586"/>
    </row>
    <row r="113" spans="1:26" ht="60" customHeight="1" x14ac:dyDescent="0.3">
      <c r="A113" s="587">
        <f>'Unit Data from Audit Worksheet'!A126</f>
        <v>104</v>
      </c>
      <c r="B113" s="54" t="str">
        <f>'Unit Data from Audit Worksheet'!C126</f>
        <v>Cash Flows</v>
      </c>
      <c r="C113" s="588" t="str">
        <f>'Unit Data from Audit Worksheet'!D126</f>
        <v>Capital Outlays</v>
      </c>
      <c r="D113" s="144"/>
      <c r="E113" s="152">
        <f>'Unit Data from Audit Worksheet'!F126</f>
        <v>0</v>
      </c>
      <c r="F113" s="47"/>
      <c r="G113" s="72"/>
      <c r="H113" s="353"/>
      <c r="I113" s="38"/>
      <c r="J113" s="42">
        <v>104</v>
      </c>
      <c r="K113" s="51" t="s">
        <v>1376</v>
      </c>
      <c r="L113" s="589">
        <f t="shared" si="9"/>
        <v>0</v>
      </c>
      <c r="P113" s="322"/>
      <c r="X113" s="586"/>
      <c r="Y113" s="586"/>
      <c r="Z113" s="3" t="s">
        <v>1365</v>
      </c>
    </row>
    <row r="114" spans="1:26" ht="60" customHeight="1" x14ac:dyDescent="0.3">
      <c r="A114" s="587">
        <f>'Unit Data from Audit Worksheet'!A127</f>
        <v>39</v>
      </c>
      <c r="B114" s="54" t="str">
        <f>'Unit Data from Audit Worksheet'!C127</f>
        <v>Cash Flows</v>
      </c>
      <c r="C114" s="588" t="str">
        <f>'Unit Data from Audit Worksheet'!D127</f>
        <v>Principal Paid - Long-term Debt</v>
      </c>
      <c r="D114" s="144"/>
      <c r="E114" s="152">
        <f>'Unit Data from Audit Worksheet'!F127</f>
        <v>0</v>
      </c>
      <c r="F114" s="47"/>
      <c r="G114" s="72"/>
      <c r="H114" s="353"/>
      <c r="I114" s="38"/>
      <c r="J114" s="42">
        <v>39</v>
      </c>
      <c r="K114" s="51" t="s">
        <v>1377</v>
      </c>
      <c r="L114" s="589">
        <f t="shared" si="9"/>
        <v>0</v>
      </c>
      <c r="P114" s="322"/>
      <c r="X114" s="586"/>
      <c r="Y114" s="586"/>
      <c r="Z114" s="3" t="s">
        <v>1365</v>
      </c>
    </row>
    <row r="115" spans="1:26" ht="60" customHeight="1" x14ac:dyDescent="0.3">
      <c r="A115" s="341">
        <f>'Unit Data from Audit Worksheet'!A131</f>
        <v>596</v>
      </c>
      <c r="B115" s="355"/>
      <c r="C115" s="340" t="str">
        <f>'Unit Data from Audit Worksheet'!D131</f>
        <v>Indicate if your water/sewer system:
50 - Became Operational
51 - Ceased Operations
52 - No Change</v>
      </c>
      <c r="D115" s="144"/>
      <c r="E115" s="361">
        <f>'Unit Data from Audit Worksheet'!F131</f>
        <v>0</v>
      </c>
      <c r="F115" s="354"/>
      <c r="G115" s="354"/>
      <c r="H115" s="353">
        <f>'Unit Data from Audit Worksheet'!I131</f>
        <v>0</v>
      </c>
      <c r="I115" s="38"/>
      <c r="J115" s="352">
        <v>596</v>
      </c>
      <c r="K115" s="351" t="s">
        <v>617</v>
      </c>
      <c r="L115" s="589">
        <f t="shared" si="9"/>
        <v>0</v>
      </c>
      <c r="P115" s="323"/>
      <c r="W115" s="3" t="b">
        <f t="shared" si="10"/>
        <v>1</v>
      </c>
      <c r="X115" s="586">
        <f t="shared" si="1"/>
        <v>0</v>
      </c>
      <c r="Y115" s="586">
        <f t="shared" si="2"/>
        <v>0</v>
      </c>
    </row>
    <row r="116" spans="1:26" ht="43.2" x14ac:dyDescent="0.3">
      <c r="A116" s="341">
        <f>'Unit Data from Audit Worksheet'!A132</f>
        <v>80</v>
      </c>
      <c r="B116" s="355" t="str">
        <f>'Unit Data from Audit Worksheet'!C132</f>
        <v>Water Sewer Net Position Statement</v>
      </c>
      <c r="C116" s="340" t="str">
        <f>'Unit Data from Audit Worksheet'!D132</f>
        <v>Unrestricted Cash and investments 
Exclude restricted cash and/or restricted investments.</v>
      </c>
      <c r="D116" s="144"/>
      <c r="E116" s="361">
        <f>'Unit Data from Audit Worksheet'!F132</f>
        <v>0</v>
      </c>
      <c r="F116" s="354">
        <f>IF(L116&lt;0,"Error: Number is normally positive.",)</f>
        <v>0</v>
      </c>
      <c r="G116" s="354" t="e">
        <f>'Unit Data from Audit Worksheet'!G132</f>
        <v>#N/A</v>
      </c>
      <c r="H116" s="353">
        <f>'Unit Data from Audit Worksheet'!I132</f>
        <v>0</v>
      </c>
      <c r="I116" s="38"/>
      <c r="J116" s="352">
        <v>80</v>
      </c>
      <c r="K116" s="351" t="s">
        <v>218</v>
      </c>
      <c r="L116" s="589">
        <f t="shared" si="9"/>
        <v>0</v>
      </c>
      <c r="P116" s="323"/>
      <c r="W116" s="3" t="b">
        <f t="shared" si="10"/>
        <v>1</v>
      </c>
      <c r="X116" s="586">
        <f t="shared" si="1"/>
        <v>0</v>
      </c>
      <c r="Y116" s="586">
        <f t="shared" si="2"/>
        <v>0</v>
      </c>
    </row>
    <row r="117" spans="1:26" ht="43.2" x14ac:dyDescent="0.3">
      <c r="A117" s="341">
        <f>'Unit Data from Audit Worksheet'!A133</f>
        <v>81</v>
      </c>
      <c r="B117" s="355" t="str">
        <f>'Unit Data from Audit Worksheet'!C133</f>
        <v>Water Sewer Net Position Statement</v>
      </c>
      <c r="C117" s="340" t="str">
        <f>'Unit Data from Audit Worksheet'!D133</f>
        <v>Customer accounts receivable (net of allowance accounts). 
Include both billed and unbilled amounts.</v>
      </c>
      <c r="D117" s="144"/>
      <c r="E117" s="361">
        <f>'Unit Data from Audit Worksheet'!F133</f>
        <v>0</v>
      </c>
      <c r="F117" s="354">
        <f>IF(L117&lt;0,"Error: Number is normally positive.",)</f>
        <v>0</v>
      </c>
      <c r="G117" s="356"/>
      <c r="H117" s="353">
        <f>'Unit Data from Audit Worksheet'!I133</f>
        <v>0</v>
      </c>
      <c r="I117" s="38"/>
      <c r="J117" s="352">
        <v>81</v>
      </c>
      <c r="K117" s="351" t="s">
        <v>219</v>
      </c>
      <c r="L117" s="589">
        <f t="shared" si="9"/>
        <v>0</v>
      </c>
      <c r="P117" s="323"/>
      <c r="W117" s="3" t="b">
        <f t="shared" si="10"/>
        <v>1</v>
      </c>
      <c r="X117" s="586">
        <f t="shared" ref="X117:X181" si="12">E117-L117</f>
        <v>0</v>
      </c>
      <c r="Y117" s="586">
        <f t="shared" ref="Y117:Y181" si="13">D117-L117</f>
        <v>0</v>
      </c>
    </row>
    <row r="118" spans="1:26" ht="68.25" customHeight="1" x14ac:dyDescent="0.3">
      <c r="A118" s="341">
        <f>'Unit Data from Audit Worksheet'!A134</f>
        <v>579</v>
      </c>
      <c r="B118" s="355" t="str">
        <f>'Unit Data from Audit Worksheet'!C134</f>
        <v>Water Sewer Net Position Statement</v>
      </c>
      <c r="C118" s="340" t="str">
        <f>'Unit Data from Audit Worksheet'!D134</f>
        <v>Water Sewer - Advance To:
Interfund loan receivable-portion of repayment plan longer than 12 months</v>
      </c>
      <c r="D118" s="144"/>
      <c r="E118" s="361">
        <f>'Unit Data from Audit Worksheet'!F134</f>
        <v>0</v>
      </c>
      <c r="F118" s="354"/>
      <c r="G118" s="356"/>
      <c r="H118" s="353"/>
      <c r="I118" s="38"/>
      <c r="J118" s="352">
        <v>579</v>
      </c>
      <c r="K118" s="351" t="s">
        <v>563</v>
      </c>
      <c r="L118" s="589">
        <f t="shared" si="9"/>
        <v>0</v>
      </c>
      <c r="N118" s="613"/>
      <c r="P118" s="323"/>
      <c r="W118" s="3" t="b">
        <f t="shared" si="10"/>
        <v>1</v>
      </c>
      <c r="X118" s="586">
        <f t="shared" si="12"/>
        <v>0</v>
      </c>
      <c r="Y118" s="586">
        <f t="shared" si="13"/>
        <v>0</v>
      </c>
    </row>
    <row r="119" spans="1:26" ht="47.25" customHeight="1" x14ac:dyDescent="0.3">
      <c r="A119" s="341">
        <f>'Unit Data from Audit Worksheet'!A135</f>
        <v>510</v>
      </c>
      <c r="B119" s="355" t="str">
        <f>'Unit Data from Audit Worksheet'!C135</f>
        <v>Water Sewer Net Position Statement</v>
      </c>
      <c r="C119" s="340" t="str">
        <f>'Unit Data from Audit Worksheet'!D135</f>
        <v>Amount of Inventories and Prepaid expenses in current assets</v>
      </c>
      <c r="D119" s="144"/>
      <c r="E119" s="361">
        <f>'Unit Data from Audit Worksheet'!F135</f>
        <v>0</v>
      </c>
      <c r="F119" s="354"/>
      <c r="G119" s="356"/>
      <c r="H119" s="353">
        <f>'Unit Data from Audit Worksheet'!I135</f>
        <v>0</v>
      </c>
      <c r="I119" s="38"/>
      <c r="J119" s="352">
        <v>510</v>
      </c>
      <c r="K119" s="351" t="s">
        <v>220</v>
      </c>
      <c r="L119" s="589">
        <f t="shared" si="9"/>
        <v>0</v>
      </c>
      <c r="P119" s="323"/>
      <c r="W119" s="3" t="b">
        <f t="shared" si="10"/>
        <v>1</v>
      </c>
      <c r="X119" s="586">
        <f t="shared" si="12"/>
        <v>0</v>
      </c>
      <c r="Y119" s="586">
        <f t="shared" si="13"/>
        <v>0</v>
      </c>
    </row>
    <row r="120" spans="1:26" ht="43.2" x14ac:dyDescent="0.3">
      <c r="A120" s="341">
        <f>'Unit Data from Audit Worksheet'!A136</f>
        <v>654</v>
      </c>
      <c r="B120" s="355" t="str">
        <f>'Unit Data from Audit Worksheet'!C136</f>
        <v>Water Sewer Net Position Statement</v>
      </c>
      <c r="C120" s="340" t="str">
        <f>'Unit Data from Audit Worksheet'!D136</f>
        <v xml:space="preserve">Total Current assets as listed on the WS Net Position Statement.  
</v>
      </c>
      <c r="D120" s="144"/>
      <c r="E120" s="361">
        <f>'Unit Data from Audit Worksheet'!F136</f>
        <v>0</v>
      </c>
      <c r="F120" s="354">
        <f>IF((+L116+L117+L119)&gt;L120,"Please review components of current assets above Acct. (80+81+510&gt;654",)</f>
        <v>0</v>
      </c>
      <c r="G120" s="356" t="str">
        <f>IF(Q120=1," Included in error count"," ")</f>
        <v xml:space="preserve"> </v>
      </c>
      <c r="H120" s="353">
        <f>'Unit Data from Audit Worksheet'!I136</f>
        <v>0</v>
      </c>
      <c r="I120" s="38"/>
      <c r="J120" s="352">
        <v>654</v>
      </c>
      <c r="K120" s="358" t="s">
        <v>814</v>
      </c>
      <c r="L120" s="589">
        <f t="shared" si="9"/>
        <v>0</v>
      </c>
      <c r="P120" s="323"/>
      <c r="Q120" s="579">
        <f>IF((+L116+L117+L119)&gt;L120,1,0)</f>
        <v>0</v>
      </c>
      <c r="W120" s="3" t="b">
        <f t="shared" si="10"/>
        <v>1</v>
      </c>
      <c r="X120" s="586">
        <f t="shared" si="12"/>
        <v>0</v>
      </c>
      <c r="Y120" s="586">
        <f t="shared" si="13"/>
        <v>0</v>
      </c>
    </row>
    <row r="121" spans="1:26" ht="43.2" x14ac:dyDescent="0.3">
      <c r="A121" s="341">
        <f>'Unit Data from Audit Worksheet'!A137</f>
        <v>655</v>
      </c>
      <c r="B121" s="355" t="str">
        <f>'Unit Data from Audit Worksheet'!C137</f>
        <v>Water Sewer Net Position Statement</v>
      </c>
      <c r="C121" s="340" t="str">
        <f>'Unit Data from Audit Worksheet'!D137</f>
        <v>WS-Any current assets that are restricted (Cash, Accounts Rec., etc..) and included in account 654 above</v>
      </c>
      <c r="D121" s="144"/>
      <c r="E121" s="361">
        <f>'Unit Data from Audit Worksheet'!F137</f>
        <v>0</v>
      </c>
      <c r="F121" s="354"/>
      <c r="G121" s="356"/>
      <c r="H121" s="353"/>
      <c r="I121" s="38"/>
      <c r="J121" s="352">
        <v>655</v>
      </c>
      <c r="K121" s="358" t="s">
        <v>855</v>
      </c>
      <c r="L121" s="589">
        <f t="shared" si="9"/>
        <v>0</v>
      </c>
      <c r="P121" s="323"/>
      <c r="W121" s="3" t="b">
        <f t="shared" si="10"/>
        <v>1</v>
      </c>
      <c r="X121" s="586">
        <f t="shared" si="12"/>
        <v>0</v>
      </c>
      <c r="Y121" s="586">
        <f t="shared" si="13"/>
        <v>0</v>
      </c>
    </row>
    <row r="122" spans="1:26" ht="42.75" customHeight="1" x14ac:dyDescent="0.3">
      <c r="A122" s="341">
        <f>'Unit Data from Audit Worksheet'!A138</f>
        <v>381</v>
      </c>
      <c r="B122" s="355" t="str">
        <f>'Unit Data from Audit Worksheet'!C138</f>
        <v>Water Sewer Net Position Statement</v>
      </c>
      <c r="C122" s="340" t="str">
        <f>'Unit Data from Audit Worksheet'!D138</f>
        <v>Total Assets and deferred outflows</v>
      </c>
      <c r="D122" s="144"/>
      <c r="E122" s="361">
        <f>'Unit Data from Audit Worksheet'!F138</f>
        <v>0</v>
      </c>
      <c r="F122" s="354" t="str">
        <f>IF(L122&lt;L120,"Please review components of current assets above acct. 381&lt;654"," ")</f>
        <v xml:space="preserve"> </v>
      </c>
      <c r="G122" s="356" t="str">
        <f>IF(Q122=1," Included in error count"," ")</f>
        <v xml:space="preserve"> </v>
      </c>
      <c r="H122" s="353">
        <f>'Unit Data from Audit Worksheet'!I138</f>
        <v>0</v>
      </c>
      <c r="I122" s="38"/>
      <c r="J122" s="352">
        <v>381</v>
      </c>
      <c r="K122" s="351" t="s">
        <v>113</v>
      </c>
      <c r="L122" s="589">
        <f t="shared" si="9"/>
        <v>0</v>
      </c>
      <c r="P122" s="323"/>
      <c r="Q122" s="579">
        <f>IF(L122&lt;L120,1,0)</f>
        <v>0</v>
      </c>
      <c r="W122" s="3" t="b">
        <f t="shared" si="10"/>
        <v>1</v>
      </c>
      <c r="X122" s="586">
        <f t="shared" si="12"/>
        <v>0</v>
      </c>
      <c r="Y122" s="586">
        <f t="shared" si="13"/>
        <v>0</v>
      </c>
    </row>
    <row r="123" spans="1:26" ht="60.75" customHeight="1" x14ac:dyDescent="0.3">
      <c r="A123" s="601">
        <f>'Unit Data from Audit Worksheet'!A139</f>
        <v>578</v>
      </c>
      <c r="B123" s="117" t="str">
        <f>'Unit Data from Audit Worksheet'!C139</f>
        <v>Water Sewer Net Position Statement</v>
      </c>
      <c r="C123" s="591" t="str">
        <f>'Unit Data from Audit Worksheet'!D139</f>
        <v>Water Sewer - Advance From: 
Interfund loan Payable-portion of repayment plan longer than 12 months</v>
      </c>
      <c r="D123" s="110"/>
      <c r="E123" s="155">
        <f>'Unit Data from Audit Worksheet'!F139</f>
        <v>0</v>
      </c>
      <c r="F123" s="111"/>
      <c r="G123" s="112"/>
      <c r="H123" s="113"/>
      <c r="I123" s="38"/>
      <c r="J123" s="105">
        <v>578</v>
      </c>
      <c r="K123" s="44" t="s">
        <v>564</v>
      </c>
      <c r="L123" s="589">
        <f t="shared" si="9"/>
        <v>0</v>
      </c>
      <c r="P123" s="324"/>
      <c r="Q123" s="357"/>
      <c r="W123" s="3" t="b">
        <f t="shared" si="10"/>
        <v>1</v>
      </c>
      <c r="X123" s="586">
        <f t="shared" si="12"/>
        <v>0</v>
      </c>
      <c r="Y123" s="586">
        <f t="shared" si="13"/>
        <v>0</v>
      </c>
    </row>
    <row r="124" spans="1:26" s="18" customFormat="1" ht="104.25" customHeight="1" x14ac:dyDescent="0.3">
      <c r="A124" s="312">
        <v>633</v>
      </c>
      <c r="B124" s="368" t="str">
        <f>'Unit Data from Audit Worksheet'!C140</f>
        <v>Water Sewer Net Position Statement</v>
      </c>
      <c r="C124" s="312" t="str">
        <f>'Unit Data from Audit Worksheet'!D140</f>
        <v>Current liabilities (as reported on the Statement of Fund Net Position)
Include:   Current liabilities including current portion of long-term debt.  Deferred inflows should not be included in Current Liabilities  
Enter as positive</v>
      </c>
      <c r="D124" s="110"/>
      <c r="E124" s="367">
        <f>'Unit Data from Audit Worksheet'!F140</f>
        <v>0</v>
      </c>
      <c r="F124" s="349" t="str">
        <f>IF(L124&gt;=(L125+L126+L127+L128+L129+L130),"","Account 633 is less than the total sum of accounts 634 through 638 + 383")</f>
        <v/>
      </c>
      <c r="G124" s="334">
        <f>L124-(L125+L126+L127+L128+L129+L130)</f>
        <v>0</v>
      </c>
      <c r="H124" s="349"/>
      <c r="I124" s="602"/>
      <c r="J124" s="348">
        <v>633</v>
      </c>
      <c r="K124" s="315" t="s">
        <v>742</v>
      </c>
      <c r="L124" s="603">
        <f>IF(D124="",E124,D124)</f>
        <v>0</v>
      </c>
      <c r="M124" s="593"/>
      <c r="N124" s="593"/>
      <c r="O124" s="593"/>
      <c r="P124" s="325"/>
      <c r="Q124" s="594"/>
      <c r="R124" s="3"/>
      <c r="S124" s="593"/>
      <c r="T124" s="593"/>
      <c r="U124" s="593"/>
      <c r="V124" s="593"/>
      <c r="W124" s="18" t="b">
        <f t="shared" si="10"/>
        <v>1</v>
      </c>
      <c r="X124" s="595">
        <f t="shared" si="12"/>
        <v>0</v>
      </c>
      <c r="Y124" s="595">
        <f t="shared" si="13"/>
        <v>0</v>
      </c>
    </row>
    <row r="125" spans="1:26" s="18" customFormat="1" ht="130.5" customHeight="1" x14ac:dyDescent="0.3">
      <c r="A125" s="312">
        <v>634</v>
      </c>
      <c r="B125" s="368" t="str">
        <f>'Unit Data from Audit Worksheet'!C141</f>
        <v>Water Sewer Net Position Statement</v>
      </c>
      <c r="C125" s="312" t="str">
        <f>'Unit Data from Audit Worksheet'!D141</f>
        <v>Please enter any bond anticipation notes that are classified as current liabilities and included in account 633 above (amounts entered should agree to the current amount included in the changes to long-term debt note)
Enter as positive</v>
      </c>
      <c r="D125" s="110"/>
      <c r="E125" s="367">
        <f>'Unit Data from Audit Worksheet'!F141</f>
        <v>0</v>
      </c>
      <c r="F125" s="349"/>
      <c r="G125" s="334"/>
      <c r="H125" s="349"/>
      <c r="I125" s="602"/>
      <c r="J125" s="348">
        <v>634</v>
      </c>
      <c r="K125" s="315" t="s">
        <v>743</v>
      </c>
      <c r="L125" s="603">
        <f>IF(D125="",E125,D125)</f>
        <v>0</v>
      </c>
      <c r="M125" s="593"/>
      <c r="N125" s="593"/>
      <c r="O125" s="593"/>
      <c r="P125" s="325"/>
      <c r="Q125" s="594"/>
      <c r="R125" s="3"/>
      <c r="S125" s="593"/>
      <c r="T125" s="593"/>
      <c r="U125" s="593"/>
      <c r="V125" s="593"/>
      <c r="W125" s="18" t="b">
        <f t="shared" si="10"/>
        <v>1</v>
      </c>
      <c r="X125" s="595">
        <f t="shared" si="12"/>
        <v>0</v>
      </c>
      <c r="Y125" s="595">
        <f t="shared" si="13"/>
        <v>0</v>
      </c>
    </row>
    <row r="126" spans="1:26" s="18" customFormat="1" ht="105.75" customHeight="1" x14ac:dyDescent="0.3">
      <c r="A126" s="312">
        <v>635</v>
      </c>
      <c r="B126" s="368" t="str">
        <f>'Unit Data from Audit Worksheet'!C142</f>
        <v>Water Sewer Net Position Statement</v>
      </c>
      <c r="C126" s="312" t="str">
        <f>'Unit Data from Audit Worksheet'!D142</f>
        <v>Please enter any compensated absences that are classified as current liabilities and included in account 633 above (amounts entered should agree to the current amount included in the changes to long-term debt note)
Enter as positive</v>
      </c>
      <c r="D126" s="110"/>
      <c r="E126" s="367">
        <f>'Unit Data from Audit Worksheet'!F142</f>
        <v>0</v>
      </c>
      <c r="F126" s="349"/>
      <c r="G126" s="334"/>
      <c r="H126" s="349"/>
      <c r="I126" s="602"/>
      <c r="J126" s="348">
        <v>635</v>
      </c>
      <c r="K126" s="315" t="s">
        <v>744</v>
      </c>
      <c r="L126" s="603">
        <f>IF(D126="",E126,D126)</f>
        <v>0</v>
      </c>
      <c r="M126" s="593"/>
      <c r="N126" s="593"/>
      <c r="O126" s="593"/>
      <c r="P126" s="325"/>
      <c r="Q126" s="594"/>
      <c r="R126" s="3"/>
      <c r="S126" s="593"/>
      <c r="T126" s="593"/>
      <c r="U126" s="593"/>
      <c r="V126" s="593"/>
      <c r="W126" s="18" t="b">
        <f t="shared" si="10"/>
        <v>1</v>
      </c>
      <c r="X126" s="595">
        <f t="shared" si="12"/>
        <v>0</v>
      </c>
      <c r="Y126" s="595">
        <f t="shared" si="13"/>
        <v>0</v>
      </c>
    </row>
    <row r="127" spans="1:26" s="18" customFormat="1" ht="105.75" customHeight="1" x14ac:dyDescent="0.3">
      <c r="A127" s="312">
        <v>636</v>
      </c>
      <c r="B127" s="368" t="str">
        <f>'Unit Data from Audit Worksheet'!C143</f>
        <v>Water Sewer Net Position Statement</v>
      </c>
      <c r="C127" s="312" t="str">
        <f>'Unit Data from Audit Worksheet'!D143</f>
        <v>Please enter any pension liabilities that are classified as current liabilities and included in account 633 above (amounts entered should agree to the current amount included in the changes to long-term debt note)
Enter as positive</v>
      </c>
      <c r="D127" s="110"/>
      <c r="E127" s="367">
        <f>'Unit Data from Audit Worksheet'!F143</f>
        <v>0</v>
      </c>
      <c r="F127" s="349"/>
      <c r="G127" s="334"/>
      <c r="H127" s="349"/>
      <c r="I127" s="602"/>
      <c r="J127" s="348">
        <v>636</v>
      </c>
      <c r="K127" s="315" t="s">
        <v>739</v>
      </c>
      <c r="L127" s="603">
        <f t="shared" ref="L127:L137" si="14">IF(D127="",E127,D127)</f>
        <v>0</v>
      </c>
      <c r="M127" s="593"/>
      <c r="N127" s="593"/>
      <c r="O127" s="593"/>
      <c r="P127" s="325"/>
      <c r="Q127" s="594"/>
      <c r="R127" s="3"/>
      <c r="S127" s="593"/>
      <c r="T127" s="593"/>
      <c r="U127" s="593"/>
      <c r="V127" s="593"/>
      <c r="W127" s="18" t="b">
        <f t="shared" si="10"/>
        <v>1</v>
      </c>
      <c r="X127" s="595">
        <f t="shared" si="12"/>
        <v>0</v>
      </c>
      <c r="Y127" s="595">
        <f t="shared" si="13"/>
        <v>0</v>
      </c>
    </row>
    <row r="128" spans="1:26" s="18" customFormat="1" ht="59.25" customHeight="1" x14ac:dyDescent="0.3">
      <c r="A128" s="312">
        <v>637</v>
      </c>
      <c r="B128" s="368" t="str">
        <f>'Unit Data from Audit Worksheet'!C144</f>
        <v>Water Sewer Net Position Statement</v>
      </c>
      <c r="C128" s="312" t="str">
        <f>'Unit Data from Audit Worksheet'!D144</f>
        <v>Please enter any current liabilities that are payable from restricted assets and included in account 633 above.
Enter as positive</v>
      </c>
      <c r="D128" s="110"/>
      <c r="E128" s="367">
        <f>'Unit Data from Audit Worksheet'!F144</f>
        <v>0</v>
      </c>
      <c r="F128" s="349"/>
      <c r="G128" s="334"/>
      <c r="H128" s="349"/>
      <c r="I128" s="602"/>
      <c r="J128" s="348">
        <v>637</v>
      </c>
      <c r="K128" s="315" t="s">
        <v>740</v>
      </c>
      <c r="L128" s="603">
        <f t="shared" si="14"/>
        <v>0</v>
      </c>
      <c r="M128" s="593"/>
      <c r="N128" s="593"/>
      <c r="O128" s="593"/>
      <c r="P128" s="325"/>
      <c r="Q128" s="594"/>
      <c r="R128" s="3"/>
      <c r="S128" s="593"/>
      <c r="T128" s="593"/>
      <c r="U128" s="593"/>
      <c r="V128" s="593"/>
      <c r="W128" s="18" t="b">
        <f t="shared" si="10"/>
        <v>1</v>
      </c>
      <c r="X128" s="595">
        <f t="shared" si="12"/>
        <v>0</v>
      </c>
      <c r="Y128" s="595">
        <f t="shared" si="13"/>
        <v>0</v>
      </c>
    </row>
    <row r="129" spans="1:25" s="18" customFormat="1" ht="103.5" customHeight="1" x14ac:dyDescent="0.3">
      <c r="A129" s="312">
        <v>638</v>
      </c>
      <c r="B129" s="368" t="str">
        <f>'Unit Data from Audit Worksheet'!C145</f>
        <v>Water Sewer Net Position Statement</v>
      </c>
      <c r="C129" s="312" t="str">
        <f>'Unit Data from Audit Worksheet'!D145</f>
        <v>Please enter any OPEB liabilities that are classified as current liabilities and included in account 633 above (amounts entered should agree to the current amount included in the changes to long-term debt note)
Enter as positive</v>
      </c>
      <c r="D129" s="110"/>
      <c r="E129" s="367">
        <f>'Unit Data from Audit Worksheet'!F145</f>
        <v>0</v>
      </c>
      <c r="F129" s="349"/>
      <c r="G129" s="334"/>
      <c r="H129" s="349"/>
      <c r="I129" s="602"/>
      <c r="J129" s="348">
        <v>638</v>
      </c>
      <c r="K129" s="315" t="s">
        <v>745</v>
      </c>
      <c r="L129" s="603">
        <f t="shared" si="14"/>
        <v>0</v>
      </c>
      <c r="M129" s="593"/>
      <c r="N129" s="593"/>
      <c r="O129" s="593"/>
      <c r="P129" s="325"/>
      <c r="Q129" s="594"/>
      <c r="R129" s="3"/>
      <c r="S129" s="593"/>
      <c r="T129" s="593"/>
      <c r="U129" s="593"/>
      <c r="V129" s="593"/>
      <c r="W129" s="18" t="b">
        <f t="shared" si="10"/>
        <v>1</v>
      </c>
      <c r="X129" s="595">
        <f t="shared" si="12"/>
        <v>0</v>
      </c>
      <c r="Y129" s="595">
        <f t="shared" si="13"/>
        <v>0</v>
      </c>
    </row>
    <row r="130" spans="1:25" ht="76.5" customHeight="1" x14ac:dyDescent="0.3">
      <c r="A130" s="587">
        <f>'Unit Data from Audit Worksheet'!A146</f>
        <v>383</v>
      </c>
      <c r="B130" s="54" t="str">
        <f>'Unit Data from Audit Worksheet'!C146</f>
        <v>Water Sewer Net Position Statement</v>
      </c>
      <c r="C130" s="588" t="str">
        <f>'Unit Data from Audit Worksheet'!D146</f>
        <v>Unearned revenue (arising from cash receipts) that were included in Current Liabilities in the question in account 633 above.
Enter as positive</v>
      </c>
      <c r="D130" s="144"/>
      <c r="E130" s="152">
        <f>'Unit Data from Audit Worksheet'!F146</f>
        <v>0</v>
      </c>
      <c r="F130" s="47">
        <f>IF(L130&lt;0,"Error: Enter as a positive.",)</f>
        <v>0</v>
      </c>
      <c r="G130" s="72"/>
      <c r="H130" s="353">
        <f>'Unit Data from Audit Worksheet'!I146</f>
        <v>0</v>
      </c>
      <c r="I130" s="38"/>
      <c r="J130" s="42">
        <v>383</v>
      </c>
      <c r="K130" s="51" t="s">
        <v>221</v>
      </c>
      <c r="L130" s="589">
        <f t="shared" si="14"/>
        <v>0</v>
      </c>
      <c r="P130" s="322"/>
      <c r="W130" s="3" t="b">
        <f t="shared" si="10"/>
        <v>1</v>
      </c>
      <c r="X130" s="586">
        <f t="shared" si="12"/>
        <v>0</v>
      </c>
      <c r="Y130" s="586">
        <f t="shared" si="13"/>
        <v>0</v>
      </c>
    </row>
    <row r="131" spans="1:25" ht="54" customHeight="1" x14ac:dyDescent="0.3">
      <c r="A131" s="341">
        <f>'Unit Data from Audit Worksheet'!A147</f>
        <v>349</v>
      </c>
      <c r="B131" s="355" t="str">
        <f>'Unit Data from Audit Worksheet'!C147</f>
        <v>Water Sewer Net Position Statement</v>
      </c>
      <c r="C131" s="340" t="str">
        <f>'Unit Data from Audit Worksheet'!D147</f>
        <v>Total Liabilities and deferred inflows</v>
      </c>
      <c r="D131" s="144"/>
      <c r="E131" s="361">
        <f>'Unit Data from Audit Worksheet'!F147</f>
        <v>0</v>
      </c>
      <c r="F131" s="354">
        <f>IF(L124&gt;L131,"Error: Please review accts 633&gt;349",)</f>
        <v>0</v>
      </c>
      <c r="G131" s="356" t="str">
        <f>IF(Q131=1," Included in error count"," ")</f>
        <v xml:space="preserve"> </v>
      </c>
      <c r="H131" s="353">
        <f>'Unit Data from Audit Worksheet'!I147</f>
        <v>0</v>
      </c>
      <c r="I131" s="38"/>
      <c r="J131" s="352">
        <v>349</v>
      </c>
      <c r="K131" s="351" t="s">
        <v>122</v>
      </c>
      <c r="L131" s="589">
        <f t="shared" si="14"/>
        <v>0</v>
      </c>
      <c r="P131" s="323"/>
      <c r="Q131" s="579">
        <f>IF(L124&gt;L131,1,0)</f>
        <v>0</v>
      </c>
      <c r="W131" s="3" t="b">
        <f t="shared" si="10"/>
        <v>1</v>
      </c>
      <c r="X131" s="586">
        <f t="shared" si="12"/>
        <v>0</v>
      </c>
      <c r="Y131" s="586">
        <f t="shared" si="13"/>
        <v>0</v>
      </c>
    </row>
    <row r="132" spans="1:25" ht="56.25" customHeight="1" x14ac:dyDescent="0.3">
      <c r="A132" s="341">
        <f>'Unit Data from Audit Worksheet'!A148</f>
        <v>375</v>
      </c>
      <c r="B132" s="355" t="str">
        <f>'Unit Data from Audit Worksheet'!C148</f>
        <v>Water Sewer Net Position Statement</v>
      </c>
      <c r="C132" s="340" t="str">
        <f>'Unit Data from Audit Worksheet'!D148</f>
        <v>Total Net position, Unrestricted - enter negative unrestricted net position as a negative</v>
      </c>
      <c r="D132" s="144"/>
      <c r="E132" s="361">
        <f>'Unit Data from Audit Worksheet'!F148</f>
        <v>0</v>
      </c>
      <c r="F132" s="354"/>
      <c r="G132" s="356"/>
      <c r="H132" s="353">
        <f>'Unit Data from Audit Worksheet'!I148</f>
        <v>0</v>
      </c>
      <c r="I132" s="38"/>
      <c r="J132" s="352">
        <v>375</v>
      </c>
      <c r="K132" s="351" t="s">
        <v>222</v>
      </c>
      <c r="L132" s="589">
        <f t="shared" si="14"/>
        <v>0</v>
      </c>
      <c r="P132" s="323"/>
      <c r="W132" s="3" t="b">
        <f t="shared" si="10"/>
        <v>1</v>
      </c>
      <c r="X132" s="586">
        <f t="shared" si="12"/>
        <v>0</v>
      </c>
      <c r="Y132" s="586">
        <f t="shared" si="13"/>
        <v>0</v>
      </c>
    </row>
    <row r="133" spans="1:25" ht="56.25" customHeight="1" x14ac:dyDescent="0.3">
      <c r="A133" s="341">
        <f>'Unit Data from Audit Worksheet'!A149</f>
        <v>83</v>
      </c>
      <c r="B133" s="355" t="str">
        <f>'Unit Data from Audit Worksheet'!C149</f>
        <v>Water Sewer Net Position Statement</v>
      </c>
      <c r="C133" s="340" t="str">
        <f>'Unit Data from Audit Worksheet'!D149</f>
        <v>Total Net position</v>
      </c>
      <c r="D133" s="144"/>
      <c r="E133" s="361">
        <f>'Unit Data from Audit Worksheet'!F149</f>
        <v>0</v>
      </c>
      <c r="F133" s="354">
        <f>IF(+L122-L131-L133=0,,"Error: Total assets less total liabilities do not equal net position acct 381-349-83=0")</f>
        <v>0</v>
      </c>
      <c r="G133" s="91">
        <f>L122-L131-L133</f>
        <v>0</v>
      </c>
      <c r="H133" s="353">
        <f>'Unit Data from Audit Worksheet'!I149</f>
        <v>0</v>
      </c>
      <c r="I133" s="38"/>
      <c r="J133" s="352">
        <v>83</v>
      </c>
      <c r="K133" s="351" t="s">
        <v>102</v>
      </c>
      <c r="L133" s="589">
        <f t="shared" si="14"/>
        <v>0</v>
      </c>
      <c r="O133" s="597" t="e">
        <f>'Unit Data from Audit Worksheet'!E149</f>
        <v>#N/A</v>
      </c>
      <c r="P133" s="323"/>
      <c r="Q133" s="579">
        <f>IF(G133&lt;&gt;0,1,0)</f>
        <v>0</v>
      </c>
      <c r="W133" s="3" t="b">
        <f t="shared" ref="W133:W164" si="15">EXACT(A133,J133)</f>
        <v>1</v>
      </c>
      <c r="X133" s="586">
        <f t="shared" si="12"/>
        <v>0</v>
      </c>
      <c r="Y133" s="586">
        <f t="shared" si="13"/>
        <v>0</v>
      </c>
    </row>
    <row r="134" spans="1:25" ht="56.25" customHeight="1" x14ac:dyDescent="0.3">
      <c r="A134" s="341">
        <f>'Unit Data from Audit Worksheet'!A151</f>
        <v>90</v>
      </c>
      <c r="B134" s="355" t="str">
        <f>'Unit Data from Audit Worksheet'!C151</f>
        <v>Electric Fund Net Position Statement</v>
      </c>
      <c r="C134" s="340" t="str">
        <f>'Unit Data from Audit Worksheet'!D151</f>
        <v>All Unrestricted Cash and Investments.  
Exclude any restricted cash and investments.</v>
      </c>
      <c r="D134" s="144"/>
      <c r="E134" s="361">
        <f>'Unit Data from Audit Worksheet'!F151</f>
        <v>0</v>
      </c>
      <c r="F134" s="354">
        <f>IF(L134&lt;0,"Error: Number is normally positive.",)</f>
        <v>0</v>
      </c>
      <c r="G134" s="356"/>
      <c r="H134" s="353">
        <f>'Unit Data from Audit Worksheet'!I151</f>
        <v>0</v>
      </c>
      <c r="I134" s="38"/>
      <c r="J134" s="352">
        <v>90</v>
      </c>
      <c r="K134" s="351" t="s">
        <v>223</v>
      </c>
      <c r="L134" s="589">
        <f t="shared" si="14"/>
        <v>0</v>
      </c>
      <c r="P134" s="323"/>
      <c r="W134" s="3" t="b">
        <f t="shared" si="15"/>
        <v>1</v>
      </c>
      <c r="X134" s="586">
        <f t="shared" si="12"/>
        <v>0</v>
      </c>
      <c r="Y134" s="586">
        <f t="shared" si="13"/>
        <v>0</v>
      </c>
    </row>
    <row r="135" spans="1:25" ht="56.25" customHeight="1" x14ac:dyDescent="0.3">
      <c r="A135" s="341">
        <f>'Unit Data from Audit Worksheet'!A152</f>
        <v>91</v>
      </c>
      <c r="B135" s="355" t="str">
        <f>'Unit Data from Audit Worksheet'!C152</f>
        <v>Electric Fund Net Position Statement</v>
      </c>
      <c r="C135" s="340" t="str">
        <f>'Unit Data from Audit Worksheet'!D152</f>
        <v xml:space="preserve">Customer accounts receivable (net of allowance accounts)
Include billed and unbilled amounts </v>
      </c>
      <c r="D135" s="144"/>
      <c r="E135" s="361">
        <f>'Unit Data from Audit Worksheet'!F152</f>
        <v>0</v>
      </c>
      <c r="F135" s="354">
        <f>IF(L135&lt;0,"Error: Number is normally positive.",)</f>
        <v>0</v>
      </c>
      <c r="G135" s="356"/>
      <c r="H135" s="353">
        <f>'Unit Data from Audit Worksheet'!I152</f>
        <v>0</v>
      </c>
      <c r="I135" s="38"/>
      <c r="J135" s="352">
        <v>91</v>
      </c>
      <c r="K135" s="351" t="s">
        <v>224</v>
      </c>
      <c r="L135" s="589">
        <f t="shared" si="14"/>
        <v>0</v>
      </c>
      <c r="P135" s="323"/>
      <c r="W135" s="3" t="b">
        <f t="shared" si="15"/>
        <v>1</v>
      </c>
      <c r="X135" s="586">
        <f t="shared" si="12"/>
        <v>0</v>
      </c>
      <c r="Y135" s="586">
        <f t="shared" si="13"/>
        <v>0</v>
      </c>
    </row>
    <row r="136" spans="1:25" ht="56.25" customHeight="1" x14ac:dyDescent="0.3">
      <c r="A136" s="341">
        <f>'Unit Data from Audit Worksheet'!A153</f>
        <v>581</v>
      </c>
      <c r="B136" s="355" t="str">
        <f>'Unit Data from Audit Worksheet'!C153</f>
        <v>Electric Fund Net Position Statement</v>
      </c>
      <c r="C136" s="340" t="str">
        <f>'Unit Data from Audit Worksheet'!D153</f>
        <v>Electric Fund - Advance To:
Interfund loan receivable-portion of repayment plan longer than 12 months</v>
      </c>
      <c r="D136" s="144"/>
      <c r="E136" s="361">
        <f>'Unit Data from Audit Worksheet'!F153</f>
        <v>0</v>
      </c>
      <c r="F136" s="354"/>
      <c r="G136" s="356"/>
      <c r="H136" s="353"/>
      <c r="I136" s="38"/>
      <c r="J136" s="352">
        <v>581</v>
      </c>
      <c r="K136" s="351" t="s">
        <v>565</v>
      </c>
      <c r="L136" s="589">
        <f t="shared" si="14"/>
        <v>0</v>
      </c>
      <c r="P136" s="323"/>
      <c r="W136" s="3" t="b">
        <f t="shared" si="15"/>
        <v>1</v>
      </c>
      <c r="X136" s="586">
        <f t="shared" si="12"/>
        <v>0</v>
      </c>
      <c r="Y136" s="586">
        <f t="shared" si="13"/>
        <v>0</v>
      </c>
    </row>
    <row r="137" spans="1:25" ht="56.25" customHeight="1" x14ac:dyDescent="0.3">
      <c r="A137" s="341">
        <f>'Unit Data from Audit Worksheet'!A154</f>
        <v>511</v>
      </c>
      <c r="B137" s="355" t="str">
        <f>'Unit Data from Audit Worksheet'!C154</f>
        <v>Electric Fund Net Position Statement</v>
      </c>
      <c r="C137" s="340" t="str">
        <f>'Unit Data from Audit Worksheet'!D154</f>
        <v>Amount of inventories and prepaids</v>
      </c>
      <c r="D137" s="144"/>
      <c r="E137" s="361">
        <f>'Unit Data from Audit Worksheet'!F154</f>
        <v>0</v>
      </c>
      <c r="F137" s="354">
        <f t="shared" ref="F137:F142" si="16">IF(L137&lt;0,"Error: Number is normally positive.",)</f>
        <v>0</v>
      </c>
      <c r="G137" s="356"/>
      <c r="H137" s="353">
        <f>'Unit Data from Audit Worksheet'!I154</f>
        <v>0</v>
      </c>
      <c r="I137" s="38"/>
      <c r="J137" s="352">
        <v>511</v>
      </c>
      <c r="K137" s="351" t="s">
        <v>225</v>
      </c>
      <c r="L137" s="589">
        <f t="shared" si="14"/>
        <v>0</v>
      </c>
      <c r="P137" s="323"/>
      <c r="W137" s="3" t="b">
        <f t="shared" si="15"/>
        <v>1</v>
      </c>
      <c r="X137" s="586">
        <f t="shared" si="12"/>
        <v>0</v>
      </c>
      <c r="Y137" s="586">
        <f t="shared" si="13"/>
        <v>0</v>
      </c>
    </row>
    <row r="138" spans="1:25" ht="62.25" customHeight="1" x14ac:dyDescent="0.3">
      <c r="A138" s="341">
        <f>'Unit Data from Audit Worksheet'!A155</f>
        <v>657</v>
      </c>
      <c r="B138" s="355" t="str">
        <f>'Unit Data from Audit Worksheet'!C155</f>
        <v>Electric Fund Net Position Statement</v>
      </c>
      <c r="C138" s="340" t="str">
        <f>'Unit Data from Audit Worksheet'!D155</f>
        <v xml:space="preserve">Total Current assets as listed on the Electric Net Position Statement.  
</v>
      </c>
      <c r="D138" s="144"/>
      <c r="E138" s="361">
        <f>'Unit Data from Audit Worksheet'!F155</f>
        <v>0</v>
      </c>
      <c r="F138" s="354">
        <f t="shared" si="16"/>
        <v>0</v>
      </c>
      <c r="G138" s="356"/>
      <c r="H138" s="353">
        <f>'Unit Data from Audit Worksheet'!I155</f>
        <v>0</v>
      </c>
      <c r="I138" s="38"/>
      <c r="J138" s="352">
        <v>657</v>
      </c>
      <c r="K138" s="351" t="s">
        <v>819</v>
      </c>
      <c r="L138" s="603">
        <f>IF(D138="",E138,D138)</f>
        <v>0</v>
      </c>
      <c r="P138" s="323"/>
      <c r="Q138" s="579">
        <f>IF((L134+L135+L137)&gt;L140,1,0)</f>
        <v>0</v>
      </c>
      <c r="W138" s="3" t="b">
        <f t="shared" si="15"/>
        <v>1</v>
      </c>
      <c r="X138" s="586">
        <f t="shared" si="12"/>
        <v>0</v>
      </c>
      <c r="Y138" s="586">
        <f t="shared" si="13"/>
        <v>0</v>
      </c>
    </row>
    <row r="139" spans="1:25" ht="62.25" customHeight="1" x14ac:dyDescent="0.3">
      <c r="A139" s="341">
        <f>'Unit Data from Audit Worksheet'!A156</f>
        <v>658</v>
      </c>
      <c r="B139" s="355" t="str">
        <f>'Unit Data from Audit Worksheet'!C156</f>
        <v>Electric Fund Net Position Statement</v>
      </c>
      <c r="C139" s="340" t="str">
        <f>'Unit Data from Audit Worksheet'!D156</f>
        <v>Electric-Any current assets that are restricted (Cash, Accounts Rec., etc..) and included in account 657 above</v>
      </c>
      <c r="D139" s="144"/>
      <c r="E139" s="361">
        <f>'Unit Data from Audit Worksheet'!F156</f>
        <v>0</v>
      </c>
      <c r="F139" s="354">
        <f t="shared" si="16"/>
        <v>0</v>
      </c>
      <c r="G139" s="356"/>
      <c r="H139" s="353"/>
      <c r="I139" s="38"/>
      <c r="J139" s="352">
        <v>658</v>
      </c>
      <c r="K139" s="351" t="s">
        <v>854</v>
      </c>
      <c r="L139" s="603">
        <f>IF(D139="",E139,D139)</f>
        <v>0</v>
      </c>
      <c r="P139" s="323"/>
      <c r="W139" s="3" t="b">
        <f t="shared" si="15"/>
        <v>1</v>
      </c>
      <c r="X139" s="586">
        <f t="shared" si="12"/>
        <v>0</v>
      </c>
      <c r="Y139" s="586">
        <f t="shared" si="13"/>
        <v>0</v>
      </c>
    </row>
    <row r="140" spans="1:25" ht="39.75" customHeight="1" x14ac:dyDescent="0.3">
      <c r="A140" s="341">
        <f>'Unit Data from Audit Worksheet'!A157</f>
        <v>382</v>
      </c>
      <c r="B140" s="355" t="str">
        <f>'Unit Data from Audit Worksheet'!C157</f>
        <v>Electric Fund Net Position Statement</v>
      </c>
      <c r="C140" s="340" t="str">
        <f>'Unit Data from Audit Worksheet'!D157</f>
        <v>Total Assets and deferred outflows</v>
      </c>
      <c r="D140" s="144"/>
      <c r="E140" s="361">
        <f>'Unit Data from Audit Worksheet'!F157</f>
        <v>0</v>
      </c>
      <c r="F140" s="354">
        <f t="shared" si="16"/>
        <v>0</v>
      </c>
      <c r="G140" s="356"/>
      <c r="H140" s="353">
        <f>'Unit Data from Audit Worksheet'!I157</f>
        <v>0</v>
      </c>
      <c r="I140" s="38"/>
      <c r="J140" s="352">
        <v>382</v>
      </c>
      <c r="K140" s="351" t="s">
        <v>114</v>
      </c>
      <c r="L140" s="589">
        <f>IF(D140="",E140,D140)</f>
        <v>0</v>
      </c>
      <c r="P140" s="323"/>
      <c r="W140" s="3" t="b">
        <f t="shared" si="15"/>
        <v>1</v>
      </c>
      <c r="X140" s="586">
        <f t="shared" si="12"/>
        <v>0</v>
      </c>
      <c r="Y140" s="586">
        <f t="shared" si="13"/>
        <v>0</v>
      </c>
    </row>
    <row r="141" spans="1:25" ht="39.75" customHeight="1" x14ac:dyDescent="0.3">
      <c r="A141" s="341">
        <f>'Unit Data from Audit Worksheet'!A158</f>
        <v>360</v>
      </c>
      <c r="B141" s="355" t="str">
        <f>'Unit Data from Audit Worksheet'!C158</f>
        <v>Electric Fund Net Position Statement</v>
      </c>
      <c r="C141" s="340" t="str">
        <f>'Unit Data from Audit Worksheet'!D158</f>
        <v>Total liabilities and total deferred inflows</v>
      </c>
      <c r="D141" s="144"/>
      <c r="E141" s="361">
        <f>'Unit Data from Audit Worksheet'!F158</f>
        <v>0</v>
      </c>
      <c r="F141" s="354">
        <f t="shared" si="16"/>
        <v>0</v>
      </c>
      <c r="G141" s="356"/>
      <c r="H141" s="353">
        <f>'Unit Data from Audit Worksheet'!I158</f>
        <v>0</v>
      </c>
      <c r="I141" s="38"/>
      <c r="J141" s="352">
        <v>360</v>
      </c>
      <c r="K141" s="109" t="s">
        <v>125</v>
      </c>
      <c r="L141" s="589">
        <f>IF(D141="",E141,D141)</f>
        <v>0</v>
      </c>
      <c r="P141" s="323"/>
      <c r="W141" s="3" t="b">
        <f t="shared" si="15"/>
        <v>1</v>
      </c>
      <c r="X141" s="586">
        <f t="shared" si="12"/>
        <v>0</v>
      </c>
      <c r="Y141" s="586">
        <f t="shared" si="13"/>
        <v>0</v>
      </c>
    </row>
    <row r="142" spans="1:25" ht="58.5" customHeight="1" x14ac:dyDescent="0.3">
      <c r="A142" s="341">
        <f>'Unit Data from Audit Worksheet'!A159</f>
        <v>580</v>
      </c>
      <c r="B142" s="355" t="str">
        <f>'Unit Data from Audit Worksheet'!C159</f>
        <v>Electric Fund Net Position Statement</v>
      </c>
      <c r="C142" s="340" t="str">
        <f>'Unit Data from Audit Worksheet'!D159</f>
        <v>Electric Fund - Advance From:
Interfund loans payable-portion of repayment plan longer than 12 months</v>
      </c>
      <c r="D142" s="144"/>
      <c r="E142" s="361">
        <f>'Unit Data from Audit Worksheet'!F159</f>
        <v>0</v>
      </c>
      <c r="F142" s="354">
        <f t="shared" si="16"/>
        <v>0</v>
      </c>
      <c r="G142" s="356"/>
      <c r="H142" s="353">
        <f>'Unit Data from Audit Worksheet'!I159</f>
        <v>0</v>
      </c>
      <c r="I142" s="38"/>
      <c r="J142" s="352">
        <v>580</v>
      </c>
      <c r="K142" s="109" t="s">
        <v>566</v>
      </c>
      <c r="L142" s="589">
        <f>IF(D142="",E142,D142)</f>
        <v>0</v>
      </c>
      <c r="N142" s="598"/>
      <c r="P142" s="323"/>
      <c r="W142" s="3" t="b">
        <f t="shared" si="15"/>
        <v>1</v>
      </c>
      <c r="X142" s="586">
        <f t="shared" si="12"/>
        <v>0</v>
      </c>
      <c r="Y142" s="586">
        <f t="shared" si="13"/>
        <v>0</v>
      </c>
    </row>
    <row r="143" spans="1:25" s="18" customFormat="1" ht="104.25" customHeight="1" x14ac:dyDescent="0.3">
      <c r="A143" s="341">
        <f>'Unit Data from Audit Worksheet'!A160</f>
        <v>639</v>
      </c>
      <c r="B143" s="355" t="str">
        <f>'Unit Data from Audit Worksheet'!C160</f>
        <v>Electric Fund Net Position Statement</v>
      </c>
      <c r="C143" s="340" t="str">
        <f>'Unit Data from Audit Worksheet'!D160</f>
        <v>Current liabilities (as reported on the Statement of Fund Net Position)
Include:   Current liabilities including current portion of long-term debt.  Deferred inflows should not be included in Current Liabilities   
Enter as a positive</v>
      </c>
      <c r="D143" s="144"/>
      <c r="E143" s="361">
        <f>'Unit Data from Audit Worksheet'!F160</f>
        <v>0</v>
      </c>
      <c r="F143" s="354" t="str">
        <f>IF(L143&gt;=(L144+L145+L146+L147+L148+L149),"","Account 639 is less than the total sum of accounts 640 through 644 + 384")</f>
        <v/>
      </c>
      <c r="G143" s="356">
        <f>L143-(L144+L145+L146+L147+L148+L149)</f>
        <v>0</v>
      </c>
      <c r="H143" s="353">
        <f>'Unit Data from Audit Worksheet'!I160</f>
        <v>0</v>
      </c>
      <c r="I143" s="38"/>
      <c r="J143" s="352">
        <v>639</v>
      </c>
      <c r="K143" s="351" t="s">
        <v>746</v>
      </c>
      <c r="L143" s="603">
        <f t="shared" ref="L143:L164" si="17">IF(D143="",E143,D143)</f>
        <v>0</v>
      </c>
      <c r="P143" s="323"/>
      <c r="Q143" s="579"/>
      <c r="R143" s="3"/>
      <c r="W143" s="18" t="b">
        <f t="shared" si="15"/>
        <v>1</v>
      </c>
      <c r="X143" s="595">
        <f t="shared" si="12"/>
        <v>0</v>
      </c>
      <c r="Y143" s="595">
        <f t="shared" si="13"/>
        <v>0</v>
      </c>
    </row>
    <row r="144" spans="1:25" s="18" customFormat="1" ht="104.25" customHeight="1" x14ac:dyDescent="0.3">
      <c r="A144" s="341">
        <f>'Unit Data from Audit Worksheet'!A161</f>
        <v>640</v>
      </c>
      <c r="B144" s="355" t="str">
        <f>'Unit Data from Audit Worksheet'!C161</f>
        <v>Electric Fund Net Position Statement</v>
      </c>
      <c r="C144" s="340" t="str">
        <f>'Unit Data from Audit Worksheet'!D161</f>
        <v>Please enter any bond anticipation notes that are classified as current liabilities and included in account 639 above (amounts entered should agree to the current amount included in the changes to long-term debt note)
Enter as a positive</v>
      </c>
      <c r="D144" s="144"/>
      <c r="E144" s="361">
        <f>'Unit Data from Audit Worksheet'!F161</f>
        <v>0</v>
      </c>
      <c r="F144" s="354">
        <f t="shared" ref="F144:F149" si="18">IF(L144&lt;0,"Error: Number is normally positive.",)</f>
        <v>0</v>
      </c>
      <c r="G144" s="356"/>
      <c r="H144" s="353">
        <f>'Unit Data from Audit Worksheet'!I161</f>
        <v>0</v>
      </c>
      <c r="I144" s="38"/>
      <c r="J144" s="352">
        <v>640</v>
      </c>
      <c r="K144" s="351" t="s">
        <v>747</v>
      </c>
      <c r="L144" s="603">
        <f t="shared" si="17"/>
        <v>0</v>
      </c>
      <c r="P144" s="323"/>
      <c r="Q144" s="579"/>
      <c r="R144" s="3"/>
      <c r="W144" s="18" t="b">
        <f t="shared" si="15"/>
        <v>1</v>
      </c>
      <c r="X144" s="595">
        <f t="shared" si="12"/>
        <v>0</v>
      </c>
      <c r="Y144" s="595">
        <f t="shared" si="13"/>
        <v>0</v>
      </c>
    </row>
    <row r="145" spans="1:25" s="18" customFormat="1" ht="104.25" customHeight="1" x14ac:dyDescent="0.3">
      <c r="A145" s="341">
        <f>'Unit Data from Audit Worksheet'!A162</f>
        <v>641</v>
      </c>
      <c r="B145" s="355" t="str">
        <f>'Unit Data from Audit Worksheet'!C162</f>
        <v>Electric Fund Net Position Statement</v>
      </c>
      <c r="C145" s="340" t="str">
        <f>'Unit Data from Audit Worksheet'!D162</f>
        <v>Please enter any compensated absences that are classified as current liabilities and included in account 639 above (amounts entered should agree to the current amount included in the changes to long-term debt note)
Enter as a positive</v>
      </c>
      <c r="D145" s="144"/>
      <c r="E145" s="361">
        <f>'Unit Data from Audit Worksheet'!F162</f>
        <v>0</v>
      </c>
      <c r="F145" s="354">
        <f t="shared" si="18"/>
        <v>0</v>
      </c>
      <c r="G145" s="356"/>
      <c r="H145" s="353">
        <f>'Unit Data from Audit Worksheet'!I162</f>
        <v>0</v>
      </c>
      <c r="I145" s="38"/>
      <c r="J145" s="352">
        <v>641</v>
      </c>
      <c r="K145" s="351" t="s">
        <v>748</v>
      </c>
      <c r="L145" s="603">
        <f t="shared" si="17"/>
        <v>0</v>
      </c>
      <c r="P145" s="323"/>
      <c r="Q145" s="579"/>
      <c r="R145" s="3"/>
      <c r="W145" s="18" t="b">
        <f t="shared" si="15"/>
        <v>1</v>
      </c>
      <c r="X145" s="595">
        <f t="shared" si="12"/>
        <v>0</v>
      </c>
      <c r="Y145" s="595">
        <f t="shared" si="13"/>
        <v>0</v>
      </c>
    </row>
    <row r="146" spans="1:25" s="18" customFormat="1" ht="104.25" customHeight="1" x14ac:dyDescent="0.3">
      <c r="A146" s="341">
        <f>'Unit Data from Audit Worksheet'!A163</f>
        <v>642</v>
      </c>
      <c r="B146" s="355" t="str">
        <f>'Unit Data from Audit Worksheet'!C163</f>
        <v>Electric Fund Net Position Statement</v>
      </c>
      <c r="C146" s="340" t="str">
        <f>'Unit Data from Audit Worksheet'!D163</f>
        <v>Please enter any pension liabilities that are classified as current liabilities and included account in 639 above (amounts entered should agree to the current amount included in the changes to long-term debt note)
Enter as a positive</v>
      </c>
      <c r="D146" s="144"/>
      <c r="E146" s="361">
        <f>'Unit Data from Audit Worksheet'!F163</f>
        <v>0</v>
      </c>
      <c r="F146" s="354">
        <f t="shared" si="18"/>
        <v>0</v>
      </c>
      <c r="G146" s="356"/>
      <c r="H146" s="353">
        <f>'Unit Data from Audit Worksheet'!I163</f>
        <v>0</v>
      </c>
      <c r="I146" s="38"/>
      <c r="J146" s="352">
        <v>642</v>
      </c>
      <c r="K146" s="351" t="s">
        <v>749</v>
      </c>
      <c r="L146" s="603">
        <f t="shared" si="17"/>
        <v>0</v>
      </c>
      <c r="P146" s="323"/>
      <c r="Q146" s="579"/>
      <c r="R146" s="3"/>
      <c r="W146" s="18" t="b">
        <f t="shared" si="15"/>
        <v>1</v>
      </c>
      <c r="X146" s="595">
        <f t="shared" si="12"/>
        <v>0</v>
      </c>
      <c r="Y146" s="595">
        <f t="shared" si="13"/>
        <v>0</v>
      </c>
    </row>
    <row r="147" spans="1:25" s="18" customFormat="1" ht="60.75" customHeight="1" x14ac:dyDescent="0.3">
      <c r="A147" s="341">
        <f>'Unit Data from Audit Worksheet'!A164</f>
        <v>643</v>
      </c>
      <c r="B147" s="355" t="str">
        <f>'Unit Data from Audit Worksheet'!C164</f>
        <v>Electric Fund Net Position Statement</v>
      </c>
      <c r="C147" s="340" t="str">
        <f>'Unit Data from Audit Worksheet'!D164</f>
        <v>Please enter any current liabilities that are payable from restricted assets and included in account 639 above. 
Enter as a positive</v>
      </c>
      <c r="D147" s="144"/>
      <c r="E147" s="361">
        <f>'Unit Data from Audit Worksheet'!F164</f>
        <v>0</v>
      </c>
      <c r="F147" s="354">
        <f t="shared" si="18"/>
        <v>0</v>
      </c>
      <c r="G147" s="356"/>
      <c r="H147" s="353">
        <f>'Unit Data from Audit Worksheet'!I164</f>
        <v>0</v>
      </c>
      <c r="I147" s="38"/>
      <c r="J147" s="352">
        <v>643</v>
      </c>
      <c r="K147" s="351" t="s">
        <v>750</v>
      </c>
      <c r="L147" s="603">
        <f t="shared" si="17"/>
        <v>0</v>
      </c>
      <c r="P147" s="323"/>
      <c r="Q147" s="579"/>
      <c r="R147" s="3"/>
      <c r="W147" s="18" t="b">
        <f t="shared" si="15"/>
        <v>1</v>
      </c>
      <c r="X147" s="595">
        <f t="shared" si="12"/>
        <v>0</v>
      </c>
      <c r="Y147" s="595">
        <f t="shared" si="13"/>
        <v>0</v>
      </c>
    </row>
    <row r="148" spans="1:25" s="18" customFormat="1" ht="102" customHeight="1" x14ac:dyDescent="0.3">
      <c r="A148" s="341">
        <f>'Unit Data from Audit Worksheet'!A165</f>
        <v>644</v>
      </c>
      <c r="B148" s="355" t="str">
        <f>'Unit Data from Audit Worksheet'!C165</f>
        <v>Electric Fund Net Position Statement</v>
      </c>
      <c r="C148" s="340" t="str">
        <f>'Unit Data from Audit Worksheet'!D165</f>
        <v>Please enter any OPEB liabilities that are classified as current liabilities and included in account 639 above (amounts entered should agree to the current amount included in the changes to long-term debt note)
Enter as a positive</v>
      </c>
      <c r="D148" s="144"/>
      <c r="E148" s="361">
        <f>'Unit Data from Audit Worksheet'!F165</f>
        <v>0</v>
      </c>
      <c r="F148" s="354">
        <f t="shared" si="18"/>
        <v>0</v>
      </c>
      <c r="G148" s="356"/>
      <c r="H148" s="353">
        <f>'Unit Data from Audit Worksheet'!I165</f>
        <v>0</v>
      </c>
      <c r="I148" s="38"/>
      <c r="J148" s="282">
        <v>644</v>
      </c>
      <c r="K148" s="351" t="s">
        <v>751</v>
      </c>
      <c r="L148" s="603">
        <f t="shared" si="17"/>
        <v>0</v>
      </c>
      <c r="P148" s="326"/>
      <c r="Q148" s="579"/>
      <c r="R148" s="3"/>
      <c r="W148" s="18" t="b">
        <f t="shared" si="15"/>
        <v>1</v>
      </c>
      <c r="X148" s="595">
        <f t="shared" si="12"/>
        <v>0</v>
      </c>
      <c r="Y148" s="595">
        <f t="shared" si="13"/>
        <v>0</v>
      </c>
    </row>
    <row r="149" spans="1:25" ht="63.75" customHeight="1" x14ac:dyDescent="0.3">
      <c r="A149" s="341">
        <f>+'Unit Data from Audit Worksheet'!A166</f>
        <v>384</v>
      </c>
      <c r="B149" s="341" t="str">
        <f>+'Unit Data from Audit Worksheet'!C166</f>
        <v>Electric Fund Net Position Statement</v>
      </c>
      <c r="C149" s="341" t="str">
        <f>+'Unit Data from Audit Worksheet'!D166</f>
        <v>Unearned revenue (arising from cash receipts) that were included in Current Liabilities in account 639 above.
Enter as a positive</v>
      </c>
      <c r="D149" s="144"/>
      <c r="E149" s="361">
        <f>+'Unit Data from Audit Worksheet'!F166</f>
        <v>0</v>
      </c>
      <c r="F149" s="354">
        <f t="shared" si="18"/>
        <v>0</v>
      </c>
      <c r="G149" s="356"/>
      <c r="H149" s="353">
        <f>'Unit Data from Audit Worksheet'!I166</f>
        <v>0</v>
      </c>
      <c r="I149" s="38"/>
      <c r="J149" s="352">
        <v>384</v>
      </c>
      <c r="K149" s="58" t="s">
        <v>124</v>
      </c>
      <c r="L149" s="589">
        <f t="shared" si="17"/>
        <v>0</v>
      </c>
      <c r="P149" s="323"/>
      <c r="W149" s="3" t="b">
        <f t="shared" si="15"/>
        <v>1</v>
      </c>
      <c r="X149" s="586">
        <f t="shared" si="12"/>
        <v>0</v>
      </c>
      <c r="Y149" s="586">
        <f t="shared" si="13"/>
        <v>0</v>
      </c>
    </row>
    <row r="150" spans="1:25" ht="86.4" x14ac:dyDescent="0.3">
      <c r="A150" s="341">
        <f>+'Unit Data from Audit Worksheet'!A167</f>
        <v>361</v>
      </c>
      <c r="B150" s="341" t="str">
        <f>+'Unit Data from Audit Worksheet'!C167</f>
        <v>Electric Fund Net Position Statement</v>
      </c>
      <c r="C150" s="341" t="str">
        <f>+'Unit Data from Audit Worksheet'!D167</f>
        <v>Total net position, unrestricted - Amount of negative unrestricted net position should be entered as a negative amount and the amount of positive unrestricted net position should be entered as a positive amount.</v>
      </c>
      <c r="D150" s="144"/>
      <c r="E150" s="361">
        <f>+'Unit Data from Audit Worksheet'!F167</f>
        <v>0</v>
      </c>
      <c r="F150" s="354"/>
      <c r="G150" s="356"/>
      <c r="H150" s="353">
        <f>'Unit Data from Audit Worksheet'!I167</f>
        <v>0</v>
      </c>
      <c r="I150" s="38"/>
      <c r="J150" s="352">
        <v>361</v>
      </c>
      <c r="K150" s="351" t="s">
        <v>106</v>
      </c>
      <c r="L150" s="589">
        <f t="shared" si="17"/>
        <v>0</v>
      </c>
      <c r="P150" s="323"/>
      <c r="W150" s="3" t="b">
        <f t="shared" si="15"/>
        <v>1</v>
      </c>
      <c r="X150" s="586">
        <f t="shared" si="12"/>
        <v>0</v>
      </c>
      <c r="Y150" s="586">
        <f t="shared" si="13"/>
        <v>0</v>
      </c>
    </row>
    <row r="151" spans="1:25" ht="46.5" customHeight="1" x14ac:dyDescent="0.3">
      <c r="A151" s="341">
        <f>'Unit Data from Audit Worksheet'!A168</f>
        <v>362</v>
      </c>
      <c r="B151" s="355" t="str">
        <f>'Unit Data from Audit Worksheet'!C168</f>
        <v>Electric Fund Net Position Statement</v>
      </c>
      <c r="C151" s="340" t="str">
        <f>'Unit Data from Audit Worksheet'!D168</f>
        <v>Total net position</v>
      </c>
      <c r="D151" s="144"/>
      <c r="E151" s="361">
        <f>'Unit Data from Audit Worksheet'!F168</f>
        <v>0</v>
      </c>
      <c r="F151" s="354">
        <f>IF(L140-L141-L151=0,,"Error: Total assets less total liabilities do not equal net position acct 382-360-362=0")</f>
        <v>0</v>
      </c>
      <c r="G151" s="91">
        <f>+L140-L141-L151</f>
        <v>0</v>
      </c>
      <c r="H151" s="353">
        <f>'Unit Data from Audit Worksheet'!I168</f>
        <v>0</v>
      </c>
      <c r="I151" s="38"/>
      <c r="J151" s="352">
        <v>362</v>
      </c>
      <c r="K151" s="351" t="s">
        <v>107</v>
      </c>
      <c r="L151" s="589">
        <f t="shared" si="17"/>
        <v>0</v>
      </c>
      <c r="O151" s="597" t="e">
        <f>'Unit Data from Audit Worksheet'!E168</f>
        <v>#N/A</v>
      </c>
      <c r="P151" s="323"/>
      <c r="Q151" s="579">
        <f>IF(+L140-L141-L151=0,0,1)</f>
        <v>0</v>
      </c>
      <c r="W151" s="3" t="b">
        <f t="shared" si="15"/>
        <v>1</v>
      </c>
      <c r="X151" s="586">
        <f t="shared" si="12"/>
        <v>0</v>
      </c>
      <c r="Y151" s="586">
        <f t="shared" si="13"/>
        <v>0</v>
      </c>
    </row>
    <row r="152" spans="1:25" ht="61.5" customHeight="1" x14ac:dyDescent="0.3">
      <c r="A152" s="341">
        <f>'Unit Data from Audit Worksheet'!A171</f>
        <v>88</v>
      </c>
      <c r="B152" s="355" t="str">
        <f>'Unit Data from Audit Worksheet'!C171</f>
        <v>Water Sewer Revenue, Expenses &amp; Changes in Fund Net Position</v>
      </c>
      <c r="C152" s="340" t="str">
        <f>'Unit Data from Audit Worksheet'!D171</f>
        <v>Charges for services. 
Exclude tap, capacity fees and other misc. income .</v>
      </c>
      <c r="D152" s="144"/>
      <c r="E152" s="361">
        <f>'Unit Data from Audit Worksheet'!F171</f>
        <v>0</v>
      </c>
      <c r="F152" s="354"/>
      <c r="G152" s="356"/>
      <c r="H152" s="353">
        <f>'Unit Data from Audit Worksheet'!I171</f>
        <v>0</v>
      </c>
      <c r="I152" s="38"/>
      <c r="J152" s="352">
        <v>88</v>
      </c>
      <c r="K152" s="351" t="s">
        <v>226</v>
      </c>
      <c r="L152" s="589">
        <f t="shared" si="17"/>
        <v>0</v>
      </c>
      <c r="P152" s="323"/>
      <c r="Q152" s="357"/>
      <c r="W152" s="3" t="b">
        <f t="shared" si="15"/>
        <v>1</v>
      </c>
      <c r="X152" s="586">
        <f t="shared" si="12"/>
        <v>0</v>
      </c>
      <c r="Y152" s="586">
        <f t="shared" si="13"/>
        <v>0</v>
      </c>
    </row>
    <row r="153" spans="1:25" ht="72" customHeight="1" x14ac:dyDescent="0.3">
      <c r="A153" s="341">
        <f>'Unit Data from Audit Worksheet'!A172</f>
        <v>84</v>
      </c>
      <c r="B153" s="355" t="str">
        <f>'Unit Data from Audit Worksheet'!C172</f>
        <v>Water Sewer Revenue, Expenses &amp; Changes in Fund Net Position</v>
      </c>
      <c r="C153" s="340" t="str">
        <f>'Unit Data from Audit Worksheet'!D172</f>
        <v>Total Operating revenues</v>
      </c>
      <c r="D153" s="144"/>
      <c r="E153" s="361">
        <f>'Unit Data from Audit Worksheet'!F172</f>
        <v>0</v>
      </c>
      <c r="F153" s="354" t="str">
        <f>IF(L152&gt;L153,"Error: Charges for services exceed total operating revenues. Acct # 88&gt;84"," ")</f>
        <v xml:space="preserve"> </v>
      </c>
      <c r="G153" s="356" t="str">
        <f>IF(Q153=1," Included in error count"," ")</f>
        <v xml:space="preserve"> </v>
      </c>
      <c r="H153" s="353">
        <f>'Unit Data from Audit Worksheet'!I172</f>
        <v>0</v>
      </c>
      <c r="I153" s="38"/>
      <c r="J153" s="352">
        <v>84</v>
      </c>
      <c r="K153" s="351" t="s">
        <v>227</v>
      </c>
      <c r="L153" s="589">
        <f t="shared" si="17"/>
        <v>0</v>
      </c>
      <c r="P153" s="323"/>
      <c r="Q153" s="579">
        <f>IF(L152&gt;L153,1,0)</f>
        <v>0</v>
      </c>
      <c r="W153" s="3" t="b">
        <f t="shared" si="15"/>
        <v>1</v>
      </c>
      <c r="X153" s="586">
        <f t="shared" si="12"/>
        <v>0</v>
      </c>
      <c r="Y153" s="586">
        <f t="shared" si="13"/>
        <v>0</v>
      </c>
    </row>
    <row r="154" spans="1:25" ht="72" customHeight="1" x14ac:dyDescent="0.3">
      <c r="A154" s="341">
        <f>'Unit Data from Audit Worksheet'!A173</f>
        <v>49</v>
      </c>
      <c r="B154" s="355" t="str">
        <f>'Unit Data from Audit Worksheet'!C173</f>
        <v>Water Sewer Revenue, Expenses &amp; Changes in Fund Net Position</v>
      </c>
      <c r="C154" s="340" t="str">
        <f>'Unit Data from Audit Worksheet'!D173</f>
        <v>Depreciation and amortization expense</v>
      </c>
      <c r="D154" s="144"/>
      <c r="E154" s="361">
        <f>'Unit Data from Audit Worksheet'!F173</f>
        <v>0</v>
      </c>
      <c r="F154" s="354">
        <f>IF(L154&lt;0,"Error: Number is normally positive.",)</f>
        <v>0</v>
      </c>
      <c r="G154" s="356"/>
      <c r="H154" s="353">
        <f>'Unit Data from Audit Worksheet'!I173</f>
        <v>0</v>
      </c>
      <c r="I154" s="38"/>
      <c r="J154" s="352">
        <v>49</v>
      </c>
      <c r="K154" s="351" t="s">
        <v>228</v>
      </c>
      <c r="L154" s="589">
        <f t="shared" si="17"/>
        <v>0</v>
      </c>
      <c r="O154" s="597"/>
      <c r="P154" s="323"/>
      <c r="W154" s="3" t="b">
        <f t="shared" si="15"/>
        <v>1</v>
      </c>
      <c r="X154" s="586">
        <f t="shared" si="12"/>
        <v>0</v>
      </c>
      <c r="Y154" s="586">
        <f t="shared" si="13"/>
        <v>0</v>
      </c>
    </row>
    <row r="155" spans="1:25" ht="48" customHeight="1" x14ac:dyDescent="0.3">
      <c r="A155" s="341">
        <f>'Unit Data from Audit Worksheet'!A174</f>
        <v>85</v>
      </c>
      <c r="B155" s="355" t="str">
        <f>'Unit Data from Audit Worksheet'!C174</f>
        <v>Water Sewer Revenue, Expenses &amp; Changes in Fund Net Position</v>
      </c>
      <c r="C155" s="340" t="str">
        <f>'Unit Data from Audit Worksheet'!D174</f>
        <v>Total Operating expenses</v>
      </c>
      <c r="D155" s="144"/>
      <c r="E155" s="361">
        <f>'Unit Data from Audit Worksheet'!F174</f>
        <v>0</v>
      </c>
      <c r="F155" s="354"/>
      <c r="G155" s="356"/>
      <c r="H155" s="353">
        <f>'Unit Data from Audit Worksheet'!I174</f>
        <v>0</v>
      </c>
      <c r="I155" s="38"/>
      <c r="J155" s="352">
        <v>85</v>
      </c>
      <c r="K155" s="351" t="s">
        <v>229</v>
      </c>
      <c r="L155" s="589">
        <f t="shared" si="17"/>
        <v>0</v>
      </c>
      <c r="P155" s="323"/>
      <c r="W155" s="3" t="b">
        <f t="shared" si="15"/>
        <v>1</v>
      </c>
      <c r="X155" s="586">
        <f t="shared" si="12"/>
        <v>0</v>
      </c>
      <c r="Y155" s="586">
        <f t="shared" si="13"/>
        <v>0</v>
      </c>
    </row>
    <row r="156" spans="1:25" ht="48" customHeight="1" x14ac:dyDescent="0.3">
      <c r="A156" s="341">
        <f>'Unit Data from Audit Worksheet'!A175</f>
        <v>89</v>
      </c>
      <c r="B156" s="355" t="str">
        <f>'Unit Data from Audit Worksheet'!C175</f>
        <v>Water Sewer Revenue, Expenses &amp; Changes in Fund Net Position</v>
      </c>
      <c r="C156" s="340" t="str">
        <f>'Unit Data from Audit Worksheet'!D175</f>
        <v>Interest expense</v>
      </c>
      <c r="D156" s="144"/>
      <c r="E156" s="361">
        <f>'Unit Data from Audit Worksheet'!F175</f>
        <v>0</v>
      </c>
      <c r="F156" s="354"/>
      <c r="G156" s="356"/>
      <c r="H156" s="353">
        <f>'Unit Data from Audit Worksheet'!I175</f>
        <v>0</v>
      </c>
      <c r="I156" s="38"/>
      <c r="J156" s="352">
        <v>89</v>
      </c>
      <c r="K156" s="351" t="s">
        <v>230</v>
      </c>
      <c r="L156" s="589">
        <f t="shared" si="17"/>
        <v>0</v>
      </c>
      <c r="P156" s="323"/>
      <c r="W156" s="3" t="b">
        <f t="shared" si="15"/>
        <v>1</v>
      </c>
      <c r="X156" s="586">
        <f t="shared" si="12"/>
        <v>0</v>
      </c>
      <c r="Y156" s="586">
        <f t="shared" si="13"/>
        <v>0</v>
      </c>
    </row>
    <row r="157" spans="1:25" ht="48" customHeight="1" x14ac:dyDescent="0.3">
      <c r="A157" s="341">
        <f>'Unit Data from Audit Worksheet'!A176</f>
        <v>350</v>
      </c>
      <c r="B157" s="355" t="str">
        <f>'Unit Data from Audit Worksheet'!C176</f>
        <v>Water Sewer Revenue, Expenses &amp; Changes in Fund Net Position</v>
      </c>
      <c r="C157" s="340" t="str">
        <f>'Unit Data from Audit Worksheet'!D176</f>
        <v>Total all non-operating revenues  
Exclude Capital contributions.</v>
      </c>
      <c r="D157" s="144"/>
      <c r="E157" s="361">
        <f>'Unit Data from Audit Worksheet'!F176</f>
        <v>0</v>
      </c>
      <c r="F157" s="354"/>
      <c r="G157" s="356"/>
      <c r="H157" s="353">
        <f>'Unit Data from Audit Worksheet'!I176</f>
        <v>0</v>
      </c>
      <c r="I157" s="38"/>
      <c r="J157" s="352">
        <v>350</v>
      </c>
      <c r="K157" s="351" t="s">
        <v>231</v>
      </c>
      <c r="L157" s="589">
        <f t="shared" si="17"/>
        <v>0</v>
      </c>
      <c r="P157" s="323"/>
      <c r="W157" s="3" t="b">
        <f t="shared" si="15"/>
        <v>1</v>
      </c>
      <c r="X157" s="586">
        <f t="shared" si="12"/>
        <v>0</v>
      </c>
      <c r="Y157" s="586">
        <f t="shared" si="13"/>
        <v>0</v>
      </c>
    </row>
    <row r="158" spans="1:25" ht="48" customHeight="1" x14ac:dyDescent="0.3">
      <c r="A158" s="341">
        <f>'Unit Data from Audit Worksheet'!A177</f>
        <v>351</v>
      </c>
      <c r="B158" s="355" t="str">
        <f>'Unit Data from Audit Worksheet'!C177</f>
        <v>Water Sewer Revenue, Expenses &amp; Changes in Fund Net Position</v>
      </c>
      <c r="C158" s="340" t="str">
        <f>'Unit Data from Audit Worksheet'!D177</f>
        <v>Total all non-operating expenses.  
Include any negative special, extraordinary, or capital contribution.</v>
      </c>
      <c r="D158" s="144"/>
      <c r="E158" s="361">
        <f>'Unit Data from Audit Worksheet'!F177</f>
        <v>0</v>
      </c>
      <c r="F158" s="354"/>
      <c r="G158" s="356"/>
      <c r="H158" s="353">
        <f>'Unit Data from Audit Worksheet'!I177</f>
        <v>0</v>
      </c>
      <c r="I158" s="38"/>
      <c r="J158" s="352">
        <v>351</v>
      </c>
      <c r="K158" s="351" t="s">
        <v>232</v>
      </c>
      <c r="L158" s="589">
        <f t="shared" si="17"/>
        <v>0</v>
      </c>
      <c r="P158" s="323"/>
      <c r="W158" s="3" t="b">
        <f t="shared" si="15"/>
        <v>1</v>
      </c>
      <c r="X158" s="586">
        <f t="shared" si="12"/>
        <v>0</v>
      </c>
      <c r="Y158" s="586">
        <f t="shared" si="13"/>
        <v>0</v>
      </c>
    </row>
    <row r="159" spans="1:25" ht="57.6" x14ac:dyDescent="0.3">
      <c r="A159" s="341">
        <f>'Unit Data from Audit Worksheet'!A178</f>
        <v>191</v>
      </c>
      <c r="B159" s="355" t="str">
        <f>'Unit Data from Audit Worksheet'!C178</f>
        <v>Water Sewer Revenue, Expenses &amp; Changes in Fund Net Position</v>
      </c>
      <c r="C159" s="340" t="str">
        <f>'Unit Data from Audit Worksheet'!D178</f>
        <v>Capital contributions. Only include positive capital contributions.  Negative capital contributions should be included with 'Total all non-operating expenses.'</v>
      </c>
      <c r="D159" s="144"/>
      <c r="E159" s="361">
        <f>'Unit Data from Audit Worksheet'!F178</f>
        <v>0</v>
      </c>
      <c r="F159" s="354">
        <f>IF(L159&lt;0,"Error: Enter as a positive.",)</f>
        <v>0</v>
      </c>
      <c r="G159" s="356"/>
      <c r="H159" s="353">
        <f>'Unit Data from Audit Worksheet'!I178</f>
        <v>0</v>
      </c>
      <c r="I159" s="38"/>
      <c r="J159" s="352">
        <v>191</v>
      </c>
      <c r="K159" s="351" t="s">
        <v>233</v>
      </c>
      <c r="L159" s="589">
        <f t="shared" si="17"/>
        <v>0</v>
      </c>
      <c r="P159" s="323"/>
      <c r="W159" s="3" t="b">
        <f t="shared" si="15"/>
        <v>1</v>
      </c>
      <c r="X159" s="586">
        <f t="shared" si="12"/>
        <v>0</v>
      </c>
      <c r="Y159" s="586">
        <f t="shared" si="13"/>
        <v>0</v>
      </c>
    </row>
    <row r="160" spans="1:25" ht="47.25" customHeight="1" x14ac:dyDescent="0.3">
      <c r="A160" s="341">
        <f>'Unit Data from Audit Worksheet'!A179</f>
        <v>352</v>
      </c>
      <c r="B160" s="355" t="str">
        <f>'Unit Data from Audit Worksheet'!C179</f>
        <v>Water Sewer Revenue, Expenses &amp; Changes in Fund Net Position</v>
      </c>
      <c r="C160" s="340" t="str">
        <f>'Unit Data from Audit Worksheet'!D179</f>
        <v>Total Transfers in - all funds (operating and capital)</v>
      </c>
      <c r="D160" s="144"/>
      <c r="E160" s="361">
        <f>'Unit Data from Audit Worksheet'!F179</f>
        <v>0</v>
      </c>
      <c r="F160" s="354"/>
      <c r="G160" s="356"/>
      <c r="H160" s="353">
        <f>'Unit Data from Audit Worksheet'!I179</f>
        <v>0</v>
      </c>
      <c r="I160" s="38"/>
      <c r="J160" s="352">
        <v>352</v>
      </c>
      <c r="K160" s="351" t="s">
        <v>234</v>
      </c>
      <c r="L160" s="589">
        <f t="shared" si="17"/>
        <v>0</v>
      </c>
      <c r="P160" s="323"/>
      <c r="W160" s="3" t="b">
        <f t="shared" si="15"/>
        <v>1</v>
      </c>
      <c r="X160" s="586">
        <f t="shared" si="12"/>
        <v>0</v>
      </c>
      <c r="Y160" s="586">
        <f t="shared" si="13"/>
        <v>0</v>
      </c>
    </row>
    <row r="161" spans="1:25" ht="70.5" customHeight="1" x14ac:dyDescent="0.3">
      <c r="A161" s="605">
        <f>'Unit Data from Audit Worksheet'!A180</f>
        <v>986</v>
      </c>
      <c r="B161" s="359" t="str">
        <f>'Unit Data from Audit Worksheet'!C180</f>
        <v>Water Sewer Revenue, Expenses &amp; Changes in Fund Net Position</v>
      </c>
      <c r="C161" s="606" t="str">
        <f>'Unit Data from Audit Worksheet'!D180</f>
        <v>Of the transfers-in above in acct # 352, list amount of transfers-in that were used to support Water Sewer operations  (exclude capital transfers)</v>
      </c>
      <c r="D161" s="144"/>
      <c r="E161" s="361">
        <f>'Unit Data from Audit Worksheet'!F180</f>
        <v>0</v>
      </c>
      <c r="F161" s="354"/>
      <c r="G161" s="356"/>
      <c r="H161" s="353"/>
      <c r="I161" s="38"/>
      <c r="J161" s="370">
        <v>986</v>
      </c>
      <c r="K161" s="606" t="s">
        <v>1081</v>
      </c>
      <c r="L161" s="607">
        <f t="shared" si="17"/>
        <v>0</v>
      </c>
      <c r="P161" s="323"/>
      <c r="W161" s="3" t="b">
        <f t="shared" si="15"/>
        <v>1</v>
      </c>
      <c r="X161" s="586"/>
      <c r="Y161" s="586"/>
    </row>
    <row r="162" spans="1:25" ht="47.25" customHeight="1" x14ac:dyDescent="0.3">
      <c r="A162" s="341">
        <f>'Unit Data from Audit Worksheet'!A181</f>
        <v>353</v>
      </c>
      <c r="B162" s="355" t="str">
        <f>'Unit Data from Audit Worksheet'!C181</f>
        <v>Water Sewer Revenue, Expenses &amp; Changes in Fund Net Position</v>
      </c>
      <c r="C162" s="340" t="str">
        <f>'Unit Data from Audit Worksheet'!D181</f>
        <v>Total Transfers out</v>
      </c>
      <c r="D162" s="144"/>
      <c r="E162" s="361">
        <f>'Unit Data from Audit Worksheet'!F181</f>
        <v>0</v>
      </c>
      <c r="F162" s="354">
        <f>IF(L162&lt;0,"Error: Enter as a positive.",)</f>
        <v>0</v>
      </c>
      <c r="G162" s="356"/>
      <c r="H162" s="353">
        <f>'Unit Data from Audit Worksheet'!I181</f>
        <v>0</v>
      </c>
      <c r="I162" s="38"/>
      <c r="J162" s="40">
        <v>353</v>
      </c>
      <c r="K162" s="351" t="s">
        <v>235</v>
      </c>
      <c r="L162" s="589">
        <f t="shared" si="17"/>
        <v>0</v>
      </c>
      <c r="P162" s="327"/>
      <c r="W162" s="3" t="b">
        <f t="shared" si="15"/>
        <v>1</v>
      </c>
      <c r="X162" s="586">
        <f t="shared" si="12"/>
        <v>0</v>
      </c>
      <c r="Y162" s="586">
        <f t="shared" si="13"/>
        <v>0</v>
      </c>
    </row>
    <row r="163" spans="1:25" ht="72.75" customHeight="1" x14ac:dyDescent="0.3">
      <c r="A163" s="341">
        <f>'Unit Data from Audit Worksheet'!A182</f>
        <v>50</v>
      </c>
      <c r="B163" s="355" t="str">
        <f>'Unit Data from Audit Worksheet'!C182</f>
        <v>Water Sewer Revenue, Expenses &amp; Changes in Fund Net Position</v>
      </c>
      <c r="C163" s="340" t="str">
        <f>'Unit Data from Audit Worksheet'!D182</f>
        <v>Change in net position - Increase in net position is recorded as a positive and a (Decrease) in net position is recorded as a negative.</v>
      </c>
      <c r="D163" s="144"/>
      <c r="E163" s="149">
        <f>'Unit Data from Audit Worksheet'!F182</f>
        <v>0</v>
      </c>
      <c r="F163" s="354">
        <f>IF(L153-L155+L157-L158+L160+L159-L162-L163=0,,"Error:Total revenues less total expenses do not equal total change in net position. Acct # 84-85+350-351+191+352-353-50")</f>
        <v>0</v>
      </c>
      <c r="G163" s="91">
        <f>+L153-L155+L157-L158+L160+L159-L162-L163</f>
        <v>0</v>
      </c>
      <c r="H163" s="353">
        <f>'Unit Data from Audit Worksheet'!I182</f>
        <v>0</v>
      </c>
      <c r="I163" s="38"/>
      <c r="J163" s="352">
        <v>50</v>
      </c>
      <c r="K163" s="351" t="s">
        <v>100</v>
      </c>
      <c r="L163" s="589">
        <f t="shared" si="17"/>
        <v>0</v>
      </c>
      <c r="P163" s="323"/>
      <c r="Q163" s="579">
        <f>IF(G163&lt;&gt;0,1,0)</f>
        <v>0</v>
      </c>
      <c r="W163" s="3" t="b">
        <f t="shared" si="15"/>
        <v>1</v>
      </c>
      <c r="X163" s="586">
        <f t="shared" si="12"/>
        <v>0</v>
      </c>
      <c r="Y163" s="586">
        <f t="shared" si="13"/>
        <v>0</v>
      </c>
    </row>
    <row r="164" spans="1:25" ht="144" customHeight="1" x14ac:dyDescent="0.3">
      <c r="A164" s="341">
        <f>'Unit Data from Audit Worksheet'!A183</f>
        <v>377</v>
      </c>
      <c r="B164" s="355" t="str">
        <f>'Unit Data from Audit Worksheet'!C183</f>
        <v>Water Sewer Revenue, Expenses &amp; Changes in Fund Net Position</v>
      </c>
      <c r="C164" s="340" t="str">
        <f>'Unit Data from Audit Worksheet'!D183</f>
        <v>Increases or (decreases) to beginning water sewer net position due to rounding, prior period adjustments and restatements.  Increase amounts to beginning net position should be entered as a positive amount and (decreases) should be entered as a negative amount.</v>
      </c>
      <c r="D164" s="144"/>
      <c r="E164" s="149">
        <f>'Unit Data from Audit Worksheet'!F183</f>
        <v>0</v>
      </c>
      <c r="F164" s="87" t="e">
        <f>IF(L133-L163-L164=O133,,"Error:Beginning Balance does not agree with out records.Acct # 83-50-377 = PY83")</f>
        <v>#N/A</v>
      </c>
      <c r="G164" s="91" t="e">
        <f>+L133-L163-L164-O133</f>
        <v>#N/A</v>
      </c>
      <c r="H164" s="353" t="str">
        <f>'Unit Data from Audit Worksheet'!I183</f>
        <v>Please do not enter prior's years beginning balance as an adjustment in column F.</v>
      </c>
      <c r="I164" s="38"/>
      <c r="J164" s="352">
        <v>377</v>
      </c>
      <c r="K164" s="351" t="s">
        <v>109</v>
      </c>
      <c r="L164" s="589">
        <f t="shared" si="17"/>
        <v>0</v>
      </c>
      <c r="P164" s="323"/>
      <c r="Q164" s="579" t="e">
        <f>IF(G164&lt;&gt;0,1,0)</f>
        <v>#N/A</v>
      </c>
      <c r="W164" s="3" t="b">
        <f t="shared" si="15"/>
        <v>1</v>
      </c>
      <c r="X164" s="586">
        <f t="shared" si="12"/>
        <v>0</v>
      </c>
      <c r="Y164" s="586">
        <f t="shared" si="13"/>
        <v>0</v>
      </c>
    </row>
    <row r="165" spans="1:25" ht="63" customHeight="1" x14ac:dyDescent="0.3">
      <c r="A165" s="614">
        <f>'Unit Data from Audit Worksheet'!A184</f>
        <v>537</v>
      </c>
      <c r="B165" s="355" t="str">
        <f>'Unit Data from Audit Worksheet'!C184</f>
        <v>Water Sewer Revenue, Expenses &amp; Changes in Fund Net Position</v>
      </c>
      <c r="C165" s="340" t="str">
        <f>'Unit Data from Audit Worksheet'!D184</f>
        <v>Did unit raise Water Sewer rates during the audited fiscal period? - answer Yes or No</v>
      </c>
      <c r="D165" s="139"/>
      <c r="E165" s="361">
        <f>'Unit Data from Audit Worksheet'!F184</f>
        <v>0</v>
      </c>
      <c r="F165" s="354" t="s">
        <v>556</v>
      </c>
      <c r="G165" s="356"/>
      <c r="H165" s="353">
        <f>'Unit Data from Audit Worksheet'!I184</f>
        <v>0</v>
      </c>
      <c r="I165" s="38"/>
      <c r="J165" s="67">
        <v>537</v>
      </c>
      <c r="K165" s="65" t="s">
        <v>295</v>
      </c>
      <c r="L165" s="615">
        <f>IF(E165="Yes",1,IF(E165="No",2,0))</f>
        <v>0</v>
      </c>
      <c r="N165" s="61" t="s">
        <v>546</v>
      </c>
      <c r="P165" s="328"/>
      <c r="W165" s="3" t="b">
        <f t="shared" ref="W165:W196" si="19">EXACT(A165,J165)</f>
        <v>1</v>
      </c>
      <c r="X165" s="586">
        <f t="shared" si="12"/>
        <v>0</v>
      </c>
      <c r="Y165" s="586">
        <f t="shared" si="13"/>
        <v>0</v>
      </c>
    </row>
    <row r="166" spans="1:25" ht="63.75" customHeight="1" x14ac:dyDescent="0.3">
      <c r="A166" s="614">
        <f>'Unit Data from Audit Worksheet'!A185</f>
        <v>538</v>
      </c>
      <c r="B166" s="355" t="str">
        <f>'Unit Data from Audit Worksheet'!C185</f>
        <v>Water Sewer Revenue, Expenses &amp; Changes in Fund Net Position</v>
      </c>
      <c r="C166" s="340" t="str">
        <f>'Unit Data from Audit Worksheet'!D185</f>
        <v>Did unit raise Water Sewer rates during the budget year following the audited fiscal year? - answer Yes or No</v>
      </c>
      <c r="D166" s="139"/>
      <c r="E166" s="361">
        <f>'Unit Data from Audit Worksheet'!F185</f>
        <v>0</v>
      </c>
      <c r="F166" s="354" t="s">
        <v>556</v>
      </c>
      <c r="G166" s="356"/>
      <c r="H166" s="353">
        <f>'Unit Data from Audit Worksheet'!I185</f>
        <v>0</v>
      </c>
      <c r="I166" s="38"/>
      <c r="J166" s="67">
        <v>538</v>
      </c>
      <c r="K166" s="65" t="s">
        <v>294</v>
      </c>
      <c r="L166" s="615">
        <f>IF(E166="Yes",1,IF(E166="No",2,0))</f>
        <v>0</v>
      </c>
      <c r="N166" s="61" t="s">
        <v>546</v>
      </c>
      <c r="P166" s="328"/>
      <c r="W166" s="3" t="b">
        <f t="shared" si="19"/>
        <v>1</v>
      </c>
      <c r="X166" s="586">
        <f t="shared" si="12"/>
        <v>0</v>
      </c>
      <c r="Y166" s="586">
        <f t="shared" si="13"/>
        <v>0</v>
      </c>
    </row>
    <row r="167" spans="1:25" ht="47.25" customHeight="1" x14ac:dyDescent="0.3">
      <c r="A167" s="341">
        <f>'Unit Data from Audit Worksheet'!A187</f>
        <v>97</v>
      </c>
      <c r="B167" s="355" t="str">
        <f>'Unit Data from Audit Worksheet'!C187</f>
        <v>Electric Fund Revenue, Expenses &amp; Changes in Fund Net Position</v>
      </c>
      <c r="C167" s="340" t="str">
        <f>'Unit Data from Audit Worksheet'!D187</f>
        <v>Charges for services</v>
      </c>
      <c r="D167" s="360"/>
      <c r="E167" s="361">
        <f>'Unit Data from Audit Worksheet'!F187</f>
        <v>0</v>
      </c>
      <c r="F167" s="354">
        <f>IF(L167&lt;0,"Error: Enter as a positive.",)</f>
        <v>0</v>
      </c>
      <c r="G167" s="356"/>
      <c r="H167" s="353">
        <f>'Unit Data from Audit Worksheet'!I187</f>
        <v>0</v>
      </c>
      <c r="I167" s="38"/>
      <c r="J167" s="352">
        <v>97</v>
      </c>
      <c r="K167" s="351" t="s">
        <v>236</v>
      </c>
      <c r="L167" s="589">
        <f t="shared" ref="L167:L234" si="20">IF(D167="",E167,D167)</f>
        <v>0</v>
      </c>
      <c r="P167" s="323"/>
      <c r="W167" s="3" t="b">
        <f t="shared" si="19"/>
        <v>1</v>
      </c>
      <c r="X167" s="586">
        <f t="shared" si="12"/>
        <v>0</v>
      </c>
      <c r="Y167" s="586">
        <f t="shared" si="13"/>
        <v>0</v>
      </c>
    </row>
    <row r="168" spans="1:25" ht="45.75" customHeight="1" x14ac:dyDescent="0.3">
      <c r="A168" s="341">
        <f>'Unit Data from Audit Worksheet'!A188</f>
        <v>93</v>
      </c>
      <c r="B168" s="355" t="str">
        <f>'Unit Data from Audit Worksheet'!C188</f>
        <v>Electric Fund Revenue, Expenses &amp; Changes in Fund Net Position</v>
      </c>
      <c r="C168" s="340" t="str">
        <f>'Unit Data from Audit Worksheet'!D188</f>
        <v>Total Operating revenues</v>
      </c>
      <c r="D168" s="360"/>
      <c r="E168" s="361">
        <f>'Unit Data from Audit Worksheet'!F188</f>
        <v>0</v>
      </c>
      <c r="F168" s="354" t="str">
        <f>IF(L167&gt;L168,"Error: Charges for services exceeds total operating revenues Acct 97&gt;=93"," ")</f>
        <v xml:space="preserve"> </v>
      </c>
      <c r="G168" s="356" t="str">
        <f>IF(Q168=1," Included in error count"," ")</f>
        <v xml:space="preserve"> </v>
      </c>
      <c r="H168" s="353">
        <f>'Unit Data from Audit Worksheet'!I188</f>
        <v>0</v>
      </c>
      <c r="I168" s="38"/>
      <c r="J168" s="352">
        <v>93</v>
      </c>
      <c r="K168" s="351" t="s">
        <v>237</v>
      </c>
      <c r="L168" s="589">
        <f t="shared" si="20"/>
        <v>0</v>
      </c>
      <c r="P168" s="323"/>
      <c r="Q168" s="579">
        <f>IF(L167&gt;L168,1,0)</f>
        <v>0</v>
      </c>
      <c r="W168" s="3" t="b">
        <f t="shared" si="19"/>
        <v>1</v>
      </c>
      <c r="X168" s="586">
        <f t="shared" si="12"/>
        <v>0</v>
      </c>
      <c r="Y168" s="586">
        <f t="shared" si="13"/>
        <v>0</v>
      </c>
    </row>
    <row r="169" spans="1:25" ht="45.75" customHeight="1" x14ac:dyDescent="0.3">
      <c r="A169" s="341">
        <f>'Unit Data from Audit Worksheet'!A189</f>
        <v>99</v>
      </c>
      <c r="B169" s="355" t="str">
        <f>'Unit Data from Audit Worksheet'!C189</f>
        <v>Electric Fund Revenue, Expenses &amp; Changes in Fund Net Position</v>
      </c>
      <c r="C169" s="340" t="str">
        <f>'Unit Data from Audit Worksheet'!D189</f>
        <v>Electrical power purchases</v>
      </c>
      <c r="D169" s="360"/>
      <c r="E169" s="361">
        <f>'Unit Data from Audit Worksheet'!F189</f>
        <v>0</v>
      </c>
      <c r="F169" s="354">
        <f>IF(L169&lt;0,"Error: Enter as a positive.",)</f>
        <v>0</v>
      </c>
      <c r="G169" s="356"/>
      <c r="H169" s="353">
        <f>'Unit Data from Audit Worksheet'!I189</f>
        <v>0</v>
      </c>
      <c r="I169" s="38"/>
      <c r="J169" s="352">
        <v>99</v>
      </c>
      <c r="K169" s="351" t="s">
        <v>238</v>
      </c>
      <c r="L169" s="589">
        <f t="shared" si="20"/>
        <v>0</v>
      </c>
      <c r="P169" s="323"/>
      <c r="W169" s="3" t="b">
        <f t="shared" si="19"/>
        <v>1</v>
      </c>
      <c r="X169" s="586">
        <f t="shared" si="12"/>
        <v>0</v>
      </c>
      <c r="Y169" s="586">
        <f t="shared" si="13"/>
        <v>0</v>
      </c>
    </row>
    <row r="170" spans="1:25" ht="45.75" customHeight="1" x14ac:dyDescent="0.3">
      <c r="A170" s="341">
        <f>'Unit Data from Audit Worksheet'!A190</f>
        <v>52</v>
      </c>
      <c r="B170" s="355" t="str">
        <f>'Unit Data from Audit Worksheet'!C190</f>
        <v>Electric Fund Revenue, Expenses &amp; Changes in Fund Net Position</v>
      </c>
      <c r="C170" s="340" t="str">
        <f>'Unit Data from Audit Worksheet'!D190</f>
        <v>Depreciation and amortization expense</v>
      </c>
      <c r="D170" s="360"/>
      <c r="E170" s="361">
        <f>'Unit Data from Audit Worksheet'!F190</f>
        <v>0</v>
      </c>
      <c r="F170" s="354">
        <f>IF(L170&lt;0,"Error: Enter as a positive.",)</f>
        <v>0</v>
      </c>
      <c r="G170" s="356"/>
      <c r="H170" s="353">
        <f>'Unit Data from Audit Worksheet'!I190</f>
        <v>0</v>
      </c>
      <c r="I170" s="38"/>
      <c r="J170" s="352">
        <v>52</v>
      </c>
      <c r="K170" s="351" t="s">
        <v>239</v>
      </c>
      <c r="L170" s="589">
        <f t="shared" si="20"/>
        <v>0</v>
      </c>
      <c r="P170" s="323"/>
      <c r="W170" s="3" t="b">
        <f t="shared" si="19"/>
        <v>1</v>
      </c>
      <c r="X170" s="586">
        <f t="shared" si="12"/>
        <v>0</v>
      </c>
      <c r="Y170" s="586">
        <f t="shared" si="13"/>
        <v>0</v>
      </c>
    </row>
    <row r="171" spans="1:25" ht="45.75" customHeight="1" x14ac:dyDescent="0.3">
      <c r="A171" s="341">
        <f>'Unit Data from Audit Worksheet'!A191</f>
        <v>94</v>
      </c>
      <c r="B171" s="355" t="str">
        <f>'Unit Data from Audit Worksheet'!C191</f>
        <v>Electric Fund Revenue, Expenses &amp; Changes in Fund Net Position</v>
      </c>
      <c r="C171" s="340" t="str">
        <f>'Unit Data from Audit Worksheet'!D191</f>
        <v>Total Operating expenses</v>
      </c>
      <c r="D171" s="360"/>
      <c r="E171" s="361">
        <f>'Unit Data from Audit Worksheet'!F191</f>
        <v>0</v>
      </c>
      <c r="F171" s="354">
        <f>IF(L171&lt;0,"Error: Enter as a positive.",)</f>
        <v>0</v>
      </c>
      <c r="G171" s="356"/>
      <c r="H171" s="353">
        <f>'Unit Data from Audit Worksheet'!I191</f>
        <v>0</v>
      </c>
      <c r="I171" s="38"/>
      <c r="J171" s="352">
        <v>94</v>
      </c>
      <c r="K171" s="351" t="s">
        <v>240</v>
      </c>
      <c r="L171" s="589">
        <f t="shared" si="20"/>
        <v>0</v>
      </c>
      <c r="P171" s="323"/>
      <c r="W171" s="3" t="b">
        <f t="shared" si="19"/>
        <v>1</v>
      </c>
      <c r="X171" s="586">
        <f t="shared" si="12"/>
        <v>0</v>
      </c>
      <c r="Y171" s="586">
        <f t="shared" si="13"/>
        <v>0</v>
      </c>
    </row>
    <row r="172" spans="1:25" ht="46.5" customHeight="1" x14ac:dyDescent="0.3">
      <c r="A172" s="341">
        <f>'Unit Data from Audit Worksheet'!A192</f>
        <v>98</v>
      </c>
      <c r="B172" s="355" t="str">
        <f>'Unit Data from Audit Worksheet'!C192</f>
        <v>Electric Fund Revenue, Expenses &amp; Changes in Fund Net Position</v>
      </c>
      <c r="C172" s="340" t="str">
        <f>'Unit Data from Audit Worksheet'!D192</f>
        <v>Interest expense</v>
      </c>
      <c r="D172" s="360"/>
      <c r="E172" s="361">
        <f>'Unit Data from Audit Worksheet'!F192</f>
        <v>0</v>
      </c>
      <c r="F172" s="354">
        <f>IF(L172&lt;0,"Error: Enter as a positive.",)</f>
        <v>0</v>
      </c>
      <c r="G172" s="356"/>
      <c r="H172" s="353">
        <f>'Unit Data from Audit Worksheet'!I192</f>
        <v>0</v>
      </c>
      <c r="I172" s="38"/>
      <c r="J172" s="352">
        <v>98</v>
      </c>
      <c r="K172" s="351" t="s">
        <v>241</v>
      </c>
      <c r="L172" s="589">
        <f t="shared" si="20"/>
        <v>0</v>
      </c>
      <c r="P172" s="323"/>
      <c r="W172" s="3" t="b">
        <f t="shared" si="19"/>
        <v>1</v>
      </c>
      <c r="X172" s="586">
        <f t="shared" si="12"/>
        <v>0</v>
      </c>
      <c r="Y172" s="586">
        <f t="shared" si="13"/>
        <v>0</v>
      </c>
    </row>
    <row r="173" spans="1:25" ht="51" customHeight="1" x14ac:dyDescent="0.3">
      <c r="A173" s="341">
        <f>'Unit Data from Audit Worksheet'!A193</f>
        <v>363</v>
      </c>
      <c r="B173" s="355" t="str">
        <f>'Unit Data from Audit Worksheet'!C193</f>
        <v>Electric Fund Revenue, Expenses &amp; Changes in Fund Net Position</v>
      </c>
      <c r="C173" s="340" t="str">
        <f>'Unit Data from Audit Worksheet'!D193</f>
        <v>Total all the non-operating revenues  
Exclude Capital Contributions.</v>
      </c>
      <c r="D173" s="360"/>
      <c r="E173" s="361">
        <f>'Unit Data from Audit Worksheet'!F193</f>
        <v>0</v>
      </c>
      <c r="F173" s="354"/>
      <c r="G173" s="356"/>
      <c r="H173" s="353">
        <f>'Unit Data from Audit Worksheet'!I193</f>
        <v>0</v>
      </c>
      <c r="I173" s="38"/>
      <c r="J173" s="352">
        <v>363</v>
      </c>
      <c r="K173" s="351" t="s">
        <v>242</v>
      </c>
      <c r="L173" s="589">
        <f t="shared" si="20"/>
        <v>0</v>
      </c>
      <c r="P173" s="323"/>
      <c r="W173" s="3" t="b">
        <f t="shared" si="19"/>
        <v>1</v>
      </c>
      <c r="X173" s="586">
        <f t="shared" si="12"/>
        <v>0</v>
      </c>
      <c r="Y173" s="586">
        <f t="shared" si="13"/>
        <v>0</v>
      </c>
    </row>
    <row r="174" spans="1:25" ht="60" customHeight="1" x14ac:dyDescent="0.3">
      <c r="A174" s="341">
        <f>'Unit Data from Audit Worksheet'!A194</f>
        <v>364</v>
      </c>
      <c r="B174" s="355" t="str">
        <f>'Unit Data from Audit Worksheet'!C194</f>
        <v>Electric Fund Revenue, Expenses &amp; Changes in Fund Net Position</v>
      </c>
      <c r="C174" s="340" t="str">
        <f>'Unit Data from Audit Worksheet'!D194</f>
        <v>Total all non-operating expenses.  
Include negative special, extraordinary, or capital contribution.</v>
      </c>
      <c r="D174" s="360"/>
      <c r="E174" s="361">
        <f>'Unit Data from Audit Worksheet'!F194</f>
        <v>0</v>
      </c>
      <c r="F174" s="354">
        <f>IF(L174&lt;0,"Error: Enter as a positive.",)</f>
        <v>0</v>
      </c>
      <c r="G174" s="356"/>
      <c r="H174" s="353">
        <f>'Unit Data from Audit Worksheet'!I194</f>
        <v>0</v>
      </c>
      <c r="I174" s="38"/>
      <c r="J174" s="352">
        <v>364</v>
      </c>
      <c r="K174" s="351" t="s">
        <v>243</v>
      </c>
      <c r="L174" s="589">
        <f t="shared" si="20"/>
        <v>0</v>
      </c>
      <c r="P174" s="323"/>
      <c r="W174" s="3" t="b">
        <f t="shared" si="19"/>
        <v>1</v>
      </c>
      <c r="X174" s="586">
        <f t="shared" si="12"/>
        <v>0</v>
      </c>
      <c r="Y174" s="586">
        <f t="shared" si="13"/>
        <v>0</v>
      </c>
    </row>
    <row r="175" spans="1:25" ht="89.25" customHeight="1" x14ac:dyDescent="0.3">
      <c r="A175" s="341">
        <f>'Unit Data from Audit Worksheet'!A195</f>
        <v>192</v>
      </c>
      <c r="B175" s="355" t="str">
        <f>'Unit Data from Audit Worksheet'!C195</f>
        <v>Electric Fund Revenue, Expenses &amp; Changes in Fund Net Position</v>
      </c>
      <c r="C175" s="340" t="str">
        <f>'Unit Data from Audit Worksheet'!D195</f>
        <v>Capital Contributions.  
Include only positive capital Contributions.  Negative capital contributions should be included with 'Total all non-operating expenses.'</v>
      </c>
      <c r="D175" s="360"/>
      <c r="E175" s="361">
        <f>'Unit Data from Audit Worksheet'!F195</f>
        <v>0</v>
      </c>
      <c r="F175" s="354">
        <f>IF(L175&lt;0,"Error: Enter as a positive.",)</f>
        <v>0</v>
      </c>
      <c r="G175" s="356"/>
      <c r="H175" s="353">
        <f>'Unit Data from Audit Worksheet'!I195</f>
        <v>0</v>
      </c>
      <c r="I175" s="38"/>
      <c r="J175" s="352">
        <v>192</v>
      </c>
      <c r="K175" s="351" t="s">
        <v>244</v>
      </c>
      <c r="L175" s="589">
        <f t="shared" si="20"/>
        <v>0</v>
      </c>
      <c r="P175" s="323"/>
      <c r="W175" s="3" t="b">
        <f t="shared" si="19"/>
        <v>1</v>
      </c>
      <c r="X175" s="586">
        <f t="shared" si="12"/>
        <v>0</v>
      </c>
      <c r="Y175" s="586">
        <f t="shared" si="13"/>
        <v>0</v>
      </c>
    </row>
    <row r="176" spans="1:25" ht="42.75" customHeight="1" x14ac:dyDescent="0.3">
      <c r="A176" s="341">
        <f>'Unit Data from Audit Worksheet'!A196</f>
        <v>365</v>
      </c>
      <c r="B176" s="355" t="str">
        <f>'Unit Data from Audit Worksheet'!C196</f>
        <v>Electric Fund Revenue, Expenses &amp; Changes in Fund Net Position</v>
      </c>
      <c r="C176" s="340" t="str">
        <f>'Unit Data from Audit Worksheet'!D196</f>
        <v>Total Transfers In (From all Funds)</v>
      </c>
      <c r="D176" s="360"/>
      <c r="E176" s="361">
        <f>'Unit Data from Audit Worksheet'!F196</f>
        <v>0</v>
      </c>
      <c r="F176" s="354"/>
      <c r="G176" s="356"/>
      <c r="H176" s="353">
        <f>'Unit Data from Audit Worksheet'!I196</f>
        <v>0</v>
      </c>
      <c r="I176" s="38"/>
      <c r="J176" s="352">
        <v>365</v>
      </c>
      <c r="K176" s="351" t="s">
        <v>245</v>
      </c>
      <c r="L176" s="589">
        <f t="shared" si="20"/>
        <v>0</v>
      </c>
      <c r="P176" s="323"/>
      <c r="W176" s="3" t="b">
        <f t="shared" si="19"/>
        <v>1</v>
      </c>
      <c r="X176" s="586">
        <f t="shared" si="12"/>
        <v>0</v>
      </c>
      <c r="Y176" s="586">
        <f t="shared" si="13"/>
        <v>0</v>
      </c>
    </row>
    <row r="177" spans="1:25" ht="42.75" customHeight="1" x14ac:dyDescent="0.3">
      <c r="A177" s="341">
        <f>'Unit Data from Audit Worksheet'!A197</f>
        <v>366</v>
      </c>
      <c r="B177" s="355" t="str">
        <f>'Unit Data from Audit Worksheet'!C197</f>
        <v>Electric Fund Revenue, Expenses &amp; Changes in Fund Net Position</v>
      </c>
      <c r="C177" s="340" t="str">
        <f>'Unit Data from Audit Worksheet'!D197</f>
        <v>Total Transfers Out (To all funds)</v>
      </c>
      <c r="D177" s="360"/>
      <c r="E177" s="361">
        <f>'Unit Data from Audit Worksheet'!F197</f>
        <v>0</v>
      </c>
      <c r="F177" s="354">
        <f>IF(L177&lt;0,"Error: Enter as a positive.",)</f>
        <v>0</v>
      </c>
      <c r="G177" s="356"/>
      <c r="H177" s="353">
        <f>'Unit Data from Audit Worksheet'!I197</f>
        <v>0</v>
      </c>
      <c r="I177" s="38"/>
      <c r="J177" s="352">
        <v>366</v>
      </c>
      <c r="K177" s="351" t="s">
        <v>536</v>
      </c>
      <c r="L177" s="589">
        <f t="shared" si="20"/>
        <v>0</v>
      </c>
      <c r="P177" s="323"/>
      <c r="W177" s="3" t="b">
        <f t="shared" si="19"/>
        <v>1</v>
      </c>
      <c r="X177" s="586">
        <f t="shared" si="12"/>
        <v>0</v>
      </c>
      <c r="Y177" s="586">
        <f t="shared" si="13"/>
        <v>0</v>
      </c>
    </row>
    <row r="178" spans="1:25" s="18" customFormat="1" ht="76.5" customHeight="1" x14ac:dyDescent="0.3">
      <c r="A178" s="341">
        <f>'Unit Data from Audit Worksheet'!A198</f>
        <v>53</v>
      </c>
      <c r="B178" s="355" t="str">
        <f>'Unit Data from Audit Worksheet'!C198</f>
        <v>Electric Fund Revenue, Expenses &amp; Changes in Fund Net Position</v>
      </c>
      <c r="C178" s="340" t="str">
        <f>'Unit Data from Audit Worksheet'!D198</f>
        <v>Change in net position - Increase in net position is recorded as a positive and a (decrease) in net position is recorded as a negative.</v>
      </c>
      <c r="D178" s="360"/>
      <c r="E178" s="361">
        <f>'Unit Data from Audit Worksheet'!F198</f>
        <v>0</v>
      </c>
      <c r="F178" s="354">
        <f>IF(L168-L171+L173-L174+L175+L176-L177-L178=0,,"Error: Total revenues less total exp. does not equal change in net position Acct 93-94+363-364+192+365-366-53=0")</f>
        <v>0</v>
      </c>
      <c r="G178" s="91">
        <f>+L168-L171+L173-L174+L175+L176-L177-L178</f>
        <v>0</v>
      </c>
      <c r="H178" s="353">
        <f>'Unit Data from Audit Worksheet'!I198</f>
        <v>0</v>
      </c>
      <c r="I178" s="38"/>
      <c r="J178" s="352">
        <v>53</v>
      </c>
      <c r="K178" s="351" t="s">
        <v>101</v>
      </c>
      <c r="L178" s="589">
        <f t="shared" si="20"/>
        <v>0</v>
      </c>
      <c r="P178" s="323"/>
      <c r="Q178" s="579">
        <f>IF(G178&lt;&gt;0,1,0)</f>
        <v>0</v>
      </c>
      <c r="R178" s="3"/>
      <c r="W178" s="3" t="b">
        <f t="shared" si="19"/>
        <v>1</v>
      </c>
      <c r="X178" s="586">
        <f t="shared" si="12"/>
        <v>0</v>
      </c>
      <c r="Y178" s="586">
        <f t="shared" si="13"/>
        <v>0</v>
      </c>
    </row>
    <row r="179" spans="1:25" ht="140.25" customHeight="1" x14ac:dyDescent="0.3">
      <c r="A179" s="341">
        <f>'Unit Data from Audit Worksheet'!A199</f>
        <v>378</v>
      </c>
      <c r="B179" s="355" t="str">
        <f>'Unit Data from Audit Worksheet'!C199</f>
        <v>Electric Fund Revenue, Expenses &amp; Changes in Fund Net Position</v>
      </c>
      <c r="C179" s="340" t="str">
        <f>'Unit Data from Audit Worksheet'!D199</f>
        <v>Increases or (decreases) to beginning electric net position due to rounding, prior period adjustments and restatements.  Increase amounts to beginning net position should be entered as a positive amount and (decreases) should be entered as a negative amount.</v>
      </c>
      <c r="D179" s="360"/>
      <c r="E179" s="361">
        <f>+'Unit Data from Audit Worksheet'!F199</f>
        <v>0</v>
      </c>
      <c r="F179" s="354" t="e">
        <f>IF(L151-L178-L179=O151,,"Error: Beg. Bal does not agree with our records Acct 362-53-378= pr yr 362")</f>
        <v>#N/A</v>
      </c>
      <c r="G179" s="91" t="e">
        <f>L151-L178-L179-O151</f>
        <v>#N/A</v>
      </c>
      <c r="H179" s="353" t="str">
        <f>'Unit Data from Audit Worksheet'!I199</f>
        <v>Please do not enter prior's years beginning balance as an adjustment in column F.</v>
      </c>
      <c r="I179" s="38"/>
      <c r="J179" s="352">
        <v>378</v>
      </c>
      <c r="K179" s="351" t="s">
        <v>110</v>
      </c>
      <c r="L179" s="589">
        <f t="shared" si="20"/>
        <v>0</v>
      </c>
      <c r="P179" s="323"/>
      <c r="Q179" s="579" t="e">
        <f>IF(G179&lt;&gt;0,1,0)</f>
        <v>#N/A</v>
      </c>
      <c r="W179" s="3" t="b">
        <f t="shared" si="19"/>
        <v>1</v>
      </c>
      <c r="X179" s="586">
        <f t="shared" si="12"/>
        <v>0</v>
      </c>
      <c r="Y179" s="586">
        <f t="shared" si="13"/>
        <v>0</v>
      </c>
    </row>
    <row r="180" spans="1:25" ht="28.8" x14ac:dyDescent="0.3">
      <c r="A180" s="341">
        <f>'Unit Data from Audit Worksheet'!A204</f>
        <v>51</v>
      </c>
      <c r="B180" s="355" t="str">
        <f>'Unit Data from Audit Worksheet'!C204</f>
        <v>Water Sewer Cash Flow Statement</v>
      </c>
      <c r="C180" s="340" t="str">
        <f>'Unit Data from Audit Worksheet'!D204</f>
        <v>Total Cash flow from operating activities  - (Enter negative cash flows as negative)</v>
      </c>
      <c r="D180" s="360"/>
      <c r="E180" s="361">
        <f>'Unit Data from Audit Worksheet'!F204</f>
        <v>0</v>
      </c>
      <c r="F180" s="354"/>
      <c r="G180" s="356"/>
      <c r="H180" s="353">
        <f>'Unit Data from Audit Worksheet'!I204</f>
        <v>0</v>
      </c>
      <c r="I180" s="38"/>
      <c r="J180" s="352">
        <v>51</v>
      </c>
      <c r="K180" s="351" t="s">
        <v>246</v>
      </c>
      <c r="L180" s="589">
        <f t="shared" si="20"/>
        <v>0</v>
      </c>
      <c r="P180" s="323"/>
      <c r="W180" s="3" t="b">
        <f t="shared" si="19"/>
        <v>1</v>
      </c>
      <c r="X180" s="586">
        <f t="shared" si="12"/>
        <v>0</v>
      </c>
      <c r="Y180" s="586">
        <f t="shared" si="13"/>
        <v>0</v>
      </c>
    </row>
    <row r="181" spans="1:25" ht="64.5" customHeight="1" x14ac:dyDescent="0.3">
      <c r="A181" s="341">
        <f>'Unit Data from Audit Worksheet'!A205</f>
        <v>332</v>
      </c>
      <c r="B181" s="355" t="str">
        <f>'Unit Data from Audit Worksheet'!C205</f>
        <v>Water Sewer Cash Flow Statement</v>
      </c>
      <c r="C181" s="340" t="str">
        <f>'Unit Data from Audit Worksheet'!D205</f>
        <v>Total Capital outlay. 
Include acquisition and construction of capital assets.</v>
      </c>
      <c r="D181" s="360"/>
      <c r="E181" s="361">
        <f>'Unit Data from Audit Worksheet'!F205</f>
        <v>0</v>
      </c>
      <c r="F181" s="354">
        <f>IF(L181&lt;0,"Error: Enter as a positive.",)</f>
        <v>0</v>
      </c>
      <c r="G181" s="356"/>
      <c r="H181" s="353">
        <f>'Unit Data from Audit Worksheet'!I205</f>
        <v>0</v>
      </c>
      <c r="I181" s="38"/>
      <c r="J181" s="352">
        <v>332</v>
      </c>
      <c r="K181" s="351" t="s">
        <v>248</v>
      </c>
      <c r="L181" s="589">
        <f t="shared" si="20"/>
        <v>0</v>
      </c>
      <c r="O181" s="597"/>
      <c r="P181" s="323"/>
      <c r="W181" s="3" t="b">
        <f t="shared" si="19"/>
        <v>1</v>
      </c>
      <c r="X181" s="586">
        <f t="shared" si="12"/>
        <v>0</v>
      </c>
      <c r="Y181" s="586">
        <f t="shared" si="13"/>
        <v>0</v>
      </c>
    </row>
    <row r="182" spans="1:25" ht="58.5" customHeight="1" x14ac:dyDescent="0.3">
      <c r="A182" s="341">
        <f>'Unit Data from Audit Worksheet'!A206</f>
        <v>331</v>
      </c>
      <c r="B182" s="355" t="str">
        <f>'Unit Data from Audit Worksheet'!C206</f>
        <v>Water Sewer Cash Flow Statement</v>
      </c>
      <c r="C182" s="340" t="str">
        <f>'Unit Data from Audit Worksheet'!D206</f>
        <v>Principal paid on long-term debt.  Amount should be reduced by principal payments for debt refunding.</v>
      </c>
      <c r="D182" s="360"/>
      <c r="E182" s="361">
        <f>'Unit Data from Audit Worksheet'!F206</f>
        <v>0</v>
      </c>
      <c r="F182" s="354">
        <f>IF(L182&lt;0,"Error: Enter as a positive.",)</f>
        <v>0</v>
      </c>
      <c r="G182" s="356"/>
      <c r="H182" s="353">
        <f>'Unit Data from Audit Worksheet'!I206</f>
        <v>0</v>
      </c>
      <c r="I182" s="38"/>
      <c r="J182" s="352">
        <v>331</v>
      </c>
      <c r="K182" s="351" t="s">
        <v>247</v>
      </c>
      <c r="L182" s="589">
        <f t="shared" si="20"/>
        <v>0</v>
      </c>
      <c r="O182" s="597"/>
      <c r="P182" s="323"/>
      <c r="W182" s="3" t="b">
        <f t="shared" si="19"/>
        <v>1</v>
      </c>
      <c r="X182" s="586">
        <f t="shared" ref="X182:X276" si="21">E182-L182</f>
        <v>0</v>
      </c>
      <c r="Y182" s="586">
        <f t="shared" ref="Y182:Y276" si="22">D182-L182</f>
        <v>0</v>
      </c>
    </row>
    <row r="183" spans="1:25" ht="51.75" customHeight="1" x14ac:dyDescent="0.3">
      <c r="A183" s="341">
        <f>'Unit Data from Audit Worksheet'!A208</f>
        <v>55</v>
      </c>
      <c r="B183" s="355" t="str">
        <f>'Unit Data from Audit Worksheet'!C208</f>
        <v>Electric Fund Cash Flow Statement</v>
      </c>
      <c r="C183" s="340" t="str">
        <f>'Unit Data from Audit Worksheet'!D208</f>
        <v>Cash flow from operating activities - (enter negative cash flows as negative)</v>
      </c>
      <c r="D183" s="360"/>
      <c r="E183" s="361">
        <f>'Unit Data from Audit Worksheet'!F208</f>
        <v>0</v>
      </c>
      <c r="F183" s="354"/>
      <c r="G183" s="356"/>
      <c r="H183" s="353">
        <f>'Unit Data from Audit Worksheet'!I208</f>
        <v>0</v>
      </c>
      <c r="I183" s="38"/>
      <c r="J183" s="352">
        <v>55</v>
      </c>
      <c r="K183" s="351" t="s">
        <v>249</v>
      </c>
      <c r="L183" s="589">
        <f t="shared" si="20"/>
        <v>0</v>
      </c>
      <c r="P183" s="323"/>
      <c r="W183" s="3" t="b">
        <f t="shared" si="19"/>
        <v>1</v>
      </c>
      <c r="X183" s="586">
        <f t="shared" si="21"/>
        <v>0</v>
      </c>
      <c r="Y183" s="586">
        <f t="shared" si="22"/>
        <v>0</v>
      </c>
    </row>
    <row r="184" spans="1:25" ht="58.5" customHeight="1" x14ac:dyDescent="0.3">
      <c r="A184" s="341">
        <f>'Unit Data from Audit Worksheet'!A209</f>
        <v>101</v>
      </c>
      <c r="B184" s="355" t="str">
        <f>'Unit Data from Audit Worksheet'!C209</f>
        <v>Electric Fund Cash Flow Statement</v>
      </c>
      <c r="C184" s="340" t="str">
        <f>'Unit Data from Audit Worksheet'!D209</f>
        <v>Total Capital outlay.  
Include acquisition and construction of capital assets.</v>
      </c>
      <c r="D184" s="360"/>
      <c r="E184" s="361">
        <f>'Unit Data from Audit Worksheet'!F209</f>
        <v>0</v>
      </c>
      <c r="F184" s="354">
        <f>IF(L184&lt;0,"Error: Enter as a positive.",)</f>
        <v>0</v>
      </c>
      <c r="G184" s="356"/>
      <c r="H184" s="353">
        <f>'Unit Data from Audit Worksheet'!I209</f>
        <v>0</v>
      </c>
      <c r="I184" s="38"/>
      <c r="J184" s="352">
        <v>101</v>
      </c>
      <c r="K184" s="351" t="s">
        <v>250</v>
      </c>
      <c r="L184" s="589">
        <f t="shared" si="20"/>
        <v>0</v>
      </c>
      <c r="P184" s="323"/>
      <c r="W184" s="3" t="b">
        <f t="shared" si="19"/>
        <v>1</v>
      </c>
      <c r="X184" s="586">
        <f t="shared" si="21"/>
        <v>0</v>
      </c>
      <c r="Y184" s="586">
        <f t="shared" si="22"/>
        <v>0</v>
      </c>
    </row>
    <row r="185" spans="1:25" ht="60.75" customHeight="1" x14ac:dyDescent="0.3">
      <c r="A185" s="341">
        <f>'Unit Data from Audit Worksheet'!A210</f>
        <v>100</v>
      </c>
      <c r="B185" s="355" t="str">
        <f>'Unit Data from Audit Worksheet'!C210</f>
        <v>Electric Fund Cash Flow Statement</v>
      </c>
      <c r="C185" s="340" t="str">
        <f>'Unit Data from Audit Worksheet'!D210</f>
        <v>Principal paid on long-term debt.  Amount should be reduced by principal payments for debt refunding.</v>
      </c>
      <c r="D185" s="360"/>
      <c r="E185" s="361">
        <f>'Unit Data from Audit Worksheet'!F210</f>
        <v>0</v>
      </c>
      <c r="F185" s="354">
        <f>IF(L185&lt;0,"Error: Enter as a positive.",)</f>
        <v>0</v>
      </c>
      <c r="G185" s="356"/>
      <c r="H185" s="353">
        <f>'Unit Data from Audit Worksheet'!I210</f>
        <v>0</v>
      </c>
      <c r="I185" s="38"/>
      <c r="J185" s="352">
        <v>100</v>
      </c>
      <c r="K185" s="351" t="s">
        <v>251</v>
      </c>
      <c r="L185" s="589">
        <f t="shared" si="20"/>
        <v>0</v>
      </c>
      <c r="P185" s="323"/>
      <c r="W185" s="3" t="b">
        <f t="shared" si="19"/>
        <v>1</v>
      </c>
      <c r="X185" s="586">
        <f t="shared" si="21"/>
        <v>0</v>
      </c>
      <c r="Y185" s="586">
        <f t="shared" si="22"/>
        <v>0</v>
      </c>
    </row>
    <row r="186" spans="1:25" ht="71.25" customHeight="1" x14ac:dyDescent="0.3">
      <c r="A186" s="341">
        <f>'Unit Data from Audit Worksheet'!A212</f>
        <v>512</v>
      </c>
      <c r="B186" s="355" t="str">
        <f>'Unit Data from Audit Worksheet'!C212</f>
        <v>Fiduciary Statements</v>
      </c>
      <c r="C186" s="340" t="str">
        <f>'Unit Data from Audit Worksheet'!D212</f>
        <v>Cash and investments.  
Include:  unrestricted and restricted.  
                   cash and investments held 
                   by a third party</v>
      </c>
      <c r="D186" s="360"/>
      <c r="E186" s="361">
        <f>'Unit Data from Audit Worksheet'!F212</f>
        <v>0</v>
      </c>
      <c r="F186" s="354">
        <f>IF(L186&lt;0,"Error: Number is normally positive.",)</f>
        <v>0</v>
      </c>
      <c r="G186" s="356"/>
      <c r="H186" s="353">
        <f>'Unit Data from Audit Worksheet'!I212</f>
        <v>0</v>
      </c>
      <c r="I186" s="38"/>
      <c r="J186" s="352">
        <v>512</v>
      </c>
      <c r="K186" s="351" t="s">
        <v>252</v>
      </c>
      <c r="L186" s="589">
        <f t="shared" si="20"/>
        <v>0</v>
      </c>
      <c r="P186" s="323"/>
      <c r="W186" s="3" t="b">
        <f t="shared" si="19"/>
        <v>1</v>
      </c>
      <c r="X186" s="586">
        <f t="shared" si="21"/>
        <v>0</v>
      </c>
      <c r="Y186" s="586">
        <f t="shared" si="22"/>
        <v>0</v>
      </c>
    </row>
    <row r="187" spans="1:25" ht="62.25" customHeight="1" x14ac:dyDescent="0.3">
      <c r="A187" s="341">
        <f>'Unit Data from Audit Worksheet'!A214</f>
        <v>656</v>
      </c>
      <c r="B187" s="355">
        <f>'Unit Data from Audit Worksheet'!C214</f>
        <v>0</v>
      </c>
      <c r="C187" s="340" t="str">
        <f>'Unit Data from Audit Worksheet'!D214</f>
        <v>Do you use prepared food/occupancy tax revenue stream to support debt?  Select "1" for Yes and "2" for No</v>
      </c>
      <c r="D187" s="139"/>
      <c r="E187" s="361">
        <f>'Unit Data from Audit Worksheet'!F214</f>
        <v>0</v>
      </c>
      <c r="F187" s="354"/>
      <c r="G187" s="356"/>
      <c r="H187" s="353"/>
      <c r="I187" s="38"/>
      <c r="J187" s="352">
        <v>656</v>
      </c>
      <c r="K187" s="358" t="s">
        <v>822</v>
      </c>
      <c r="L187" s="615">
        <f>E187</f>
        <v>0</v>
      </c>
      <c r="M187" s="18"/>
      <c r="N187" s="18"/>
      <c r="O187" s="18"/>
      <c r="P187" s="323"/>
      <c r="W187" s="3" t="b">
        <f t="shared" si="19"/>
        <v>1</v>
      </c>
      <c r="X187" s="586">
        <f t="shared" si="21"/>
        <v>0</v>
      </c>
      <c r="Y187" s="586">
        <f t="shared" si="22"/>
        <v>0</v>
      </c>
    </row>
    <row r="188" spans="1:25" s="18" customFormat="1" ht="102.75" customHeight="1" x14ac:dyDescent="0.3">
      <c r="A188" s="341">
        <f>'Unit Data from Audit Worksheet'!A216</f>
        <v>535</v>
      </c>
      <c r="B188" s="355" t="str">
        <f>'Unit Data from Audit Worksheet'!C216</f>
        <v>Cash and Investment Note</v>
      </c>
      <c r="C188" s="340" t="str">
        <f>'Unit Data from Audit Worksheet'!D216</f>
        <v>Cash and Investment - Please list the book value of any unspent debt proceeds (bonds, installment, etc.) in any funds as of June 30.  This information may be on the face of your statements or in the notes</v>
      </c>
      <c r="D188" s="360"/>
      <c r="E188" s="361">
        <f>'Unit Data from Audit Worksheet'!F216</f>
        <v>0</v>
      </c>
      <c r="F188" s="87" t="str">
        <f>IF(L188&gt;1,,"Reminder: Please make sure you have entered all cash and investments from bond proceeds, if applicable")</f>
        <v>Reminder: Please make sure you have entered all cash and investments from bond proceeds, if applicable</v>
      </c>
      <c r="G188" s="356"/>
      <c r="H188" s="353">
        <f>'Unit Data from Audit Worksheet'!I216</f>
        <v>0</v>
      </c>
      <c r="I188" s="38"/>
      <c r="J188" s="352">
        <v>535</v>
      </c>
      <c r="K188" s="62" t="s">
        <v>253</v>
      </c>
      <c r="L188" s="589">
        <f t="shared" si="20"/>
        <v>0</v>
      </c>
      <c r="P188" s="323"/>
      <c r="Q188" s="579"/>
      <c r="R188" s="3"/>
      <c r="W188" s="3" t="b">
        <f t="shared" si="19"/>
        <v>1</v>
      </c>
      <c r="X188" s="586">
        <f t="shared" si="21"/>
        <v>0</v>
      </c>
      <c r="Y188" s="586">
        <f t="shared" si="22"/>
        <v>0</v>
      </c>
    </row>
    <row r="189" spans="1:25" ht="45.75" customHeight="1" x14ac:dyDescent="0.3">
      <c r="A189" s="341">
        <f>'Unit Data from Audit Worksheet'!A220</f>
        <v>334</v>
      </c>
      <c r="B189" s="355" t="str">
        <f>'Unit Data from Audit Worksheet'!C220</f>
        <v>Gov.-Capital Assets Schedule in the Notes</v>
      </c>
      <c r="C189" s="340" t="str">
        <f>'Unit Data from Audit Worksheet'!D220</f>
        <v>Gross value.  
Exclude non-depreciable.</v>
      </c>
      <c r="D189" s="360"/>
      <c r="E189" s="361">
        <f>'Unit Data from Audit Worksheet'!F220</f>
        <v>0</v>
      </c>
      <c r="F189" s="87"/>
      <c r="G189" s="356"/>
      <c r="H189" s="353">
        <f>'Unit Data from Audit Worksheet'!I220</f>
        <v>0</v>
      </c>
      <c r="I189" s="38"/>
      <c r="J189" s="352">
        <v>334</v>
      </c>
      <c r="K189" s="62" t="s">
        <v>276</v>
      </c>
      <c r="L189" s="589">
        <f t="shared" si="20"/>
        <v>0</v>
      </c>
      <c r="P189" s="323"/>
      <c r="W189" s="3" t="b">
        <f t="shared" si="19"/>
        <v>1</v>
      </c>
      <c r="X189" s="586">
        <f t="shared" si="21"/>
        <v>0</v>
      </c>
      <c r="Y189" s="586">
        <f t="shared" si="22"/>
        <v>0</v>
      </c>
    </row>
    <row r="190" spans="1:25" ht="57" customHeight="1" x14ac:dyDescent="0.3">
      <c r="A190" s="341">
        <f>'Unit Data from Audit Worksheet'!A221</f>
        <v>373</v>
      </c>
      <c r="B190" s="355" t="str">
        <f>'Unit Data from Audit Worksheet'!C221</f>
        <v>Gov.-Capital Assets Schedule in the Notes</v>
      </c>
      <c r="C190" s="340" t="str">
        <f>'Unit Data from Audit Worksheet'!D221</f>
        <v>Accumulated depreciation</v>
      </c>
      <c r="D190" s="360"/>
      <c r="E190" s="361">
        <f>'Unit Data from Audit Worksheet'!F221</f>
        <v>0</v>
      </c>
      <c r="F190" s="87"/>
      <c r="G190" s="356"/>
      <c r="H190" s="353">
        <f>'Unit Data from Audit Worksheet'!I221</f>
        <v>0</v>
      </c>
      <c r="I190" s="38"/>
      <c r="J190" s="352">
        <v>373</v>
      </c>
      <c r="K190" s="58" t="s">
        <v>549</v>
      </c>
      <c r="L190" s="589">
        <f t="shared" si="20"/>
        <v>0</v>
      </c>
      <c r="P190" s="323"/>
      <c r="W190" s="3" t="b">
        <f t="shared" si="19"/>
        <v>1</v>
      </c>
      <c r="X190" s="586">
        <f t="shared" si="21"/>
        <v>0</v>
      </c>
      <c r="Y190" s="586">
        <f t="shared" si="22"/>
        <v>0</v>
      </c>
    </row>
    <row r="191" spans="1:25" ht="102.75" customHeight="1" x14ac:dyDescent="0.3">
      <c r="A191" s="605">
        <f>'Unit Data from Audit Worksheet'!A222</f>
        <v>987</v>
      </c>
      <c r="B191" s="359">
        <f>'Unit Data from Audit Worksheet'!C222</f>
        <v>0</v>
      </c>
      <c r="C191" s="606" t="str">
        <f>'Unit Data from Audit Worksheet'!D222</f>
        <v xml:space="preserve">Estimated cost not yet budgeted of any mandate placed on unit by DEQ, a court order or some similar requirement (that has no realistic appeal path). </v>
      </c>
      <c r="D191" s="360"/>
      <c r="E191" s="361">
        <f>'Unit Data from Audit Worksheet'!F222</f>
        <v>0</v>
      </c>
      <c r="F191" s="87"/>
      <c r="G191" s="356"/>
      <c r="H191" s="353">
        <f>'Unit Data from Audit Worksheet'!I222</f>
        <v>0</v>
      </c>
      <c r="I191" s="38"/>
      <c r="J191" s="370">
        <v>987</v>
      </c>
      <c r="K191" s="616" t="s">
        <v>1319</v>
      </c>
      <c r="L191" s="607">
        <f t="shared" si="20"/>
        <v>0</v>
      </c>
      <c r="P191" s="323"/>
      <c r="W191" s="3" t="b">
        <f t="shared" si="19"/>
        <v>1</v>
      </c>
      <c r="X191" s="586"/>
      <c r="Y191" s="586"/>
    </row>
    <row r="192" spans="1:25" ht="69" customHeight="1" x14ac:dyDescent="0.3">
      <c r="A192" s="605">
        <f>'Unit Data from Audit Worksheet'!A223</f>
        <v>988</v>
      </c>
      <c r="B192" s="359">
        <f>'Unit Data from Audit Worksheet'!C223</f>
        <v>0</v>
      </c>
      <c r="C192" s="606" t="str">
        <f>'Unit Data from Audit Worksheet'!D223</f>
        <v>Do you operate a landfill that will be closing  or have a significant portion closing within the next 5 years?  Select "1" for Yes and "2" for No</v>
      </c>
      <c r="D192" s="360"/>
      <c r="E192" s="361">
        <f>'Unit Data from Audit Worksheet'!F223</f>
        <v>0</v>
      </c>
      <c r="F192" s="87"/>
      <c r="G192" s="356"/>
      <c r="H192" s="353">
        <f>'Unit Data from Audit Worksheet'!I223</f>
        <v>0</v>
      </c>
      <c r="I192" s="38"/>
      <c r="J192" s="370">
        <v>988</v>
      </c>
      <c r="K192" s="616" t="s">
        <v>1776</v>
      </c>
      <c r="L192" s="607">
        <f t="shared" si="20"/>
        <v>0</v>
      </c>
      <c r="P192" s="323"/>
      <c r="W192" s="3" t="b">
        <f t="shared" si="19"/>
        <v>1</v>
      </c>
      <c r="X192" s="586"/>
      <c r="Y192" s="586"/>
    </row>
    <row r="193" spans="1:25" ht="95.25" customHeight="1" x14ac:dyDescent="0.3">
      <c r="A193" s="605">
        <f>'Unit Data from Audit Worksheet'!A224</f>
        <v>989</v>
      </c>
      <c r="B193" s="359">
        <f>'Unit Data from Audit Worksheet'!C224</f>
        <v>0</v>
      </c>
      <c r="C193" s="606" t="str">
        <f>'Unit Data from Audit Worksheet'!D224</f>
        <v>If you answered "yes" to question #988 above, will you have the closure/postclosure cost fully funded by the date of closure?  Select "1" for Yes,  "2" for No, or "3" for N/A.</v>
      </c>
      <c r="D193" s="360"/>
      <c r="E193" s="361">
        <f>'Unit Data from Audit Worksheet'!F224</f>
        <v>0</v>
      </c>
      <c r="F193" s="87"/>
      <c r="G193" s="356"/>
      <c r="H193" s="353">
        <f>'Unit Data from Audit Worksheet'!I224</f>
        <v>0</v>
      </c>
      <c r="I193" s="38"/>
      <c r="J193" s="370">
        <v>989</v>
      </c>
      <c r="K193" s="616" t="s">
        <v>1581</v>
      </c>
      <c r="L193" s="607">
        <f t="shared" si="20"/>
        <v>0</v>
      </c>
      <c r="P193" s="323"/>
      <c r="W193" s="3" t="b">
        <f t="shared" si="19"/>
        <v>1</v>
      </c>
      <c r="X193" s="586"/>
      <c r="Y193" s="586"/>
    </row>
    <row r="194" spans="1:25" ht="57" customHeight="1" x14ac:dyDescent="0.3">
      <c r="A194" s="341">
        <f>'Unit Data from Audit Worksheet'!A228</f>
        <v>327</v>
      </c>
      <c r="B194" s="355" t="str">
        <f>'Unit Data from Audit Worksheet'!C228</f>
        <v>WS-Capital Assets Schedule in the Notes</v>
      </c>
      <c r="C194" s="340" t="str">
        <f>'Unit Data from Audit Worksheet'!D228</f>
        <v>Land and all other non depreciable capital assets 
Exclude construction in progress</v>
      </c>
      <c r="D194" s="360"/>
      <c r="E194" s="361">
        <f>'Unit Data from Audit Worksheet'!F228</f>
        <v>0</v>
      </c>
      <c r="F194" s="87"/>
      <c r="G194" s="356"/>
      <c r="H194" s="353">
        <f>'Unit Data from Audit Worksheet'!I228</f>
        <v>0</v>
      </c>
      <c r="I194" s="38"/>
      <c r="J194" s="352">
        <v>327</v>
      </c>
      <c r="K194" s="58" t="s">
        <v>550</v>
      </c>
      <c r="L194" s="589">
        <f t="shared" si="20"/>
        <v>0</v>
      </c>
      <c r="P194" s="323"/>
      <c r="W194" s="3" t="b">
        <f t="shared" si="19"/>
        <v>1</v>
      </c>
      <c r="X194" s="586">
        <f t="shared" si="21"/>
        <v>0</v>
      </c>
      <c r="Y194" s="586">
        <f t="shared" si="22"/>
        <v>0</v>
      </c>
    </row>
    <row r="195" spans="1:25" ht="57" customHeight="1" x14ac:dyDescent="0.3">
      <c r="A195" s="341">
        <f>'Unit Data from Audit Worksheet'!A229</f>
        <v>328</v>
      </c>
      <c r="B195" s="355" t="str">
        <f>'Unit Data from Audit Worksheet'!C229</f>
        <v>WS-Capital Assets Schedule in the Notes</v>
      </c>
      <c r="C195" s="340" t="str">
        <f>'Unit Data from Audit Worksheet'!D229</f>
        <v>Construction in progress</v>
      </c>
      <c r="D195" s="360"/>
      <c r="E195" s="361">
        <f>'Unit Data from Audit Worksheet'!F229</f>
        <v>0</v>
      </c>
      <c r="F195" s="87"/>
      <c r="G195" s="356"/>
      <c r="H195" s="353">
        <f>'Unit Data from Audit Worksheet'!I229</f>
        <v>0</v>
      </c>
      <c r="I195" s="38"/>
      <c r="J195" s="352">
        <v>328</v>
      </c>
      <c r="K195" s="58" t="s">
        <v>551</v>
      </c>
      <c r="L195" s="589">
        <f t="shared" si="20"/>
        <v>0</v>
      </c>
      <c r="P195" s="323"/>
      <c r="W195" s="3" t="b">
        <f t="shared" si="19"/>
        <v>1</v>
      </c>
      <c r="X195" s="586">
        <f t="shared" si="21"/>
        <v>0</v>
      </c>
      <c r="Y195" s="586">
        <f t="shared" si="22"/>
        <v>0</v>
      </c>
    </row>
    <row r="196" spans="1:25" ht="46.5" customHeight="1" x14ac:dyDescent="0.3">
      <c r="A196" s="341">
        <f>'Unit Data from Audit Worksheet'!A233</f>
        <v>515</v>
      </c>
      <c r="B196" s="355" t="str">
        <f>'Unit Data from Audit Worksheet'!C233</f>
        <v>WS Capital Assets Schedule-Gross Value</v>
      </c>
      <c r="C196" s="340" t="str">
        <f>'Unit Data from Audit Worksheet'!D233</f>
        <v>Buildings</v>
      </c>
      <c r="D196" s="360"/>
      <c r="E196" s="361">
        <f>'Unit Data from Audit Worksheet'!F233</f>
        <v>0</v>
      </c>
      <c r="F196" s="87"/>
      <c r="G196" s="356"/>
      <c r="H196" s="353">
        <f>'Unit Data from Audit Worksheet'!I233</f>
        <v>0</v>
      </c>
      <c r="I196" s="38"/>
      <c r="J196" s="352">
        <v>515</v>
      </c>
      <c r="K196" s="58" t="s">
        <v>277</v>
      </c>
      <c r="L196" s="589">
        <f t="shared" si="20"/>
        <v>0</v>
      </c>
      <c r="P196" s="323"/>
      <c r="W196" s="3" t="b">
        <f t="shared" si="19"/>
        <v>1</v>
      </c>
      <c r="X196" s="586">
        <f t="shared" si="21"/>
        <v>0</v>
      </c>
      <c r="Y196" s="586">
        <f t="shared" si="22"/>
        <v>0</v>
      </c>
    </row>
    <row r="197" spans="1:25" ht="46.5" customHeight="1" x14ac:dyDescent="0.3">
      <c r="A197" s="341">
        <f>'Unit Data from Audit Worksheet'!A234</f>
        <v>516</v>
      </c>
      <c r="B197" s="355" t="str">
        <f>'Unit Data from Audit Worksheet'!C234</f>
        <v>WS Capital Assets Schedule-Gross Value</v>
      </c>
      <c r="C197" s="340" t="str">
        <f>'Unit Data from Audit Worksheet'!D234</f>
        <v>Plant / distributions systems / water lines</v>
      </c>
      <c r="D197" s="360"/>
      <c r="E197" s="361">
        <f>'Unit Data from Audit Worksheet'!F234</f>
        <v>0</v>
      </c>
      <c r="F197" s="87"/>
      <c r="G197" s="356"/>
      <c r="H197" s="353">
        <f>'Unit Data from Audit Worksheet'!I234</f>
        <v>0</v>
      </c>
      <c r="I197" s="38"/>
      <c r="J197" s="352">
        <v>516</v>
      </c>
      <c r="K197" s="58" t="s">
        <v>278</v>
      </c>
      <c r="L197" s="589">
        <f t="shared" si="20"/>
        <v>0</v>
      </c>
      <c r="P197" s="323"/>
      <c r="W197" s="3" t="b">
        <f t="shared" ref="W197:W228" si="23">EXACT(A197,J197)</f>
        <v>1</v>
      </c>
      <c r="X197" s="586">
        <f t="shared" si="21"/>
        <v>0</v>
      </c>
      <c r="Y197" s="586">
        <f t="shared" si="22"/>
        <v>0</v>
      </c>
    </row>
    <row r="198" spans="1:25" ht="46.5" customHeight="1" x14ac:dyDescent="0.3">
      <c r="A198" s="341">
        <f>'Unit Data from Audit Worksheet'!A235</f>
        <v>517</v>
      </c>
      <c r="B198" s="355" t="str">
        <f>'Unit Data from Audit Worksheet'!C235</f>
        <v>WS Capital Assets Schedule-Gross Value</v>
      </c>
      <c r="C198" s="340" t="str">
        <f>'Unit Data from Audit Worksheet'!D235</f>
        <v>Infrastructure(other infrastructure)</v>
      </c>
      <c r="D198" s="360"/>
      <c r="E198" s="361">
        <f>'Unit Data from Audit Worksheet'!F235</f>
        <v>0</v>
      </c>
      <c r="F198" s="87"/>
      <c r="G198" s="356"/>
      <c r="H198" s="353">
        <f>'Unit Data from Audit Worksheet'!I235</f>
        <v>0</v>
      </c>
      <c r="I198" s="38"/>
      <c r="J198" s="352">
        <v>517</v>
      </c>
      <c r="K198" s="617" t="s">
        <v>279</v>
      </c>
      <c r="L198" s="589">
        <f t="shared" si="20"/>
        <v>0</v>
      </c>
      <c r="P198" s="323"/>
      <c r="W198" s="3" t="b">
        <f t="shared" si="23"/>
        <v>1</v>
      </c>
      <c r="X198" s="586">
        <f t="shared" si="21"/>
        <v>0</v>
      </c>
      <c r="Y198" s="586">
        <f t="shared" si="22"/>
        <v>0</v>
      </c>
    </row>
    <row r="199" spans="1:25" ht="46.5" customHeight="1" x14ac:dyDescent="0.3">
      <c r="A199" s="341">
        <f>'Unit Data from Audit Worksheet'!A236</f>
        <v>518</v>
      </c>
      <c r="B199" s="355" t="str">
        <f>'Unit Data from Audit Worksheet'!C236</f>
        <v>WS Capital Assets Schedule-Gross Value</v>
      </c>
      <c r="C199" s="340" t="str">
        <f>'Unit Data from Audit Worksheet'!D236</f>
        <v>All other depreciable capital assets</v>
      </c>
      <c r="D199" s="360"/>
      <c r="E199" s="361">
        <f>'Unit Data from Audit Worksheet'!F236</f>
        <v>0</v>
      </c>
      <c r="F199" s="87"/>
      <c r="G199" s="356"/>
      <c r="H199" s="353">
        <f>'Unit Data from Audit Worksheet'!I236</f>
        <v>0</v>
      </c>
      <c r="I199" s="38"/>
      <c r="J199" s="352">
        <v>518</v>
      </c>
      <c r="K199" s="617" t="s">
        <v>280</v>
      </c>
      <c r="L199" s="589">
        <f t="shared" si="20"/>
        <v>0</v>
      </c>
      <c r="P199" s="323"/>
      <c r="W199" s="3" t="b">
        <f t="shared" si="23"/>
        <v>1</v>
      </c>
      <c r="X199" s="586">
        <f t="shared" si="21"/>
        <v>0</v>
      </c>
      <c r="Y199" s="586">
        <f t="shared" si="22"/>
        <v>0</v>
      </c>
    </row>
    <row r="200" spans="1:25" ht="52.5" customHeight="1" x14ac:dyDescent="0.3">
      <c r="A200" s="341">
        <f>'Unit Data from Audit Worksheet'!A239</f>
        <v>519</v>
      </c>
      <c r="B200" s="355" t="str">
        <f>'Unit Data from Audit Worksheet'!C239</f>
        <v>WS Capital Assets Schedule-Annual Depreciation</v>
      </c>
      <c r="C200" s="340" t="str">
        <f>'Unit Data from Audit Worksheet'!D239</f>
        <v>Buildings annual depreciation</v>
      </c>
      <c r="D200" s="360"/>
      <c r="E200" s="361">
        <f>'Unit Data from Audit Worksheet'!F239</f>
        <v>0</v>
      </c>
      <c r="F200" s="87"/>
      <c r="G200" s="356"/>
      <c r="H200" s="353">
        <f>'Unit Data from Audit Worksheet'!I239</f>
        <v>0</v>
      </c>
      <c r="I200" s="38"/>
      <c r="J200" s="352">
        <v>519</v>
      </c>
      <c r="K200" s="617" t="s">
        <v>281</v>
      </c>
      <c r="L200" s="589">
        <f t="shared" si="20"/>
        <v>0</v>
      </c>
      <c r="P200" s="323"/>
      <c r="W200" s="3" t="b">
        <f t="shared" si="23"/>
        <v>1</v>
      </c>
      <c r="X200" s="586">
        <f t="shared" si="21"/>
        <v>0</v>
      </c>
      <c r="Y200" s="586">
        <f t="shared" si="22"/>
        <v>0</v>
      </c>
    </row>
    <row r="201" spans="1:25" ht="52.5" customHeight="1" x14ac:dyDescent="0.3">
      <c r="A201" s="341">
        <f>'Unit Data from Audit Worksheet'!A240</f>
        <v>520</v>
      </c>
      <c r="B201" s="355" t="str">
        <f>'Unit Data from Audit Worksheet'!C240</f>
        <v>WS Capital Assets Schedule-Annual Depreciation</v>
      </c>
      <c r="C201" s="340" t="str">
        <f>'Unit Data from Audit Worksheet'!D240</f>
        <v>Plant / distributions systems / water lines annual depreciation</v>
      </c>
      <c r="D201" s="360"/>
      <c r="E201" s="361">
        <f>'Unit Data from Audit Worksheet'!F240</f>
        <v>0</v>
      </c>
      <c r="F201" s="87"/>
      <c r="G201" s="356"/>
      <c r="H201" s="353">
        <f>'Unit Data from Audit Worksheet'!I240</f>
        <v>0</v>
      </c>
      <c r="I201" s="38"/>
      <c r="J201" s="352">
        <v>520</v>
      </c>
      <c r="K201" s="617" t="s">
        <v>282</v>
      </c>
      <c r="L201" s="589">
        <f t="shared" si="20"/>
        <v>0</v>
      </c>
      <c r="P201" s="323"/>
      <c r="W201" s="3" t="b">
        <f t="shared" si="23"/>
        <v>1</v>
      </c>
      <c r="X201" s="586">
        <f t="shared" si="21"/>
        <v>0</v>
      </c>
      <c r="Y201" s="586">
        <f t="shared" si="22"/>
        <v>0</v>
      </c>
    </row>
    <row r="202" spans="1:25" ht="52.5" customHeight="1" x14ac:dyDescent="0.3">
      <c r="A202" s="341">
        <f>'Unit Data from Audit Worksheet'!A241</f>
        <v>521</v>
      </c>
      <c r="B202" s="355" t="str">
        <f>'Unit Data from Audit Worksheet'!C241</f>
        <v>WS Capital Assets Schedule-Annual Depreciation</v>
      </c>
      <c r="C202" s="340" t="str">
        <f>'Unit Data from Audit Worksheet'!D241</f>
        <v>Infrastructure(other infrastructure) annual depreciation</v>
      </c>
      <c r="D202" s="360"/>
      <c r="E202" s="361">
        <f>'Unit Data from Audit Worksheet'!F241</f>
        <v>0</v>
      </c>
      <c r="F202" s="87"/>
      <c r="G202" s="356"/>
      <c r="H202" s="353">
        <f>'Unit Data from Audit Worksheet'!I241</f>
        <v>0</v>
      </c>
      <c r="I202" s="38"/>
      <c r="J202" s="352">
        <v>521</v>
      </c>
      <c r="K202" s="58" t="s">
        <v>283</v>
      </c>
      <c r="L202" s="589">
        <f t="shared" si="20"/>
        <v>0</v>
      </c>
      <c r="P202" s="323"/>
      <c r="W202" s="3" t="b">
        <f t="shared" si="23"/>
        <v>1</v>
      </c>
      <c r="X202" s="586">
        <f t="shared" si="21"/>
        <v>0</v>
      </c>
      <c r="Y202" s="586">
        <f t="shared" si="22"/>
        <v>0</v>
      </c>
    </row>
    <row r="203" spans="1:25" ht="42.75" customHeight="1" x14ac:dyDescent="0.3">
      <c r="A203" s="341">
        <f>'Unit Data from Audit Worksheet'!A242</f>
        <v>522</v>
      </c>
      <c r="B203" s="355" t="str">
        <f>'Unit Data from Audit Worksheet'!C242</f>
        <v>WS Capital Assets Schedule-Annual Depreciation</v>
      </c>
      <c r="C203" s="340" t="str">
        <f>'Unit Data from Audit Worksheet'!D242</f>
        <v>All other depreciable capital assets annual depreciation</v>
      </c>
      <c r="D203" s="360"/>
      <c r="E203" s="361">
        <f>'Unit Data from Audit Worksheet'!F242</f>
        <v>0</v>
      </c>
      <c r="F203" s="87"/>
      <c r="G203" s="356"/>
      <c r="H203" s="353">
        <f>'Unit Data from Audit Worksheet'!I242</f>
        <v>0</v>
      </c>
      <c r="I203" s="38"/>
      <c r="J203" s="352">
        <v>522</v>
      </c>
      <c r="K203" s="58" t="s">
        <v>284</v>
      </c>
      <c r="L203" s="589">
        <f t="shared" si="20"/>
        <v>0</v>
      </c>
      <c r="P203" s="323"/>
      <c r="W203" s="3" t="b">
        <f t="shared" si="23"/>
        <v>1</v>
      </c>
      <c r="X203" s="586">
        <f t="shared" si="21"/>
        <v>0</v>
      </c>
      <c r="Y203" s="586">
        <f t="shared" si="22"/>
        <v>0</v>
      </c>
    </row>
    <row r="204" spans="1:25" ht="42.75" customHeight="1" x14ac:dyDescent="0.3">
      <c r="A204" s="341">
        <f>'Unit Data from Audit Worksheet'!A245</f>
        <v>523</v>
      </c>
      <c r="B204" s="355" t="str">
        <f>'Unit Data from Audit Worksheet'!C245</f>
        <v>WS Capital Assets Schedule-Accumulated Depreciation</v>
      </c>
      <c r="C204" s="340" t="str">
        <f>'Unit Data from Audit Worksheet'!D245</f>
        <v>Building accumulated depreciation</v>
      </c>
      <c r="D204" s="360"/>
      <c r="E204" s="361">
        <f>'Unit Data from Audit Worksheet'!F245</f>
        <v>0</v>
      </c>
      <c r="F204" s="87"/>
      <c r="G204" s="356"/>
      <c r="H204" s="353">
        <f>'Unit Data from Audit Worksheet'!I245</f>
        <v>0</v>
      </c>
      <c r="I204" s="38"/>
      <c r="J204" s="352">
        <v>523</v>
      </c>
      <c r="K204" s="58" t="s">
        <v>285</v>
      </c>
      <c r="L204" s="589">
        <f t="shared" si="20"/>
        <v>0</v>
      </c>
      <c r="P204" s="323"/>
      <c r="W204" s="3" t="b">
        <f t="shared" si="23"/>
        <v>1</v>
      </c>
      <c r="X204" s="586">
        <f t="shared" si="21"/>
        <v>0</v>
      </c>
      <c r="Y204" s="586">
        <f t="shared" si="22"/>
        <v>0</v>
      </c>
    </row>
    <row r="205" spans="1:25" ht="51" customHeight="1" x14ac:dyDescent="0.3">
      <c r="A205" s="341">
        <f>'Unit Data from Audit Worksheet'!A246</f>
        <v>524</v>
      </c>
      <c r="B205" s="355" t="str">
        <f>'Unit Data from Audit Worksheet'!C246</f>
        <v>WS Capital Assets Schedule-Accumulated Depreciation</v>
      </c>
      <c r="C205" s="340" t="str">
        <f>'Unit Data from Audit Worksheet'!D246</f>
        <v>Plant / distributions systems / water lines accumulated depreciation</v>
      </c>
      <c r="D205" s="360"/>
      <c r="E205" s="361">
        <f>'Unit Data from Audit Worksheet'!F246</f>
        <v>0</v>
      </c>
      <c r="F205" s="87"/>
      <c r="G205" s="356"/>
      <c r="H205" s="353">
        <f>'Unit Data from Audit Worksheet'!I246</f>
        <v>0</v>
      </c>
      <c r="I205" s="38"/>
      <c r="J205" s="352">
        <v>524</v>
      </c>
      <c r="K205" s="58" t="s">
        <v>286</v>
      </c>
      <c r="L205" s="589">
        <f t="shared" si="20"/>
        <v>0</v>
      </c>
      <c r="P205" s="323"/>
      <c r="W205" s="3" t="b">
        <f t="shared" si="23"/>
        <v>1</v>
      </c>
      <c r="X205" s="586">
        <f t="shared" si="21"/>
        <v>0</v>
      </c>
      <c r="Y205" s="586">
        <f t="shared" si="22"/>
        <v>0</v>
      </c>
    </row>
    <row r="206" spans="1:25" ht="57.75" customHeight="1" x14ac:dyDescent="0.3">
      <c r="A206" s="341">
        <f>'Unit Data from Audit Worksheet'!A247</f>
        <v>525</v>
      </c>
      <c r="B206" s="355" t="str">
        <f>'Unit Data from Audit Worksheet'!C247</f>
        <v>WS Capital Assets Schedule-Accumulated Depreciation</v>
      </c>
      <c r="C206" s="340" t="str">
        <f>'Unit Data from Audit Worksheet'!D247</f>
        <v>Infrastructure(other infrastructure) accumulated depreciation</v>
      </c>
      <c r="D206" s="360"/>
      <c r="E206" s="361">
        <f>'Unit Data from Audit Worksheet'!F247</f>
        <v>0</v>
      </c>
      <c r="F206" s="87"/>
      <c r="G206" s="356"/>
      <c r="H206" s="353">
        <f>'Unit Data from Audit Worksheet'!I247</f>
        <v>0</v>
      </c>
      <c r="I206" s="38"/>
      <c r="J206" s="352">
        <v>525</v>
      </c>
      <c r="K206" s="58" t="s">
        <v>287</v>
      </c>
      <c r="L206" s="589">
        <f t="shared" si="20"/>
        <v>0</v>
      </c>
      <c r="P206" s="323"/>
      <c r="W206" s="3" t="b">
        <f t="shared" si="23"/>
        <v>1</v>
      </c>
      <c r="X206" s="586">
        <f t="shared" si="21"/>
        <v>0</v>
      </c>
      <c r="Y206" s="586">
        <f t="shared" si="22"/>
        <v>0</v>
      </c>
    </row>
    <row r="207" spans="1:25" ht="48" customHeight="1" x14ac:dyDescent="0.3">
      <c r="A207" s="341">
        <f>'Unit Data from Audit Worksheet'!A248</f>
        <v>526</v>
      </c>
      <c r="B207" s="355" t="str">
        <f>'Unit Data from Audit Worksheet'!C248</f>
        <v>WS Capital Assets Schedule-Accumulated Depreciation</v>
      </c>
      <c r="C207" s="340" t="str">
        <f>'Unit Data from Audit Worksheet'!D248</f>
        <v>All other depreciable capital assets accumulated depreciation</v>
      </c>
      <c r="D207" s="360"/>
      <c r="E207" s="361">
        <f>'Unit Data from Audit Worksheet'!F248</f>
        <v>0</v>
      </c>
      <c r="F207" s="87"/>
      <c r="G207" s="356"/>
      <c r="H207" s="353">
        <f>'Unit Data from Audit Worksheet'!I248</f>
        <v>0</v>
      </c>
      <c r="I207" s="38"/>
      <c r="J207" s="352">
        <v>526</v>
      </c>
      <c r="K207" s="58" t="s">
        <v>288</v>
      </c>
      <c r="L207" s="589">
        <f t="shared" si="20"/>
        <v>0</v>
      </c>
      <c r="P207" s="323"/>
      <c r="W207" s="3" t="b">
        <f t="shared" si="23"/>
        <v>1</v>
      </c>
      <c r="X207" s="586">
        <f t="shared" si="21"/>
        <v>0</v>
      </c>
      <c r="Y207" s="586">
        <f t="shared" si="22"/>
        <v>0</v>
      </c>
    </row>
    <row r="208" spans="1:25" ht="50.25" customHeight="1" x14ac:dyDescent="0.3">
      <c r="A208" s="341">
        <f>'Unit Data from Audit Worksheet'!A253</f>
        <v>527</v>
      </c>
      <c r="B208" s="355" t="str">
        <f>'Unit Data from Audit Worksheet'!C253</f>
        <v>Electric Assets</v>
      </c>
      <c r="C208" s="340" t="str">
        <f>'Unit Data from Audit Worksheet'!D253</f>
        <v>Total Assets Gross value not being depreciated for Electric Fund</v>
      </c>
      <c r="D208" s="360"/>
      <c r="E208" s="361">
        <f>'Unit Data from Audit Worksheet'!F253</f>
        <v>0</v>
      </c>
      <c r="F208" s="87"/>
      <c r="G208" s="356"/>
      <c r="H208" s="353">
        <f>'Unit Data from Audit Worksheet'!I253</f>
        <v>0</v>
      </c>
      <c r="I208" s="38"/>
      <c r="J208" s="352">
        <v>527</v>
      </c>
      <c r="K208" s="58" t="s">
        <v>289</v>
      </c>
      <c r="L208" s="589">
        <f t="shared" si="20"/>
        <v>0</v>
      </c>
      <c r="P208" s="323"/>
      <c r="W208" s="3" t="b">
        <f t="shared" si="23"/>
        <v>1</v>
      </c>
      <c r="X208" s="586">
        <f t="shared" si="21"/>
        <v>0</v>
      </c>
      <c r="Y208" s="586">
        <f t="shared" si="22"/>
        <v>0</v>
      </c>
    </row>
    <row r="209" spans="1:27" ht="54.75" customHeight="1" x14ac:dyDescent="0.3">
      <c r="A209" s="341">
        <f>'Unit Data from Audit Worksheet'!A254</f>
        <v>356</v>
      </c>
      <c r="B209" s="355" t="str">
        <f>'Unit Data from Audit Worksheet'!C254</f>
        <v>Electric Assets</v>
      </c>
      <c r="C209" s="340" t="str">
        <f>'Unit Data from Audit Worksheet'!D254</f>
        <v>Total Assets Gross value of assets being depreciated for Electric Fund</v>
      </c>
      <c r="D209" s="360"/>
      <c r="E209" s="361">
        <f>'Unit Data from Audit Worksheet'!F254</f>
        <v>0</v>
      </c>
      <c r="F209" s="87"/>
      <c r="G209" s="356"/>
      <c r="H209" s="353">
        <f>'Unit Data from Audit Worksheet'!I254</f>
        <v>0</v>
      </c>
      <c r="I209" s="38"/>
      <c r="J209" s="352">
        <v>356</v>
      </c>
      <c r="K209" s="58" t="s">
        <v>552</v>
      </c>
      <c r="L209" s="589">
        <f t="shared" si="20"/>
        <v>0</v>
      </c>
      <c r="P209" s="323"/>
      <c r="W209" s="3" t="b">
        <f t="shared" si="23"/>
        <v>1</v>
      </c>
      <c r="X209" s="586">
        <f t="shared" si="21"/>
        <v>0</v>
      </c>
      <c r="Y209" s="586">
        <f t="shared" si="22"/>
        <v>0</v>
      </c>
    </row>
    <row r="210" spans="1:27" ht="54.75" customHeight="1" x14ac:dyDescent="0.3">
      <c r="A210" s="341">
        <f>'Unit Data from Audit Worksheet'!A255</f>
        <v>357</v>
      </c>
      <c r="B210" s="355" t="str">
        <f>'Unit Data from Audit Worksheet'!C255</f>
        <v>Electric Accumulated Depreciation</v>
      </c>
      <c r="C210" s="340" t="str">
        <f>'Unit Data from Audit Worksheet'!D255</f>
        <v>Total accumulated depreciation for Electric Fund assets</v>
      </c>
      <c r="D210" s="360"/>
      <c r="E210" s="361">
        <f>'Unit Data from Audit Worksheet'!F255</f>
        <v>0</v>
      </c>
      <c r="F210" s="87"/>
      <c r="G210" s="356"/>
      <c r="H210" s="353">
        <f>'Unit Data from Audit Worksheet'!I255</f>
        <v>0</v>
      </c>
      <c r="I210" s="38"/>
      <c r="J210" s="352">
        <v>357</v>
      </c>
      <c r="K210" s="58" t="s">
        <v>553</v>
      </c>
      <c r="L210" s="589">
        <f t="shared" si="20"/>
        <v>0</v>
      </c>
      <c r="P210" s="323"/>
      <c r="W210" s="3" t="b">
        <f t="shared" si="23"/>
        <v>1</v>
      </c>
      <c r="X210" s="586">
        <f t="shared" si="21"/>
        <v>0</v>
      </c>
      <c r="Y210" s="586">
        <f t="shared" si="22"/>
        <v>0</v>
      </c>
    </row>
    <row r="211" spans="1:27" ht="191.25" customHeight="1" x14ac:dyDescent="0.3">
      <c r="A211" s="341">
        <f>'Unit Data from Audit Worksheet'!A257</f>
        <v>337</v>
      </c>
      <c r="B211" s="355" t="str">
        <f>'Unit Data from Audit Worksheet'!C257</f>
        <v>Long-Term Liability Note - Governmental Activities</v>
      </c>
      <c r="C211" s="355" t="str">
        <f>'Unit Data from Audit Worksheet'!D257</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1" s="360"/>
      <c r="E211" s="361">
        <f>'Unit Data from Audit Worksheet'!F257</f>
        <v>0</v>
      </c>
      <c r="F211" s="354">
        <f>IF(L211&lt;0,"Error: Enter as a positive.",)</f>
        <v>0</v>
      </c>
      <c r="G211" s="356"/>
      <c r="H211" s="353">
        <f>'Unit Data from Audit Worksheet'!I257</f>
        <v>0</v>
      </c>
      <c r="I211" s="38"/>
      <c r="J211" s="352">
        <v>337</v>
      </c>
      <c r="K211" s="351" t="s">
        <v>254</v>
      </c>
      <c r="L211" s="589">
        <f t="shared" si="20"/>
        <v>0</v>
      </c>
      <c r="P211" s="323"/>
      <c r="W211" s="3" t="b">
        <f t="shared" si="23"/>
        <v>1</v>
      </c>
      <c r="X211" s="586">
        <f t="shared" si="21"/>
        <v>0</v>
      </c>
      <c r="Y211" s="586">
        <f t="shared" si="22"/>
        <v>0</v>
      </c>
    </row>
    <row r="212" spans="1:27" ht="76.5" customHeight="1" x14ac:dyDescent="0.3">
      <c r="A212" s="341">
        <f>'Unit Data from Audit Worksheet'!A258</f>
        <v>343</v>
      </c>
      <c r="B212" s="355" t="str">
        <f>'Unit Data from Audit Worksheet'!C258</f>
        <v>Long-Term Liability Note - Governmental Activities</v>
      </c>
      <c r="C212" s="340" t="str">
        <f>'Unit Data from Audit Worksheet'!D258</f>
        <v>Decreases made (principal paid) on Long-Term Debt in current fiscal year.  Reduce for debt refunding.</v>
      </c>
      <c r="D212" s="360"/>
      <c r="E212" s="361">
        <f>'Unit Data from Audit Worksheet'!F258</f>
        <v>0</v>
      </c>
      <c r="F212" s="354">
        <f>IF(L212&lt;0,"Error: Enter as a positive.",)</f>
        <v>0</v>
      </c>
      <c r="G212" s="356"/>
      <c r="H212" s="353">
        <f>'Unit Data from Audit Worksheet'!I258</f>
        <v>0</v>
      </c>
      <c r="I212" s="38"/>
      <c r="J212" s="352">
        <v>343</v>
      </c>
      <c r="K212" s="351" t="s">
        <v>255</v>
      </c>
      <c r="L212" s="589">
        <f t="shared" si="20"/>
        <v>0</v>
      </c>
      <c r="P212" s="323"/>
      <c r="W212" s="3" t="b">
        <f t="shared" si="23"/>
        <v>1</v>
      </c>
      <c r="X212" s="586">
        <f t="shared" si="21"/>
        <v>0</v>
      </c>
      <c r="Y212" s="586">
        <f t="shared" si="22"/>
        <v>0</v>
      </c>
    </row>
    <row r="213" spans="1:27" ht="193.5" customHeight="1" x14ac:dyDescent="0.3">
      <c r="A213" s="341">
        <f>'Unit Data from Audit Worksheet'!A259</f>
        <v>82</v>
      </c>
      <c r="B213" s="355" t="str">
        <f>'Unit Data from Audit Worksheet'!C259</f>
        <v>Long-Term Liability Note - Water Sewer Activities</v>
      </c>
      <c r="C213" s="355" t="str">
        <f>'Unit Data from Audit Worksheet'!D259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3" s="360"/>
      <c r="E213" s="361">
        <f>'Unit Data from Audit Worksheet'!F259</f>
        <v>0</v>
      </c>
      <c r="F213" s="354">
        <f>IF(L213&lt;0,"Error: Enter as a positive.",)</f>
        <v>0</v>
      </c>
      <c r="G213" s="356"/>
      <c r="H213" s="353">
        <f>'Unit Data from Audit Worksheet'!I259</f>
        <v>0</v>
      </c>
      <c r="I213" s="38"/>
      <c r="J213" s="352">
        <v>82</v>
      </c>
      <c r="K213" s="69" t="s">
        <v>554</v>
      </c>
      <c r="L213" s="589">
        <f t="shared" si="20"/>
        <v>0</v>
      </c>
      <c r="P213" s="323"/>
      <c r="W213" s="3" t="b">
        <f t="shared" si="23"/>
        <v>1</v>
      </c>
      <c r="X213" s="586">
        <f t="shared" si="21"/>
        <v>0</v>
      </c>
      <c r="Y213" s="586">
        <f t="shared" si="22"/>
        <v>0</v>
      </c>
    </row>
    <row r="214" spans="1:27" ht="206.25" customHeight="1" x14ac:dyDescent="0.3">
      <c r="A214" s="341">
        <f>'Unit Data from Audit Worksheet'!A260</f>
        <v>359</v>
      </c>
      <c r="B214" s="355" t="str">
        <f>'Unit Data from Audit Worksheet'!C260</f>
        <v>Long-Term Liability Note - Electric Activities</v>
      </c>
      <c r="C214" s="355" t="str">
        <f>'Unit Data from Audit Worksheet'!D260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4" s="360"/>
      <c r="E214" s="361">
        <f>'Unit Data from Audit Worksheet'!F260</f>
        <v>0</v>
      </c>
      <c r="F214" s="354">
        <f>IF(L214&lt;0,"Error: Enter as a positive.",)</f>
        <v>0</v>
      </c>
      <c r="G214" s="356"/>
      <c r="H214" s="353">
        <f>'Unit Data from Audit Worksheet'!I260</f>
        <v>0</v>
      </c>
      <c r="I214" s="38"/>
      <c r="J214" s="352">
        <v>359</v>
      </c>
      <c r="K214" s="351" t="s">
        <v>256</v>
      </c>
      <c r="L214" s="589">
        <f t="shared" si="20"/>
        <v>0</v>
      </c>
      <c r="P214" s="323"/>
      <c r="W214" s="3" t="b">
        <f t="shared" si="23"/>
        <v>1</v>
      </c>
      <c r="X214" s="586">
        <f t="shared" si="21"/>
        <v>0</v>
      </c>
      <c r="Y214" s="586">
        <f t="shared" si="22"/>
        <v>0</v>
      </c>
    </row>
    <row r="215" spans="1:27" ht="76.5" customHeight="1" x14ac:dyDescent="0.3">
      <c r="A215" s="341">
        <f>'Unit Data from Audit Worksheet'!A262</f>
        <v>622</v>
      </c>
      <c r="B215" s="355" t="str">
        <f>'Unit Data from Audit Worksheet'!C262</f>
        <v>FS., Pension note or RSI</v>
      </c>
      <c r="C215" s="355" t="str">
        <f>'Unit Data from Audit Worksheet'!D262</f>
        <v xml:space="preserve">Unit's Share of Net Pension Liability ($s)
- unit of government is a participating employer in the State's TSERS (Teachers' and State Employees' Retirement System) or the LGERS (Local Governmental Employees' Retirement System).  </v>
      </c>
      <c r="D215" s="360"/>
      <c r="E215" s="361">
        <f>'Unit Data from Audit Worksheet'!F262</f>
        <v>0</v>
      </c>
      <c r="F215" s="354"/>
      <c r="G215" s="356"/>
      <c r="H215" s="353"/>
      <c r="I215" s="38"/>
      <c r="J215" s="352">
        <v>622</v>
      </c>
      <c r="K215" s="358" t="s">
        <v>722</v>
      </c>
      <c r="L215" s="589">
        <f t="shared" si="20"/>
        <v>0</v>
      </c>
      <c r="P215" s="323"/>
      <c r="W215" s="3" t="b">
        <f t="shared" si="23"/>
        <v>1</v>
      </c>
      <c r="X215" s="586">
        <f t="shared" si="21"/>
        <v>0</v>
      </c>
      <c r="Y215" s="586">
        <f t="shared" si="22"/>
        <v>0</v>
      </c>
    </row>
    <row r="216" spans="1:27" ht="138.75" customHeight="1" x14ac:dyDescent="0.3">
      <c r="A216" s="341">
        <f>'Unit Data from Audit Worksheet'!A263</f>
        <v>577</v>
      </c>
      <c r="B216" s="355" t="str">
        <f>'Unit Data from Audit Worksheet'!C263</f>
        <v>Pension Notes</v>
      </c>
      <c r="C216" s="355" t="str">
        <f>'Unit Data from Audit Worksheet'!D263</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216" s="360"/>
      <c r="E216" s="361" t="str">
        <f>IF('Unit Data from Audit Worksheet'!F263="Yes",1,IF('Unit Data from Audit Worksheet'!F263="No",2,IF('Unit Data from Audit Worksheet'!F263&lt;1,"",IF('Unit Data from Audit Worksheet'!F263=0&gt;2,""))))</f>
        <v/>
      </c>
      <c r="F216" s="354"/>
      <c r="G216" s="356"/>
      <c r="H216" s="353"/>
      <c r="I216" s="38"/>
      <c r="J216" s="352">
        <v>577</v>
      </c>
      <c r="K216" s="358" t="s">
        <v>612</v>
      </c>
      <c r="L216" s="589" t="str">
        <f t="shared" si="20"/>
        <v/>
      </c>
      <c r="P216" s="323"/>
      <c r="W216" s="3" t="b">
        <f t="shared" si="23"/>
        <v>1</v>
      </c>
      <c r="X216" s="586" t="e">
        <f t="shared" si="21"/>
        <v>#VALUE!</v>
      </c>
      <c r="Y216" s="586" t="e">
        <f t="shared" si="22"/>
        <v>#VALUE!</v>
      </c>
    </row>
    <row r="217" spans="1:27" ht="115.5" customHeight="1" x14ac:dyDescent="0.3">
      <c r="A217" s="618">
        <f>'Unit Data from Audit Worksheet'!A265</f>
        <v>598</v>
      </c>
      <c r="B217" s="355" t="str">
        <f>'Unit Data from Audit Worksheet'!C265</f>
        <v>LEO Note</v>
      </c>
      <c r="C217" s="340" t="str">
        <f>'Unit Data from Audit Worksheet'!D265</f>
        <v>Amount the unit paid out in benefits under LEO special separation allowance to retired law enforcement officers this fiscal year if you report under GASB 68 or GASB 73.</v>
      </c>
      <c r="D217" s="360"/>
      <c r="E217" s="361">
        <f>'Unit Data from Audit Worksheet'!F265</f>
        <v>0</v>
      </c>
      <c r="F217" s="354">
        <f>IF(L217&lt;0,"Error: Enter as a positive.",)</f>
        <v>0</v>
      </c>
      <c r="G217" s="356"/>
      <c r="H217" s="353">
        <f>'Unit Data from Audit Worksheet'!I265</f>
        <v>0</v>
      </c>
      <c r="I217" s="38"/>
      <c r="J217" s="352">
        <v>598</v>
      </c>
      <c r="K217" s="94" t="s">
        <v>681</v>
      </c>
      <c r="L217" s="589">
        <f t="shared" si="20"/>
        <v>0</v>
      </c>
      <c r="P217" s="323"/>
      <c r="W217" s="3" t="b">
        <f t="shared" si="23"/>
        <v>1</v>
      </c>
      <c r="X217" s="586">
        <f t="shared" si="21"/>
        <v>0</v>
      </c>
      <c r="Y217" s="586">
        <f t="shared" si="22"/>
        <v>0</v>
      </c>
    </row>
    <row r="218" spans="1:27" ht="84" customHeight="1" x14ac:dyDescent="0.3">
      <c r="A218" s="341">
        <f>'Unit Data from Audit Worksheet'!A266</f>
        <v>599</v>
      </c>
      <c r="B218" s="355" t="str">
        <f>'Unit Data from Audit Worksheet'!C266</f>
        <v>LEO Note</v>
      </c>
      <c r="C218" s="340" t="str">
        <f>'Unit Data from Audit Worksheet'!D266</f>
        <v>The total LEO pension liability if you report under GASB 68 or GASB 73.</v>
      </c>
      <c r="D218" s="360"/>
      <c r="E218" s="361">
        <f>'Unit Data from Audit Worksheet'!F266</f>
        <v>0</v>
      </c>
      <c r="F218" s="354">
        <f>IF(L218&lt;0,"Error: Enter as a positive.",)</f>
        <v>0</v>
      </c>
      <c r="G218" s="356"/>
      <c r="H218" s="353">
        <f>'Unit Data from Audit Worksheet'!I266</f>
        <v>0</v>
      </c>
      <c r="I218" s="38"/>
      <c r="J218" s="352">
        <v>599</v>
      </c>
      <c r="K218" s="93" t="s">
        <v>680</v>
      </c>
      <c r="L218" s="589">
        <f t="shared" si="20"/>
        <v>0</v>
      </c>
      <c r="M218" s="619"/>
      <c r="P218" s="323"/>
      <c r="W218" s="3" t="b">
        <f t="shared" si="23"/>
        <v>1</v>
      </c>
      <c r="X218" s="586">
        <f t="shared" si="21"/>
        <v>0</v>
      </c>
      <c r="Y218" s="586">
        <f t="shared" si="22"/>
        <v>0</v>
      </c>
    </row>
    <row r="219" spans="1:27" ht="102.75" customHeight="1" x14ac:dyDescent="0.3">
      <c r="A219" s="341">
        <f>'Unit Data from Audit Worksheet'!A267</f>
        <v>602</v>
      </c>
      <c r="B219" s="355" t="str">
        <f>'Unit Data from Audit Worksheet'!C267</f>
        <v>LEO Note</v>
      </c>
      <c r="C219" s="340" t="str">
        <f>'Unit Data from Audit Worksheet'!D267</f>
        <v>If you have LEO pension assets and are reporting under GASB 68 please enter "Plan Fiduciary Net Position" which can be found on your RSI schedules and the Notes.</v>
      </c>
      <c r="D219" s="360"/>
      <c r="E219" s="361">
        <f>'Unit Data from Audit Worksheet'!F267</f>
        <v>0</v>
      </c>
      <c r="F219" s="354">
        <f>IF(L219&lt;0,"Error: Enter as a positive.",)</f>
        <v>0</v>
      </c>
      <c r="G219" s="356"/>
      <c r="H219" s="353">
        <f>'Unit Data from Audit Worksheet'!I267</f>
        <v>0</v>
      </c>
      <c r="I219" s="38"/>
      <c r="J219" s="352">
        <v>602</v>
      </c>
      <c r="K219" s="26" t="s">
        <v>682</v>
      </c>
      <c r="L219" s="589">
        <f t="shared" si="20"/>
        <v>0</v>
      </c>
      <c r="M219" s="619"/>
      <c r="P219" s="323"/>
      <c r="W219" s="3" t="b">
        <f t="shared" si="23"/>
        <v>1</v>
      </c>
      <c r="X219" s="586">
        <f t="shared" si="21"/>
        <v>0</v>
      </c>
      <c r="Y219" s="586">
        <f t="shared" si="22"/>
        <v>0</v>
      </c>
    </row>
    <row r="220" spans="1:27" ht="123" customHeight="1" x14ac:dyDescent="0.3">
      <c r="A220" s="341">
        <f>'Unit Data from Audit Worksheet'!A268</f>
        <v>619</v>
      </c>
      <c r="B220" s="355" t="str">
        <f>'Unit Data from Audit Worksheet'!C268</f>
        <v>LEO
RSI</v>
      </c>
      <c r="C220" s="94" t="str">
        <f>'Unit Data from Audit Worksheet'!D268</f>
        <v>LEOSSA – What is the plan’s fiduciary net position as a percentage of the total pension liability?  Please enter as percentage value; for example, 83.5% should be entered as 83.5.  If assets have not been set aside in a trust, please enter 0.0</v>
      </c>
      <c r="D220" s="95"/>
      <c r="E220" s="150">
        <f>'Unit Data from Audit Worksheet'!F268</f>
        <v>0</v>
      </c>
      <c r="F220" s="354" t="str">
        <f>IF(H220=L220,"","Column L does not equal Column H")</f>
        <v/>
      </c>
      <c r="G220" s="356"/>
      <c r="H220" s="103">
        <f>ROUND(IFERROR((L219/L218)*100,0),1)</f>
        <v>0</v>
      </c>
      <c r="I220" s="38"/>
      <c r="J220" s="343">
        <v>619</v>
      </c>
      <c r="K220" s="102" t="s">
        <v>856</v>
      </c>
      <c r="L220" s="926">
        <f t="shared" si="20"/>
        <v>0</v>
      </c>
      <c r="M220" s="619"/>
      <c r="P220" s="620"/>
      <c r="Q220" s="621">
        <f>IF(H220=L220,0,1)</f>
        <v>0</v>
      </c>
      <c r="W220" s="3" t="b">
        <f t="shared" si="23"/>
        <v>1</v>
      </c>
      <c r="X220" s="586">
        <f t="shared" si="21"/>
        <v>0</v>
      </c>
      <c r="Y220" s="586">
        <f t="shared" si="22"/>
        <v>0</v>
      </c>
    </row>
    <row r="221" spans="1:27" ht="113.25" customHeight="1" x14ac:dyDescent="0.3">
      <c r="A221" s="341">
        <v>621</v>
      </c>
      <c r="B221" s="57" t="s">
        <v>713</v>
      </c>
      <c r="C221" s="622" t="str">
        <f>'Unit Data from Audit Worksheet'!D270</f>
        <v xml:space="preserve">Unit's share of Retirement Health Benefit Fund Net OPEB Liability ($s)
- unit of government is a participating employer in the State's RHBF </v>
      </c>
      <c r="D221" s="95"/>
      <c r="E221" s="361">
        <f>'Unit Data from Audit Worksheet'!F270</f>
        <v>0</v>
      </c>
      <c r="F221" s="354">
        <f>IF(L221&lt;0,"Error: Enter as a positive.",)</f>
        <v>0</v>
      </c>
      <c r="G221" s="128"/>
      <c r="H221" s="353"/>
      <c r="I221" s="38"/>
      <c r="J221" s="623">
        <v>621</v>
      </c>
      <c r="K221" s="129" t="s">
        <v>861</v>
      </c>
      <c r="L221" s="589">
        <f t="shared" si="20"/>
        <v>0</v>
      </c>
      <c r="M221" s="619"/>
      <c r="P221" s="623"/>
      <c r="Q221" s="301"/>
      <c r="W221" s="3" t="b">
        <f t="shared" si="23"/>
        <v>1</v>
      </c>
      <c r="X221" s="586">
        <f t="shared" si="21"/>
        <v>0</v>
      </c>
      <c r="Y221" s="586">
        <f t="shared" si="22"/>
        <v>0</v>
      </c>
    </row>
    <row r="222" spans="1:27" s="18" customFormat="1" ht="127.5" customHeight="1" x14ac:dyDescent="0.3">
      <c r="A222" s="618">
        <f>'Unit Data from Audit Worksheet'!A271</f>
        <v>547</v>
      </c>
      <c r="B222" s="355" t="str">
        <f>'Unit Data from Audit Worksheet'!C271</f>
        <v>OPEB Note</v>
      </c>
      <c r="C222" s="355" t="str">
        <f>'Unit Data from Audit Worksheet'!D271</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222" s="360"/>
      <c r="E222" s="361">
        <f>'Unit Data from Audit Worksheet'!F271</f>
        <v>0</v>
      </c>
      <c r="F222" s="354" t="str">
        <f>IF(L225&lt;1,"Please answer this question","")</f>
        <v>Please answer this question</v>
      </c>
      <c r="G222" s="356"/>
      <c r="H222" s="353">
        <f>'Unit Data from Audit Worksheet'!I271</f>
        <v>0</v>
      </c>
      <c r="I222" s="38"/>
      <c r="J222" s="352">
        <v>547</v>
      </c>
      <c r="K222" s="624" t="s">
        <v>541</v>
      </c>
      <c r="L222" s="589">
        <f t="shared" si="20"/>
        <v>0</v>
      </c>
      <c r="M222" s="610"/>
      <c r="P222" s="323"/>
      <c r="Q222" s="579"/>
      <c r="R222" s="3"/>
      <c r="W222" s="3" t="b">
        <f t="shared" si="23"/>
        <v>1</v>
      </c>
      <c r="X222" s="586">
        <f t="shared" si="21"/>
        <v>0</v>
      </c>
      <c r="Y222" s="586">
        <f t="shared" si="22"/>
        <v>0</v>
      </c>
      <c r="AA222" s="3"/>
    </row>
    <row r="223" spans="1:27" s="18" customFormat="1" ht="99" customHeight="1" x14ac:dyDescent="0.3">
      <c r="A223" s="341">
        <f>'Unit Data from Audit Worksheet'!A272</f>
        <v>659</v>
      </c>
      <c r="B223" s="355" t="str">
        <f>'Unit Data from Audit Worksheet'!C272</f>
        <v>OPEB
 Note or RSI</v>
      </c>
      <c r="C223" s="340" t="str">
        <f>'Unit Data from Audit Worksheet'!D272</f>
        <v>Total OPEB benefits - total OPEB liability
If you do not provide benefit, please enter 0</v>
      </c>
      <c r="D223" s="360"/>
      <c r="E223" s="361">
        <f>'Unit Data from Audit Worksheet'!F272</f>
        <v>0</v>
      </c>
      <c r="F223" s="354">
        <f>IF(L223&lt;0,"Error: Enter as a positive.",)</f>
        <v>0</v>
      </c>
      <c r="G223" s="625" t="s">
        <v>1330</v>
      </c>
      <c r="H223" s="353">
        <f>'Unit Data from Audit Worksheet'!I272</f>
        <v>0</v>
      </c>
      <c r="I223" s="38"/>
      <c r="J223" s="343">
        <v>659</v>
      </c>
      <c r="K223" s="342" t="s">
        <v>817</v>
      </c>
      <c r="L223" s="603">
        <f t="shared" si="20"/>
        <v>0</v>
      </c>
      <c r="M223" s="610"/>
      <c r="P223" s="620"/>
      <c r="Q223" s="579"/>
      <c r="R223" s="3"/>
      <c r="W223" s="3" t="b">
        <f t="shared" si="23"/>
        <v>1</v>
      </c>
      <c r="X223" s="586">
        <f t="shared" si="21"/>
        <v>0</v>
      </c>
      <c r="Y223" s="586">
        <f t="shared" si="22"/>
        <v>0</v>
      </c>
      <c r="AA223" s="3"/>
    </row>
    <row r="224" spans="1:27" s="18" customFormat="1" ht="131.25" customHeight="1" x14ac:dyDescent="0.3">
      <c r="A224" s="341">
        <f>'Unit Data from Audit Worksheet'!A273</f>
        <v>660</v>
      </c>
      <c r="B224" s="355" t="str">
        <f>'Unit Data from Audit Worksheet'!C273</f>
        <v>OPEB
 Note or RSI</v>
      </c>
      <c r="C224" s="340" t="str">
        <f>'Unit Data from Audit Worksheet'!D273</f>
        <v>Total OPEB benefits- OPEB plan fiduciary net position
If no fiduciary net position, enter 0</v>
      </c>
      <c r="D224" s="360"/>
      <c r="E224" s="361">
        <f>'Unit Data from Audit Worksheet'!F273</f>
        <v>0</v>
      </c>
      <c r="F224" s="350">
        <f>IF(L224&lt;0,"Note: Number is normally positive.",)</f>
        <v>0</v>
      </c>
      <c r="G224" s="625" t="s">
        <v>1330</v>
      </c>
      <c r="H224" s="353">
        <f>'Unit Data from Audit Worksheet'!I273</f>
        <v>0</v>
      </c>
      <c r="I224" s="38"/>
      <c r="J224" s="343">
        <v>660</v>
      </c>
      <c r="K224" s="342" t="s">
        <v>818</v>
      </c>
      <c r="L224" s="603">
        <f t="shared" si="20"/>
        <v>0</v>
      </c>
      <c r="M224" s="610"/>
      <c r="P224" s="620"/>
      <c r="Q224" s="579"/>
      <c r="R224" s="3"/>
      <c r="W224" s="3" t="b">
        <f t="shared" si="23"/>
        <v>1</v>
      </c>
      <c r="X224" s="586">
        <f t="shared" si="21"/>
        <v>0</v>
      </c>
      <c r="Y224" s="586">
        <f t="shared" si="22"/>
        <v>0</v>
      </c>
      <c r="AA224" s="3"/>
    </row>
    <row r="225" spans="1:27" ht="134.25" customHeight="1" x14ac:dyDescent="0.3">
      <c r="A225" s="341">
        <f>'Unit Data from Audit Worksheet'!A274</f>
        <v>661</v>
      </c>
      <c r="B225" s="355" t="str">
        <f>'Unit Data from Audit Worksheet'!C274</f>
        <v>OPEB
RSI</v>
      </c>
      <c r="C225" s="340" t="str">
        <f>'Unit Data from Audit Worksheet'!D274</f>
        <v>Total OPEB benefits - What is the plan’s fiduciary net position as a percentage of the total OPEB liability?  Please enter as percentage value; for example, 83.5% should be entered as 83.5.  If assets have not been set aside in a trust, please enter 0.0</v>
      </c>
      <c r="D225" s="95"/>
      <c r="E225" s="339">
        <f>'Unit Data from Audit Worksheet'!F274</f>
        <v>0</v>
      </c>
      <c r="F225" s="354" t="str">
        <f>IF(H225=L225,"","Column L does not equal Column H")</f>
        <v/>
      </c>
      <c r="G225" s="625" t="s">
        <v>1330</v>
      </c>
      <c r="H225" s="176">
        <f>ROUND(IFERROR((L224/L223)*100,0),1)</f>
        <v>0</v>
      </c>
      <c r="I225" s="38"/>
      <c r="J225" s="343">
        <v>661</v>
      </c>
      <c r="K225" s="358" t="s">
        <v>821</v>
      </c>
      <c r="L225" s="626">
        <f>IF(D225="",E225,D225)</f>
        <v>0</v>
      </c>
      <c r="P225" s="620"/>
      <c r="Q225" s="621">
        <f>IF(H225=L225,0,1)</f>
        <v>0</v>
      </c>
      <c r="W225" s="3" t="b">
        <f t="shared" si="23"/>
        <v>1</v>
      </c>
      <c r="X225" s="586">
        <f t="shared" si="21"/>
        <v>0</v>
      </c>
      <c r="Y225" s="586">
        <f t="shared" si="22"/>
        <v>0</v>
      </c>
    </row>
    <row r="226" spans="1:27" ht="65.25" customHeight="1" x14ac:dyDescent="0.3">
      <c r="A226" s="341">
        <f>'Unit Data from Audit Worksheet'!A277</f>
        <v>371</v>
      </c>
      <c r="B226" s="355" t="str">
        <f>'Unit Data from Audit Worksheet'!C277</f>
        <v>Transfer Note</v>
      </c>
      <c r="C226" s="340" t="str">
        <f>'Unit Data from Audit Worksheet'!D277</f>
        <v>Amount of Transfers from the General Fund to the Debt Service Fund (Enter as positive)</v>
      </c>
      <c r="D226" s="360"/>
      <c r="E226" s="361">
        <f>'Unit Data from Audit Worksheet'!F277</f>
        <v>0</v>
      </c>
      <c r="F226" s="354">
        <f>IF(L226&lt;0,"Error: Enter as a positive.",)</f>
        <v>0</v>
      </c>
      <c r="G226" s="356"/>
      <c r="H226" s="353">
        <f>'Unit Data from Audit Worksheet'!I277</f>
        <v>0</v>
      </c>
      <c r="I226" s="38"/>
      <c r="J226" s="39">
        <v>371</v>
      </c>
      <c r="K226" s="351" t="s">
        <v>262</v>
      </c>
      <c r="L226" s="589">
        <f t="shared" si="20"/>
        <v>0</v>
      </c>
      <c r="P226" s="329"/>
      <c r="Q226" s="3"/>
      <c r="W226" s="3" t="b">
        <f t="shared" si="23"/>
        <v>1</v>
      </c>
      <c r="X226" s="586">
        <f t="shared" si="21"/>
        <v>0</v>
      </c>
      <c r="Y226" s="586">
        <f t="shared" si="22"/>
        <v>0</v>
      </c>
    </row>
    <row r="227" spans="1:27" ht="63" customHeight="1" x14ac:dyDescent="0.3">
      <c r="A227" s="341">
        <f>'Unit Data from Audit Worksheet'!A278</f>
        <v>513</v>
      </c>
      <c r="B227" s="355" t="str">
        <f>'Unit Data from Audit Worksheet'!C278</f>
        <v>Transfer Note</v>
      </c>
      <c r="C227" s="340" t="str">
        <f>'Unit Data from Audit Worksheet'!D278</f>
        <v>Amount of Transfers from the General Fund to the Electric Fund  (Enter as positive)</v>
      </c>
      <c r="D227" s="360"/>
      <c r="E227" s="361">
        <f>'Unit Data from Audit Worksheet'!F278</f>
        <v>0</v>
      </c>
      <c r="F227" s="354">
        <f>IF(L227&lt;0,"Error: Enter as a positive.",)</f>
        <v>0</v>
      </c>
      <c r="G227" s="356"/>
      <c r="H227" s="353">
        <f>'Unit Data from Audit Worksheet'!I278</f>
        <v>0</v>
      </c>
      <c r="I227" s="38"/>
      <c r="J227" s="352">
        <v>513</v>
      </c>
      <c r="K227" s="351" t="s">
        <v>263</v>
      </c>
      <c r="L227" s="589">
        <f t="shared" si="20"/>
        <v>0</v>
      </c>
      <c r="P227" s="323"/>
      <c r="W227" s="3" t="b">
        <f t="shared" si="23"/>
        <v>1</v>
      </c>
      <c r="X227" s="586">
        <f t="shared" si="21"/>
        <v>0</v>
      </c>
      <c r="Y227" s="586">
        <f t="shared" si="22"/>
        <v>0</v>
      </c>
    </row>
    <row r="228" spans="1:27" ht="89.25" customHeight="1" x14ac:dyDescent="0.3">
      <c r="A228" s="341">
        <f>'Unit Data from Audit Worksheet'!A279</f>
        <v>514</v>
      </c>
      <c r="B228" s="355" t="str">
        <f>'Unit Data from Audit Worksheet'!C279</f>
        <v>Transfer Note</v>
      </c>
      <c r="C228" s="340" t="str">
        <f>'Unit Data from Audit Worksheet'!D279</f>
        <v>Amount of Transfers from the Electric Fund to the General Fund  (Enter as positive)
Include:  Payment in Lieu of Taxes (PILOT)</v>
      </c>
      <c r="D228" s="360"/>
      <c r="E228" s="361">
        <f>'Unit Data from Audit Worksheet'!F279</f>
        <v>0</v>
      </c>
      <c r="F228" s="354">
        <f>IF(L228&lt;0,"Error: Enter as a positive.",)</f>
        <v>0</v>
      </c>
      <c r="G228" s="356"/>
      <c r="H228" s="353">
        <f>'Unit Data from Audit Worksheet'!I279</f>
        <v>0</v>
      </c>
      <c r="I228" s="38"/>
      <c r="J228" s="352">
        <v>514</v>
      </c>
      <c r="K228" s="351" t="s">
        <v>264</v>
      </c>
      <c r="L228" s="589">
        <f t="shared" si="20"/>
        <v>0</v>
      </c>
      <c r="P228" s="323"/>
      <c r="W228" s="3" t="b">
        <f t="shared" si="23"/>
        <v>1</v>
      </c>
      <c r="X228" s="586">
        <f t="shared" si="21"/>
        <v>0</v>
      </c>
      <c r="Y228" s="586">
        <f t="shared" si="22"/>
        <v>0</v>
      </c>
    </row>
    <row r="229" spans="1:27" ht="89.25" customHeight="1" x14ac:dyDescent="0.3">
      <c r="A229" s="605">
        <f>'Unit Data from Audit Worksheet'!A280</f>
        <v>990</v>
      </c>
      <c r="B229" s="359" t="str">
        <f>'Unit Data from Audit Worksheet'!C280</f>
        <v>Transfer Note</v>
      </c>
      <c r="C229" s="606" t="str">
        <f>'Unit Data from Audit Worksheet'!D280</f>
        <v>Amount of transfer out to the General Fund that is for Payment in Lieu of Taxes (PILOT)</v>
      </c>
      <c r="D229" s="360"/>
      <c r="E229" s="361">
        <f>'Unit Data from Audit Worksheet'!F280</f>
        <v>0</v>
      </c>
      <c r="F229" s="354"/>
      <c r="G229" s="356"/>
      <c r="H229" s="353">
        <f>'Unit Data from Audit Worksheet'!I280</f>
        <v>0</v>
      </c>
      <c r="I229" s="38"/>
      <c r="J229" s="370">
        <v>990</v>
      </c>
      <c r="K229" s="126" t="s">
        <v>1046</v>
      </c>
      <c r="L229" s="589">
        <f t="shared" si="20"/>
        <v>0</v>
      </c>
      <c r="P229" s="323"/>
      <c r="X229" s="586"/>
      <c r="Y229" s="586"/>
    </row>
    <row r="230" spans="1:27" ht="84.75" customHeight="1" x14ac:dyDescent="0.3">
      <c r="A230" s="627">
        <f>'Unit Data from Audit Worksheet'!A282</f>
        <v>6</v>
      </c>
      <c r="B230" s="53" t="str">
        <f>'Unit Data from Audit Worksheet'!C282</f>
        <v>Fund Balance Note</v>
      </c>
      <c r="C230" s="599" t="str">
        <f>'Unit Data from Audit Worksheet'!D282</f>
        <v>General Fund -  Total Encumbrances.  You will probably have to refer to the note disclosure where the amount of encumbrances is listed.</v>
      </c>
      <c r="D230" s="360"/>
      <c r="E230" s="154">
        <f>'Unit Data from Audit Worksheet'!F282</f>
        <v>0</v>
      </c>
      <c r="F230" s="37">
        <f>IF(L230&lt;0,"Error: Enter as a positive.",)</f>
        <v>0</v>
      </c>
      <c r="G230" s="73"/>
      <c r="H230" s="353">
        <f>'Unit Data from Audit Worksheet'!I282</f>
        <v>0</v>
      </c>
      <c r="I230" s="38"/>
      <c r="J230" s="41">
        <v>6</v>
      </c>
      <c r="K230" s="133" t="s">
        <v>265</v>
      </c>
      <c r="L230" s="589">
        <f t="shared" si="20"/>
        <v>0</v>
      </c>
      <c r="P230" s="323"/>
      <c r="W230" s="3" t="b">
        <f t="shared" ref="W230:W258" si="24">EXACT(A230,J230)</f>
        <v>1</v>
      </c>
      <c r="X230" s="586">
        <f t="shared" si="21"/>
        <v>0</v>
      </c>
      <c r="Y230" s="586">
        <f t="shared" si="22"/>
        <v>0</v>
      </c>
    </row>
    <row r="231" spans="1:27" ht="117.75" customHeight="1" x14ac:dyDescent="0.3">
      <c r="A231" s="341">
        <f>'Unit Data from Audit Worksheet'!A284</f>
        <v>541</v>
      </c>
      <c r="B231" s="355" t="str">
        <f>'Unit Data from Audit Worksheet'!C284</f>
        <v>Water Sewer - Budget Actual Statement</v>
      </c>
      <c r="C231" s="355" t="str">
        <f>'Unit Data from Audit Worksheet'!D284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231" s="360"/>
      <c r="E231" s="361">
        <f>'Unit Data from Audit Worksheet'!F284</f>
        <v>0</v>
      </c>
      <c r="F231" s="354"/>
      <c r="G231" s="356"/>
      <c r="H231" s="353">
        <f>'Unit Data from Audit Worksheet'!I284</f>
        <v>0</v>
      </c>
      <c r="I231" s="38"/>
      <c r="J231" s="352">
        <v>541</v>
      </c>
      <c r="K231" s="88" t="s">
        <v>555</v>
      </c>
      <c r="L231" s="589">
        <f t="shared" si="20"/>
        <v>0</v>
      </c>
      <c r="P231" s="323"/>
      <c r="W231" s="3" t="b">
        <f t="shared" si="24"/>
        <v>1</v>
      </c>
      <c r="X231" s="586">
        <f t="shared" si="21"/>
        <v>0</v>
      </c>
      <c r="Y231" s="586">
        <f t="shared" si="22"/>
        <v>0</v>
      </c>
    </row>
    <row r="232" spans="1:27" ht="94.5" customHeight="1" x14ac:dyDescent="0.3">
      <c r="A232" s="341">
        <f>'Unit Data from Audit Worksheet'!A286</f>
        <v>542</v>
      </c>
      <c r="B232" s="355" t="str">
        <f>'Unit Data from Audit Worksheet'!C286</f>
        <v>Water Sewer - Disclosed in the Notes or in the recently approved Budget for next year.</v>
      </c>
      <c r="C232" s="340" t="str">
        <f>'Unit Data from Audit Worksheet'!D286</f>
        <v>Amount of the Water Sewer Fund Balance appropriated in next year's budget?</v>
      </c>
      <c r="D232" s="360"/>
      <c r="E232" s="361">
        <f>'Unit Data from Audit Worksheet'!F286</f>
        <v>0</v>
      </c>
      <c r="F232" s="354"/>
      <c r="G232" s="356"/>
      <c r="H232" s="353">
        <f>'Unit Data from Audit Worksheet'!I286</f>
        <v>0</v>
      </c>
      <c r="I232" s="38"/>
      <c r="J232" s="352">
        <v>542</v>
      </c>
      <c r="K232" s="351" t="s">
        <v>266</v>
      </c>
      <c r="L232" s="589">
        <f t="shared" si="20"/>
        <v>0</v>
      </c>
      <c r="N232" s="61" t="s">
        <v>546</v>
      </c>
      <c r="P232" s="323"/>
      <c r="W232" s="3" t="b">
        <f t="shared" si="24"/>
        <v>1</v>
      </c>
      <c r="X232" s="586">
        <f t="shared" si="21"/>
        <v>0</v>
      </c>
      <c r="Y232" s="586">
        <f t="shared" si="22"/>
        <v>0</v>
      </c>
    </row>
    <row r="233" spans="1:27" ht="93.75" customHeight="1" x14ac:dyDescent="0.3">
      <c r="A233" s="341">
        <f>'Unit Data from Audit Worksheet'!A289</f>
        <v>528</v>
      </c>
      <c r="B233" s="355" t="str">
        <f>'Unit Data from Audit Worksheet'!C289</f>
        <v>Analysis of Current Tax Levy Schedule</v>
      </c>
      <c r="C233" s="340" t="str">
        <f>'Unit Data from Audit Worksheet'!D289</f>
        <v>Please enter the Net Current year's levy for property excluding registered motor vehicles-- (after adjusting for discoveries and abatements)
Exclude Supplemental Taxes</v>
      </c>
      <c r="D233" s="360"/>
      <c r="E233" s="361">
        <f>'Unit Data from Audit Worksheet'!F289</f>
        <v>0</v>
      </c>
      <c r="F233" s="82" t="str">
        <f>IF(L233=0,"Must be completed if unit levys taxes","")</f>
        <v>Must be completed if unit levys taxes</v>
      </c>
      <c r="G233" s="356"/>
      <c r="H233" s="353"/>
      <c r="I233" s="38"/>
      <c r="J233" s="352">
        <v>528</v>
      </c>
      <c r="K233" s="628" t="s">
        <v>271</v>
      </c>
      <c r="L233" s="589">
        <f t="shared" si="20"/>
        <v>0</v>
      </c>
      <c r="N233" s="83"/>
      <c r="P233" s="323"/>
      <c r="W233" s="3" t="b">
        <f t="shared" si="24"/>
        <v>1</v>
      </c>
      <c r="X233" s="586">
        <f t="shared" si="21"/>
        <v>0</v>
      </c>
      <c r="Y233" s="586">
        <f t="shared" si="22"/>
        <v>0</v>
      </c>
    </row>
    <row r="234" spans="1:27" s="18" customFormat="1" ht="79.5" customHeight="1" x14ac:dyDescent="0.3">
      <c r="A234" s="341">
        <f>'Unit Data from Audit Worksheet'!A290</f>
        <v>529</v>
      </c>
      <c r="B234" s="355" t="str">
        <f>'Unit Data from Audit Worksheet'!C290</f>
        <v>Analysis of Current Tax Levy Schedule</v>
      </c>
      <c r="C234" s="340" t="str">
        <f>'Unit Data from Audit Worksheet'!D290</f>
        <v>Please enter the Net Current year's levy -- Motor vehicles (only) (after adjusting for discoveries and abatements)
Exclude supplemental taxes</v>
      </c>
      <c r="D234" s="360"/>
      <c r="E234" s="361">
        <f>'Unit Data from Audit Worksheet'!F290</f>
        <v>0</v>
      </c>
      <c r="F234" s="82" t="str">
        <f>IF(L234=0,"Must be completed if unit levys taxes","")</f>
        <v>Must be completed if unit levys taxes</v>
      </c>
      <c r="G234" s="356"/>
      <c r="H234" s="353"/>
      <c r="I234" s="38"/>
      <c r="J234" s="352">
        <v>529</v>
      </c>
      <c r="K234" s="628" t="s">
        <v>272</v>
      </c>
      <c r="L234" s="589">
        <f t="shared" si="20"/>
        <v>0</v>
      </c>
      <c r="N234" s="83"/>
      <c r="P234" s="323"/>
      <c r="Q234" s="579"/>
      <c r="R234" s="3"/>
      <c r="W234" s="3" t="b">
        <f t="shared" si="24"/>
        <v>1</v>
      </c>
      <c r="X234" s="586">
        <f t="shared" si="21"/>
        <v>0</v>
      </c>
      <c r="Y234" s="586">
        <f t="shared" si="22"/>
        <v>0</v>
      </c>
      <c r="AA234" s="3"/>
    </row>
    <row r="235" spans="1:27" s="18" customFormat="1" ht="75" customHeight="1" x14ac:dyDescent="0.3">
      <c r="A235" s="341">
        <f>'Unit Data from Audit Worksheet'!A291</f>
        <v>530</v>
      </c>
      <c r="B235" s="355" t="str">
        <f>'Unit Data from Audit Worksheet'!C291</f>
        <v>Analysis of Current Tax Levy Schedule</v>
      </c>
      <c r="C235" s="340" t="str">
        <f>'Unit Data from Audit Worksheet'!D291</f>
        <v>Uncollected Taxes - Curr Year's Levy Exclude Motor Vehicles
Exclude supplemental taxes</v>
      </c>
      <c r="D235" s="360"/>
      <c r="E235" s="361">
        <f>'Unit Data from Audit Worksheet'!F291</f>
        <v>0</v>
      </c>
      <c r="F235" s="82" t="str">
        <f>IF(L235=0,"Must be completed if unit levys taxes","")</f>
        <v>Must be completed if unit levys taxes</v>
      </c>
      <c r="G235" s="356"/>
      <c r="H235" s="353"/>
      <c r="I235" s="38"/>
      <c r="J235" s="352">
        <v>530</v>
      </c>
      <c r="K235" s="628" t="s">
        <v>273</v>
      </c>
      <c r="L235" s="589">
        <f t="shared" ref="L235:L241" si="25">IF(D235="",E235,D235)</f>
        <v>0</v>
      </c>
      <c r="N235" s="83"/>
      <c r="P235" s="323"/>
      <c r="Q235" s="579"/>
      <c r="R235" s="3"/>
      <c r="W235" s="3" t="b">
        <f t="shared" si="24"/>
        <v>1</v>
      </c>
      <c r="X235" s="586">
        <f t="shared" si="21"/>
        <v>0</v>
      </c>
      <c r="Y235" s="586">
        <f t="shared" si="22"/>
        <v>0</v>
      </c>
      <c r="AA235" s="3"/>
    </row>
    <row r="236" spans="1:27" s="18" customFormat="1" ht="68.25" customHeight="1" x14ac:dyDescent="0.3">
      <c r="A236" s="341">
        <f>'Unit Data from Audit Worksheet'!A292</f>
        <v>531</v>
      </c>
      <c r="B236" s="355" t="str">
        <f>'Unit Data from Audit Worksheet'!C292</f>
        <v>Analysis of Current Tax Levy Schedule</v>
      </c>
      <c r="C236" s="340" t="str">
        <f>'Unit Data from Audit Worksheet'!D292</f>
        <v>Uncollected Taxes - Curr Year's Levy Motor Vehicles
Exclude supplemental taxes</v>
      </c>
      <c r="D236" s="360"/>
      <c r="E236" s="361">
        <f>'Unit Data from Audit Worksheet'!F292</f>
        <v>0</v>
      </c>
      <c r="F236" s="82" t="str">
        <f>IF(L236=0,"Must be completed if unit levys taxes","")</f>
        <v>Must be completed if unit levys taxes</v>
      </c>
      <c r="G236" s="356"/>
      <c r="H236" s="353"/>
      <c r="I236" s="38"/>
      <c r="J236" s="352">
        <v>531</v>
      </c>
      <c r="K236" s="628" t="s">
        <v>274</v>
      </c>
      <c r="L236" s="589">
        <f t="shared" si="25"/>
        <v>0</v>
      </c>
      <c r="N236" s="83" t="str">
        <f>IF(T240=0,"Must be completed if unit levys taxes, zero acceptable if Motor Vehicle collection rate is 100%","")</f>
        <v>Must be completed if unit levys taxes, zero acceptable if Motor Vehicle collection rate is 100%</v>
      </c>
      <c r="P236" s="323"/>
      <c r="Q236" s="579"/>
      <c r="R236" s="3"/>
      <c r="W236" s="3" t="b">
        <f t="shared" si="24"/>
        <v>1</v>
      </c>
      <c r="X236" s="586">
        <f t="shared" si="21"/>
        <v>0</v>
      </c>
      <c r="Y236" s="586">
        <f t="shared" si="22"/>
        <v>0</v>
      </c>
      <c r="AA236" s="3"/>
    </row>
    <row r="237" spans="1:27" ht="90.75" customHeight="1" x14ac:dyDescent="0.3">
      <c r="A237" s="341">
        <f>'Unit Data from Audit Worksheet'!A293</f>
        <v>61</v>
      </c>
      <c r="B237" s="355" t="str">
        <f>'Unit Data from Audit Worksheet'!C293</f>
        <v>Analysis of Current Tax Levy Schedule</v>
      </c>
      <c r="C237" s="340" t="str">
        <f>'Unit Data from Audit Worksheet'!D293</f>
        <v>Tax collection rate- Total Levy UNIT-WIDE
Exclude supplemental taxes
(Enter as a percentage with two decimal places)</v>
      </c>
      <c r="D237" s="89"/>
      <c r="E237" s="151">
        <f>'Unit Data from Audit Worksheet'!F293</f>
        <v>0</v>
      </c>
      <c r="F237" s="87" t="str">
        <f>IF(L237=H237,"","Column H calculates the percentage using accounts 528, 529, 530, 531, please enter the correct amounts from the audit schedule for these cells")</f>
        <v/>
      </c>
      <c r="G237" s="356" t="str">
        <f>IF(Q237=1," Included in error count"," ")</f>
        <v xml:space="preserve"> </v>
      </c>
      <c r="H237" s="356">
        <f>ROUND(IFERROR(((L233+L234)-(L235+L236))/(L233+L234)*100,0),2)</f>
        <v>0</v>
      </c>
      <c r="I237" s="38"/>
      <c r="J237" s="352">
        <v>61</v>
      </c>
      <c r="K237" s="58" t="s">
        <v>268</v>
      </c>
      <c r="L237" s="629">
        <f t="shared" si="25"/>
        <v>0</v>
      </c>
      <c r="N237" s="83"/>
      <c r="P237" s="323"/>
      <c r="Q237" s="579">
        <f>IF(L237-H237&lt;&gt;0,1,0)</f>
        <v>0</v>
      </c>
      <c r="W237" s="3" t="b">
        <f t="shared" si="24"/>
        <v>1</v>
      </c>
      <c r="X237" s="586">
        <f t="shared" si="21"/>
        <v>0</v>
      </c>
      <c r="Y237" s="586">
        <f t="shared" si="22"/>
        <v>0</v>
      </c>
    </row>
    <row r="238" spans="1:27" ht="89.25" customHeight="1" x14ac:dyDescent="0.3">
      <c r="A238" s="341">
        <f>'Unit Data from Audit Worksheet'!A294</f>
        <v>102</v>
      </c>
      <c r="B238" s="355" t="str">
        <f>'Unit Data from Audit Worksheet'!C294</f>
        <v>Analysis of Current Tax Levy Schedule</v>
      </c>
      <c r="C238" s="340" t="str">
        <f>'Unit Data from Audit Worksheet'!D294</f>
        <v>Tax collection rate - Excluding Registered motor vehicles
Exclude supplemental taxes
(Enter as a percentage with two decimal places)</v>
      </c>
      <c r="D238" s="89"/>
      <c r="E238" s="151">
        <f>'Unit Data from Audit Worksheet'!F294</f>
        <v>0</v>
      </c>
      <c r="F238" s="87" t="str">
        <f>IF(L238=H238,"","Column H calculates the percentage using accounts 528 and 530,  please enter the correct amounts from the audit schedule for these cells")</f>
        <v/>
      </c>
      <c r="G238" s="356" t="str">
        <f>IF(Q238=1," Included in error count"," ")</f>
        <v xml:space="preserve"> </v>
      </c>
      <c r="H238" s="356">
        <f>ROUND(IFERROR(((L233)-(L235))/(L233)*100,0),2)</f>
        <v>0</v>
      </c>
      <c r="I238" s="38"/>
      <c r="J238" s="352">
        <v>102</v>
      </c>
      <c r="K238" s="58" t="s">
        <v>269</v>
      </c>
      <c r="L238" s="629">
        <f t="shared" si="25"/>
        <v>0</v>
      </c>
      <c r="N238" s="83"/>
      <c r="P238" s="323"/>
      <c r="Q238" s="579">
        <f>IF(L238-H238&lt;&gt;0,1,0)</f>
        <v>0</v>
      </c>
      <c r="W238" s="3" t="b">
        <f t="shared" si="24"/>
        <v>1</v>
      </c>
      <c r="X238" s="586">
        <f t="shared" si="21"/>
        <v>0</v>
      </c>
      <c r="Y238" s="586">
        <f t="shared" si="22"/>
        <v>0</v>
      </c>
    </row>
    <row r="239" spans="1:27" ht="87.75" customHeight="1" x14ac:dyDescent="0.3">
      <c r="A239" s="341">
        <f>'Unit Data from Audit Worksheet'!A295</f>
        <v>103</v>
      </c>
      <c r="B239" s="355" t="str">
        <f>'Unit Data from Audit Worksheet'!C295</f>
        <v>Analysis of Current Tax Levy Schedule</v>
      </c>
      <c r="C239" s="340" t="str">
        <f>'Unit Data from Audit Worksheet'!D295</f>
        <v>Tax collection rate - Registered motor vehicles
Exclude supplemental taxes
(Enter as a percentage with two decimal places)</v>
      </c>
      <c r="D239" s="89"/>
      <c r="E239" s="151">
        <f>'Unit Data from Audit Worksheet'!F295</f>
        <v>0</v>
      </c>
      <c r="F239" s="87" t="str">
        <f>IF(L239=H239,"","Column H calculates the percentage using accounts 529 and 531, please enter the correct amounts from the audit schedule for these cells")</f>
        <v/>
      </c>
      <c r="G239" s="356" t="str">
        <f>IF(Q239=1," Included in error count"," ")</f>
        <v xml:space="preserve"> </v>
      </c>
      <c r="H239" s="356">
        <f>ROUND(IFERROR(((L234)-(L236))/(L234)*100,0),2)</f>
        <v>0</v>
      </c>
      <c r="I239" s="38"/>
      <c r="J239" s="352">
        <v>103</v>
      </c>
      <c r="K239" s="58" t="s">
        <v>270</v>
      </c>
      <c r="L239" s="629">
        <f t="shared" si="25"/>
        <v>0</v>
      </c>
      <c r="N239" s="83"/>
      <c r="P239" s="323"/>
      <c r="Q239" s="579">
        <f>IF(L239-H239&lt;&gt;0,1,0)</f>
        <v>0</v>
      </c>
      <c r="W239" s="3" t="b">
        <f t="shared" si="24"/>
        <v>1</v>
      </c>
      <c r="X239" s="586">
        <f t="shared" si="21"/>
        <v>0</v>
      </c>
      <c r="Y239" s="586">
        <f t="shared" si="22"/>
        <v>0</v>
      </c>
    </row>
    <row r="240" spans="1:27" ht="86.25" customHeight="1" x14ac:dyDescent="0.3">
      <c r="A240" s="341">
        <f>'Unit Data from Audit Worksheet'!A296</f>
        <v>544</v>
      </c>
      <c r="B240" s="355" t="str">
        <f>'Unit Data from Audit Worksheet'!C296</f>
        <v>Analysis of Current Tax Levy Schedule</v>
      </c>
      <c r="C240" s="340" t="str">
        <f>'Unit Data from Audit Worksheet'!D296</f>
        <v>Property Tax Increase for Year Audited- enter amount of  increase in cents per $100 - leave blank if no increase 
Exclude supplemental taxes</v>
      </c>
      <c r="D240" s="360"/>
      <c r="E240" s="148">
        <f>'Unit Data from Audit Worksheet'!F296</f>
        <v>0</v>
      </c>
      <c r="F240" s="104"/>
      <c r="G240" s="356"/>
      <c r="H240" s="353">
        <f>'Unit Data from Audit Worksheet'!I296</f>
        <v>0</v>
      </c>
      <c r="I240" s="38"/>
      <c r="J240" s="352">
        <v>544</v>
      </c>
      <c r="K240" s="58" t="s">
        <v>53</v>
      </c>
      <c r="L240" s="630">
        <f t="shared" si="25"/>
        <v>0</v>
      </c>
      <c r="N240" s="61" t="s">
        <v>546</v>
      </c>
      <c r="P240" s="323"/>
      <c r="W240" s="3" t="b">
        <f t="shared" si="24"/>
        <v>1</v>
      </c>
      <c r="X240" s="586">
        <f t="shared" si="21"/>
        <v>0</v>
      </c>
      <c r="Y240" s="586">
        <f t="shared" si="22"/>
        <v>0</v>
      </c>
    </row>
    <row r="241" spans="1:25" ht="93.75" customHeight="1" x14ac:dyDescent="0.3">
      <c r="A241" s="341">
        <f>'Unit Data from Audit Worksheet'!A297</f>
        <v>545</v>
      </c>
      <c r="B241" s="355" t="str">
        <f>'Unit Data from Audit Worksheet'!C297</f>
        <v>Analysis of Current Tax Levy Schedule</v>
      </c>
      <c r="C241" s="340" t="str">
        <f>'Unit Data from Audit Worksheet'!D297</f>
        <v>Property Tax Increase for budget year after fiscal year being reported - enter amount of increase in cents per $100- leave blank if no increase
Exclude supplemental taxes</v>
      </c>
      <c r="D241" s="360"/>
      <c r="E241" s="148">
        <f>'Unit Data from Audit Worksheet'!F297</f>
        <v>0</v>
      </c>
      <c r="F241" s="354"/>
      <c r="G241" s="356"/>
      <c r="H241" s="353">
        <f>'Unit Data from Audit Worksheet'!I297</f>
        <v>0</v>
      </c>
      <c r="I241" s="38"/>
      <c r="J241" s="105">
        <v>545</v>
      </c>
      <c r="K241" s="58" t="s">
        <v>54</v>
      </c>
      <c r="L241" s="630">
        <f t="shared" si="25"/>
        <v>0</v>
      </c>
      <c r="N241" s="61" t="s">
        <v>546</v>
      </c>
      <c r="O241" s="598"/>
      <c r="P241" s="324"/>
      <c r="W241" s="3" t="b">
        <f t="shared" si="24"/>
        <v>1</v>
      </c>
      <c r="X241" s="586">
        <f t="shared" si="21"/>
        <v>0</v>
      </c>
      <c r="Y241" s="586">
        <f t="shared" si="22"/>
        <v>0</v>
      </c>
    </row>
    <row r="242" spans="1:25" ht="72.75" customHeight="1" x14ac:dyDescent="0.3">
      <c r="A242" s="341">
        <f>'Unit Data from Audit Worksheet'!A298</f>
        <v>624</v>
      </c>
      <c r="B242" s="355"/>
      <c r="C242" s="340" t="str">
        <f>'Unit Data from Audit Worksheet'!D298</f>
        <v>Does the County collect real estate property taxes on your behalf? Select "1" for "yes and "2" for "No"</v>
      </c>
      <c r="D242" s="360"/>
      <c r="E242" s="156">
        <f>'Unit Data from Audit Worksheet'!F298</f>
        <v>0</v>
      </c>
      <c r="F242" s="354"/>
      <c r="G242" s="356"/>
      <c r="H242" s="353"/>
      <c r="I242" s="38"/>
      <c r="J242" s="105">
        <v>624</v>
      </c>
      <c r="K242" s="58" t="s">
        <v>721</v>
      </c>
      <c r="L242" s="589">
        <f t="shared" ref="L242:L258" si="26">IF(D242="",E242,D242)</f>
        <v>0</v>
      </c>
      <c r="P242" s="324"/>
      <c r="W242" s="3" t="b">
        <f t="shared" si="24"/>
        <v>1</v>
      </c>
      <c r="X242" s="586">
        <f t="shared" si="21"/>
        <v>0</v>
      </c>
      <c r="Y242" s="586">
        <f t="shared" si="22"/>
        <v>0</v>
      </c>
    </row>
    <row r="243" spans="1:25" ht="72.75" customHeight="1" x14ac:dyDescent="0.3">
      <c r="A243" s="341">
        <f>'Unit Data from Audit Worksheet'!A299</f>
        <v>648</v>
      </c>
      <c r="B243" s="355"/>
      <c r="C243" s="340" t="str">
        <f>'Unit Data from Audit Worksheet'!D299</f>
        <v>Please enter your tax rate for ad valorem in effect for fiscal year audited.  Example 60 cents per 100 would be entered as .60</v>
      </c>
      <c r="D243" s="360"/>
      <c r="E243" s="156">
        <f>'Unit Data from Audit Worksheet'!F299</f>
        <v>0</v>
      </c>
      <c r="F243" s="354"/>
      <c r="G243" s="356"/>
      <c r="H243" s="353"/>
      <c r="I243" s="38"/>
      <c r="J243" s="105">
        <v>648</v>
      </c>
      <c r="K243" s="631" t="s">
        <v>1131</v>
      </c>
      <c r="L243" s="632">
        <f t="shared" si="26"/>
        <v>0</v>
      </c>
      <c r="P243" s="324"/>
      <c r="W243" s="3" t="b">
        <f t="shared" si="24"/>
        <v>1</v>
      </c>
      <c r="X243" s="586"/>
      <c r="Y243" s="586"/>
    </row>
    <row r="244" spans="1:25" ht="161.25" customHeight="1" x14ac:dyDescent="0.3">
      <c r="A244" s="605">
        <f>'Unit Data from Audit Worksheet'!A300</f>
        <v>991</v>
      </c>
      <c r="B244" s="359"/>
      <c r="C244" s="606" t="str">
        <f>'Unit Data from Audit Worksheet'!D300</f>
        <v>The Counties listed in cell H256 are scheduled to revalue property listing by 1/1/2022 according to the Dept. of Revenue records.  Please indicate if you expect your revaluation to: 
Enter  "20" for increase, 
            "21" for decrease, 
            "22" for no change,
            "23" if this question is not applicable</v>
      </c>
      <c r="D244" s="360"/>
      <c r="E244" s="156">
        <f>'Unit Data from Audit Worksheet'!F300</f>
        <v>0</v>
      </c>
      <c r="F244" s="354"/>
      <c r="G244" s="356"/>
      <c r="H244" s="353" t="str">
        <f>'Unit Data from Audit Worksheet'!H300</f>
        <v>Avery, Bladen, Chowan, Craven, Duplin, Guilford, Harnett, Hoke, Jones, Mitchell, Onslow, Pasquotank, Watauga</v>
      </c>
      <c r="I244" s="38"/>
      <c r="J244" s="338">
        <v>991</v>
      </c>
      <c r="K244" s="616" t="s">
        <v>1774</v>
      </c>
      <c r="L244" s="589">
        <f t="shared" si="26"/>
        <v>0</v>
      </c>
      <c r="P244" s="324"/>
      <c r="W244" s="3" t="b">
        <f t="shared" si="24"/>
        <v>1</v>
      </c>
      <c r="X244" s="586"/>
      <c r="Y244" s="586"/>
    </row>
    <row r="245" spans="1:25" ht="87.75" customHeight="1" x14ac:dyDescent="0.3">
      <c r="A245" s="341">
        <f>'Unit Data from Audit Worksheet'!A302</f>
        <v>620</v>
      </c>
      <c r="B245" s="355"/>
      <c r="C245" s="340" t="str">
        <f>'Unit Data from Audit Worksheet'!D302</f>
        <v>Do you expect to issue debt requiring LGC approval within 12 months from the date that the audit is submitted - select "1" for yes and "2" for no</v>
      </c>
      <c r="D245" s="360"/>
      <c r="E245" s="156">
        <f>'Unit Data from Audit Worksheet'!F302</f>
        <v>0</v>
      </c>
      <c r="F245" s="354"/>
      <c r="G245" s="356"/>
      <c r="H245" s="353">
        <f>'Unit Data from Audit Worksheet'!I302</f>
        <v>0</v>
      </c>
      <c r="I245" s="38"/>
      <c r="J245" s="105">
        <v>620</v>
      </c>
      <c r="K245" s="58" t="s">
        <v>1120</v>
      </c>
      <c r="L245" s="589">
        <f t="shared" si="26"/>
        <v>0</v>
      </c>
      <c r="N245" s="138"/>
      <c r="P245" s="324"/>
      <c r="W245" s="3" t="b">
        <f t="shared" si="24"/>
        <v>1</v>
      </c>
      <c r="X245" s="586">
        <f t="shared" si="21"/>
        <v>0</v>
      </c>
      <c r="Y245" s="586">
        <f t="shared" si="22"/>
        <v>0</v>
      </c>
    </row>
    <row r="246" spans="1:25" ht="87.75" customHeight="1" x14ac:dyDescent="0.3">
      <c r="A246" s="605">
        <f>+'TD Info Completed by Auditor'!D41</f>
        <v>906</v>
      </c>
      <c r="B246" s="337" t="s">
        <v>1117</v>
      </c>
      <c r="C246" s="605" t="str">
        <f>+'TD Info Completed by Auditor'!E41</f>
        <v>Is the Independent Auditor's Report Opinion Unmodified?</v>
      </c>
      <c r="D246" s="360"/>
      <c r="E246" s="343">
        <f>IF(+'TD Info Completed by Auditor'!G41="Yes",1,IF(+'TD Info Completed by Auditor'!G41="No",2,IF(+'TD Info Completed by Auditor'!G41="N/A",3,0)))</f>
        <v>0</v>
      </c>
      <c r="F246" s="354"/>
      <c r="G246" s="356"/>
      <c r="H246" s="353"/>
      <c r="I246" s="38"/>
      <c r="J246" s="127">
        <v>906</v>
      </c>
      <c r="K246" s="616" t="s">
        <v>914</v>
      </c>
      <c r="L246" s="589">
        <f t="shared" si="26"/>
        <v>0</v>
      </c>
      <c r="N246" s="138" t="s">
        <v>1331</v>
      </c>
      <c r="P246" s="326"/>
      <c r="W246" s="3" t="b">
        <f t="shared" si="24"/>
        <v>1</v>
      </c>
      <c r="X246" s="586"/>
      <c r="Y246" s="586"/>
    </row>
    <row r="247" spans="1:25" ht="87.75" customHeight="1" x14ac:dyDescent="0.3">
      <c r="A247" s="605">
        <f>+'TD Info Completed by Auditor'!D43</f>
        <v>907</v>
      </c>
      <c r="B247" s="337" t="s">
        <v>1117</v>
      </c>
      <c r="C247" s="605" t="str">
        <f>+'TD Info Completed by Auditor'!E43</f>
        <v xml:space="preserve">Is there a finding for lack of segregation of duties at this unit? </v>
      </c>
      <c r="D247" s="360"/>
      <c r="E247" s="343">
        <f>IF(+'TD Info Completed by Auditor'!G43="Yes",1,IF(+'TD Info Completed by Auditor'!G43="No",2,IF(+'TD Info Completed by Auditor'!G43="N/A",3,0)))</f>
        <v>0</v>
      </c>
      <c r="F247" s="354"/>
      <c r="G247" s="356"/>
      <c r="H247" s="353"/>
      <c r="I247" s="38"/>
      <c r="J247" s="127">
        <v>907</v>
      </c>
      <c r="K247" s="616" t="s">
        <v>915</v>
      </c>
      <c r="L247" s="589">
        <f t="shared" si="26"/>
        <v>0</v>
      </c>
      <c r="N247" s="138" t="s">
        <v>1331</v>
      </c>
      <c r="P247" s="326"/>
      <c r="W247" s="3" t="b">
        <f t="shared" si="24"/>
        <v>1</v>
      </c>
      <c r="X247" s="586"/>
      <c r="Y247" s="586"/>
    </row>
    <row r="248" spans="1:25" ht="87.75" customHeight="1" x14ac:dyDescent="0.3">
      <c r="A248" s="605">
        <f>+'TD Info Completed by Auditor'!D45</f>
        <v>951</v>
      </c>
      <c r="B248" s="337" t="s">
        <v>1117</v>
      </c>
      <c r="C248" s="606" t="str">
        <f>+'TD Info Completed by Auditor'!E45</f>
        <v>Is there a finding for lack of technical skills, knowledge and experience (SKE) at this unit?</v>
      </c>
      <c r="D248" s="360"/>
      <c r="E248" s="343">
        <f>IF(+'TD Info Completed by Auditor'!G45="Yes",1,IF(+'TD Info Completed by Auditor'!G45="No",2,IF(+'TD Info Completed by Auditor'!G45="N/A",3,0)))</f>
        <v>0</v>
      </c>
      <c r="F248" s="354"/>
      <c r="G248" s="356"/>
      <c r="H248" s="353"/>
      <c r="I248" s="38"/>
      <c r="J248" s="127">
        <v>951</v>
      </c>
      <c r="K248" s="616" t="s">
        <v>916</v>
      </c>
      <c r="L248" s="589">
        <f t="shared" si="26"/>
        <v>0</v>
      </c>
      <c r="N248" s="138" t="s">
        <v>1331</v>
      </c>
      <c r="P248" s="326"/>
      <c r="W248" s="3" t="b">
        <f t="shared" si="24"/>
        <v>1</v>
      </c>
      <c r="X248" s="586"/>
      <c r="Y248" s="586"/>
    </row>
    <row r="249" spans="1:25" ht="87.75" customHeight="1" x14ac:dyDescent="0.3">
      <c r="A249" s="605">
        <f>+'TD Info Completed by Auditor'!D47</f>
        <v>953</v>
      </c>
      <c r="B249" s="337" t="s">
        <v>1117</v>
      </c>
      <c r="C249" s="606" t="str">
        <f>+'TD Info Completed by Auditor'!E47</f>
        <v xml:space="preserve">Is there is a going concern finding noted in the audit report? </v>
      </c>
      <c r="D249" s="360"/>
      <c r="E249" s="343">
        <f>IF(+'TD Info Completed by Auditor'!G47="Yes",1,IF(+'TD Info Completed by Auditor'!G47="No",2,IF(+'TD Info Completed by Auditor'!G47="N/A",3,0)))</f>
        <v>0</v>
      </c>
      <c r="F249" s="354"/>
      <c r="G249" s="356"/>
      <c r="H249" s="353"/>
      <c r="I249" s="38"/>
      <c r="J249" s="127">
        <v>953</v>
      </c>
      <c r="K249" s="616" t="s">
        <v>1577</v>
      </c>
      <c r="L249" s="589">
        <f t="shared" si="26"/>
        <v>0</v>
      </c>
      <c r="N249" s="138" t="s">
        <v>1331</v>
      </c>
      <c r="P249" s="326"/>
      <c r="W249" s="3" t="b">
        <f t="shared" si="24"/>
        <v>1</v>
      </c>
      <c r="X249" s="586"/>
      <c r="Y249" s="586"/>
    </row>
    <row r="250" spans="1:25" ht="87.75" customHeight="1" x14ac:dyDescent="0.3">
      <c r="A250" s="605">
        <f>+'TD Info Completed by Auditor'!D49</f>
        <v>955</v>
      </c>
      <c r="B250" s="337" t="s">
        <v>1117</v>
      </c>
      <c r="C250" s="606" t="str">
        <f>+'TD Info Completed by Auditor'!E49</f>
        <v>Number of significant deficiency findings (other than in Questions 15-18 )</v>
      </c>
      <c r="D250" s="360"/>
      <c r="E250" s="1175" t="str">
        <f>IF(ISBLANK('TD Info Completed by Auditor'!G49),"",'TD Info Completed by Auditor'!G49)</f>
        <v/>
      </c>
      <c r="F250" s="354"/>
      <c r="G250" s="356"/>
      <c r="H250" s="1176" t="s">
        <v>1804</v>
      </c>
      <c r="I250" s="38"/>
      <c r="J250" s="127">
        <v>955</v>
      </c>
      <c r="K250" s="616" t="s">
        <v>1121</v>
      </c>
      <c r="L250" s="589" t="str">
        <f t="shared" si="26"/>
        <v/>
      </c>
      <c r="N250" s="138" t="s">
        <v>1331</v>
      </c>
      <c r="P250" s="326"/>
      <c r="W250" s="3" t="b">
        <f t="shared" si="24"/>
        <v>1</v>
      </c>
      <c r="X250" s="586"/>
      <c r="Y250" s="586"/>
    </row>
    <row r="251" spans="1:25" ht="87.75" customHeight="1" x14ac:dyDescent="0.3">
      <c r="A251" s="605">
        <f>+'TD Info Completed by Auditor'!D51</f>
        <v>957</v>
      </c>
      <c r="B251" s="337" t="s">
        <v>1117</v>
      </c>
      <c r="C251" s="606" t="str">
        <f>+'TD Info Completed by Auditor'!E51</f>
        <v>Number of material weaknesses findings (other than in Questions 15-18)</v>
      </c>
      <c r="D251" s="360"/>
      <c r="E251" s="1175" t="str">
        <f>IF(ISBLANK('TD Info Completed by Auditor'!G51),"",'TD Info Completed by Auditor'!G51)</f>
        <v/>
      </c>
      <c r="F251" s="354"/>
      <c r="G251" s="356"/>
      <c r="H251" s="1176" t="s">
        <v>1805</v>
      </c>
      <c r="I251" s="38"/>
      <c r="J251" s="127">
        <v>957</v>
      </c>
      <c r="K251" s="616" t="s">
        <v>1122</v>
      </c>
      <c r="L251" s="589" t="str">
        <f t="shared" si="26"/>
        <v/>
      </c>
      <c r="N251" s="138" t="s">
        <v>1331</v>
      </c>
      <c r="P251" s="326"/>
      <c r="W251" s="3" t="b">
        <f t="shared" si="24"/>
        <v>1</v>
      </c>
      <c r="X251" s="586"/>
      <c r="Y251" s="586"/>
    </row>
    <row r="252" spans="1:25" ht="87.75" customHeight="1" x14ac:dyDescent="0.3">
      <c r="A252" s="605">
        <f>+'TD Info Completed by Auditor'!D53</f>
        <v>959</v>
      </c>
      <c r="B252" s="337" t="s">
        <v>1117</v>
      </c>
      <c r="C252" s="606" t="str">
        <f>+'TD Info Completed by Auditor'!E53</f>
        <v>Did the Unit have debt service payments deferred or restructured in this fiscal year? (does not include refinancings designed to take advantage of lower interest rates)  Select Yes, No, or NA</v>
      </c>
      <c r="D252" s="360"/>
      <c r="E252" s="343">
        <f>IF(+'TD Info Completed by Auditor'!G53="Yes",1,IF(+'TD Info Completed by Auditor'!G53="No",2,IF(+'TD Info Completed by Auditor'!G53="N/A",3,0)))</f>
        <v>0</v>
      </c>
      <c r="F252" s="354"/>
      <c r="G252" s="356"/>
      <c r="H252" s="353"/>
      <c r="I252" s="38"/>
      <c r="J252" s="127">
        <v>959</v>
      </c>
      <c r="K252" s="616" t="s">
        <v>1333</v>
      </c>
      <c r="L252" s="589">
        <f t="shared" si="26"/>
        <v>0</v>
      </c>
      <c r="N252" s="138" t="s">
        <v>1331</v>
      </c>
      <c r="P252" s="326"/>
      <c r="W252" s="3" t="b">
        <f t="shared" si="24"/>
        <v>1</v>
      </c>
      <c r="X252" s="586"/>
      <c r="Y252" s="586"/>
    </row>
    <row r="253" spans="1:25" ht="222" customHeight="1" x14ac:dyDescent="0.3">
      <c r="A253" s="605">
        <f>+'TD Info Completed by Auditor'!D57</f>
        <v>974</v>
      </c>
      <c r="B253" s="337" t="s">
        <v>1117</v>
      </c>
      <c r="C253" s="606" t="str">
        <f>+'TD Info Completed by Auditor'!E57</f>
        <v>Did the Unit have any of the following occur:
1.  Bond covenants were not met
2.  Debt service payments made late?  Deferred payments authorized by LGC or other state
     agencies should not be counted as late for purposes of this question.</v>
      </c>
      <c r="D253" s="360"/>
      <c r="E253" s="343">
        <f>IF(+'TD Info Completed by Auditor'!G57="Yes",1,IF(+'TD Info Completed by Auditor'!G57="No",2,IF(+'TD Info Completed by Auditor'!G57="N/A",3,0)))</f>
        <v>0</v>
      </c>
      <c r="F253" s="354"/>
      <c r="G253" s="356"/>
      <c r="H253" s="353"/>
      <c r="I253" s="38"/>
      <c r="J253" s="127">
        <v>974</v>
      </c>
      <c r="K253" s="616" t="s">
        <v>1578</v>
      </c>
      <c r="L253" s="589">
        <f t="shared" si="26"/>
        <v>0</v>
      </c>
      <c r="N253" s="138" t="s">
        <v>1331</v>
      </c>
      <c r="P253" s="326"/>
      <c r="W253" s="3" t="b">
        <f t="shared" si="24"/>
        <v>1</v>
      </c>
      <c r="X253" s="586"/>
      <c r="Y253" s="586"/>
    </row>
    <row r="254" spans="1:25" ht="177.75" customHeight="1" x14ac:dyDescent="0.3">
      <c r="A254" s="605">
        <f>+'TD Info Completed by Auditor'!D55</f>
        <v>973</v>
      </c>
      <c r="B254" s="337" t="s">
        <v>1117</v>
      </c>
      <c r="C254" s="336" t="str">
        <f>+'TD Info Completed by Auditor'!E55</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v>
      </c>
      <c r="D254" s="360"/>
      <c r="E254" s="343">
        <f>+'TD Info Completed by Auditor'!G55</f>
        <v>0</v>
      </c>
      <c r="F254" s="354"/>
      <c r="G254" s="356"/>
      <c r="H254" s="353"/>
      <c r="I254" s="38"/>
      <c r="J254" s="127">
        <v>973</v>
      </c>
      <c r="K254" s="616" t="s">
        <v>1288</v>
      </c>
      <c r="L254" s="589">
        <f t="shared" si="26"/>
        <v>0</v>
      </c>
      <c r="N254" s="138" t="s">
        <v>1331</v>
      </c>
      <c r="P254" s="326"/>
      <c r="W254" s="3" t="b">
        <f t="shared" si="24"/>
        <v>1</v>
      </c>
      <c r="X254" s="586"/>
      <c r="Y254" s="586"/>
    </row>
    <row r="255" spans="1:25" ht="87.75" customHeight="1" x14ac:dyDescent="0.3">
      <c r="A255" s="605">
        <f>+'TD Info Completed by Auditor'!D60</f>
        <v>965</v>
      </c>
      <c r="B255" s="337" t="s">
        <v>1117</v>
      </c>
      <c r="C255" s="606" t="str">
        <f>+'TD Info Completed by Auditor'!E60</f>
        <v xml:space="preserve">Is the Finance Officer bonded for at least $50,000? (GS 159-42(h) </v>
      </c>
      <c r="D255" s="360"/>
      <c r="E255" s="343">
        <f>IF(+'TD Info Completed by Auditor'!G60="Yes",1,IF(+'TD Info Completed by Auditor'!G60="No",2,IF(+'TD Info Completed by Auditor'!G60="N/A",3,0)))</f>
        <v>0</v>
      </c>
      <c r="F255" s="354"/>
      <c r="G255" s="356"/>
      <c r="H255" s="353"/>
      <c r="I255" s="38"/>
      <c r="J255" s="127">
        <v>965</v>
      </c>
      <c r="K255" s="616" t="s">
        <v>921</v>
      </c>
      <c r="L255" s="589">
        <f t="shared" si="26"/>
        <v>0</v>
      </c>
      <c r="N255" s="1135"/>
      <c r="P255" s="326"/>
      <c r="W255" s="3" t="b">
        <f t="shared" si="24"/>
        <v>1</v>
      </c>
      <c r="X255" s="586"/>
      <c r="Y255" s="586"/>
    </row>
    <row r="256" spans="1:25" ht="87.75" customHeight="1" x14ac:dyDescent="0.3">
      <c r="A256" s="605">
        <f>+'TD Info Completed by Auditor'!D68</f>
        <v>977</v>
      </c>
      <c r="B256" s="337" t="s">
        <v>1117</v>
      </c>
      <c r="C256" s="606" t="str">
        <f>+'TD Info Completed by Auditor'!E68</f>
        <v>Does the entity have an  effective pre-audit process to ensure that pervasive budgetary over- expenditures do not occur at the budget ordinance level? Select Yes or No</v>
      </c>
      <c r="D256" s="360"/>
      <c r="E256" s="343">
        <f>IF(+'TD Info Completed by Auditor'!G68="Yes",1,IF(+'TD Info Completed by Auditor'!G68="No",2,0))</f>
        <v>0</v>
      </c>
      <c r="F256" s="354"/>
      <c r="G256" s="356"/>
      <c r="H256" s="353"/>
      <c r="I256" s="38"/>
      <c r="J256" s="127">
        <v>977</v>
      </c>
      <c r="K256" s="616" t="s">
        <v>1580</v>
      </c>
      <c r="L256" s="589">
        <f t="shared" si="26"/>
        <v>0</v>
      </c>
      <c r="N256" s="138" t="s">
        <v>1331</v>
      </c>
      <c r="P256" s="326"/>
      <c r="W256" s="3" t="b">
        <f t="shared" si="24"/>
        <v>1</v>
      </c>
      <c r="X256" s="586"/>
      <c r="Y256" s="586"/>
    </row>
    <row r="257" spans="1:25" ht="87.75" customHeight="1" x14ac:dyDescent="0.3">
      <c r="A257" s="605">
        <f>+'TD Info Completed by Auditor'!D70</f>
        <v>978</v>
      </c>
      <c r="B257" s="337" t="s">
        <v>1117</v>
      </c>
      <c r="C257" s="606" t="str">
        <f>+'TD Info Completed by Auditor'!E70</f>
        <v>Did the audit disclose any statutory violations in the notes that were not covered by findings?  Select Yes or No</v>
      </c>
      <c r="D257" s="360"/>
      <c r="E257" s="343" t="str">
        <f>IF(+'TD Info Completed by Auditor'!G70="Yes",1,IF(+'TD Info Completed by Auditor'!G70="No",2,IF(+'TD Info Completed by Auditor'!G70="","0")))</f>
        <v>0</v>
      </c>
      <c r="F257" s="354"/>
      <c r="G257" s="356"/>
      <c r="H257" s="353"/>
      <c r="I257" s="38"/>
      <c r="J257" s="127">
        <v>978</v>
      </c>
      <c r="K257" s="616" t="s">
        <v>1579</v>
      </c>
      <c r="L257" s="589" t="str">
        <f t="shared" si="26"/>
        <v>0</v>
      </c>
      <c r="N257" s="138" t="s">
        <v>1331</v>
      </c>
      <c r="P257" s="326"/>
      <c r="W257" s="3" t="b">
        <f t="shared" si="24"/>
        <v>1</v>
      </c>
      <c r="X257" s="586"/>
      <c r="Y257" s="586"/>
    </row>
    <row r="258" spans="1:25" ht="87.75" customHeight="1" x14ac:dyDescent="0.3">
      <c r="A258" s="605">
        <f>+'TD Info Completed by Auditor'!D72</f>
        <v>979</v>
      </c>
      <c r="B258" s="337" t="s">
        <v>1117</v>
      </c>
      <c r="C258" s="606" t="str">
        <f>+'TD Info Completed by Auditor'!E72</f>
        <v>The Auditor will submit the Audit Report to the LGC within five months plus one day after the fiscal year end.  (for units with a June 30th fiscal year-end this would be December 1)   Select Yes or No</v>
      </c>
      <c r="D258" s="360"/>
      <c r="E258" s="343">
        <f>IF(+'TD Info Completed by Auditor'!G72="Yes",1,IF(+'TD Info Completed by Auditor'!G72="No",2,IF(+'TD Info Completed by Auditor'!G72="N/A",3,0)))</f>
        <v>0</v>
      </c>
      <c r="F258" s="354"/>
      <c r="G258" s="356"/>
      <c r="H258" s="353"/>
      <c r="I258" s="38"/>
      <c r="J258" s="127">
        <v>979</v>
      </c>
      <c r="K258" s="616" t="s">
        <v>1076</v>
      </c>
      <c r="L258" s="589">
        <f t="shared" si="26"/>
        <v>0</v>
      </c>
      <c r="N258" s="138" t="s">
        <v>1331</v>
      </c>
      <c r="P258" s="326"/>
      <c r="W258" s="3" t="b">
        <f t="shared" si="24"/>
        <v>1</v>
      </c>
      <c r="X258" s="586"/>
      <c r="Y258" s="586"/>
    </row>
    <row r="259" spans="1:25" ht="87.75" customHeight="1" x14ac:dyDescent="0.3">
      <c r="A259" s="605">
        <f>+'TD Info Completed by Auditor'!D76</f>
        <v>975</v>
      </c>
      <c r="B259" s="337" t="s">
        <v>1117</v>
      </c>
      <c r="C259" s="606" t="str">
        <f>+'TD Info Completed by Auditor'!E76</f>
        <v>The Performance Indicator Tab in this worksheet has at least one performance indicator of concern (indicated by a red shaded cell)</v>
      </c>
      <c r="D259" s="360"/>
      <c r="E259" s="343">
        <f>IF(+'TD Info Completed by Auditor'!G76="Yes",1,IF(+'TD Info Completed by Auditor'!G76="No",2,IF(+'TD Info Completed by Auditor'!G76="N/A",3,0)))</f>
        <v>0</v>
      </c>
      <c r="F259" s="354"/>
      <c r="G259" s="356"/>
      <c r="H259" s="353"/>
      <c r="I259" s="38"/>
      <c r="J259" s="127">
        <v>975</v>
      </c>
      <c r="K259" s="616" t="s">
        <v>1123</v>
      </c>
      <c r="L259" s="589">
        <f>IF(D259="",E259,D259)</f>
        <v>0</v>
      </c>
      <c r="N259" s="138" t="s">
        <v>1331</v>
      </c>
      <c r="P259" s="326"/>
      <c r="W259" s="3" t="b">
        <f>EXACT(A259,J259)</f>
        <v>1</v>
      </c>
      <c r="X259" s="586"/>
      <c r="Y259" s="586"/>
    </row>
    <row r="260" spans="1:25" ht="112.5" customHeight="1" x14ac:dyDescent="0.3">
      <c r="A260" s="605">
        <f>+'TD Info Completed by Auditor'!D78</f>
        <v>976</v>
      </c>
      <c r="B260" s="337" t="s">
        <v>1117</v>
      </c>
      <c r="C260" s="336" t="str">
        <f>+'TD Info Completed by Auditor'!E78</f>
        <v>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v>
      </c>
      <c r="D260" s="360"/>
      <c r="E260" s="343">
        <f>IF(+'TD Info Completed by Auditor'!G78="Yes",1,IF(+'TD Info Completed by Auditor'!G78="No",2,IF(+'TD Info Completed by Auditor'!G78="N/A",3,0)))</f>
        <v>0</v>
      </c>
      <c r="F260" s="354"/>
      <c r="G260" s="356"/>
      <c r="H260" s="353"/>
      <c r="I260" s="38"/>
      <c r="J260" s="127">
        <v>976</v>
      </c>
      <c r="K260" s="616" t="s">
        <v>1290</v>
      </c>
      <c r="L260" s="589">
        <f>IF(D260="",E260,D260)</f>
        <v>0</v>
      </c>
      <c r="N260" s="138" t="s">
        <v>1331</v>
      </c>
      <c r="P260" s="326"/>
      <c r="W260" s="3" t="b">
        <f>EXACT(A260,J260)</f>
        <v>1</v>
      </c>
      <c r="X260" s="586"/>
      <c r="Y260" s="586"/>
    </row>
    <row r="261" spans="1:25" ht="109.95" customHeight="1" x14ac:dyDescent="0.3">
      <c r="A261" s="633">
        <v>336</v>
      </c>
      <c r="B261" s="373"/>
      <c r="C261" s="634" t="s">
        <v>1386</v>
      </c>
      <c r="D261" s="635" t="s">
        <v>1301</v>
      </c>
      <c r="E261" s="636" t="s">
        <v>1302</v>
      </c>
      <c r="F261" s="374" t="s">
        <v>1300</v>
      </c>
      <c r="G261" s="356"/>
      <c r="H261" s="353"/>
      <c r="I261" s="38"/>
      <c r="J261" s="375">
        <v>336</v>
      </c>
      <c r="K261" s="637" t="s">
        <v>1305</v>
      </c>
      <c r="L261" s="638">
        <f>L10-L11-L12-L13-L14-L15-L16</f>
        <v>0</v>
      </c>
      <c r="M261" s="639"/>
      <c r="N261" s="387" t="s">
        <v>1303</v>
      </c>
      <c r="P261" s="326"/>
      <c r="X261" s="586"/>
      <c r="Y261" s="586"/>
    </row>
    <row r="262" spans="1:25" ht="129" customHeight="1" x14ac:dyDescent="0.3">
      <c r="A262" s="633">
        <v>44</v>
      </c>
      <c r="B262" s="373"/>
      <c r="C262" s="640" t="s">
        <v>1387</v>
      </c>
      <c r="D262" s="635" t="s">
        <v>1292</v>
      </c>
      <c r="E262" s="641" t="s">
        <v>1293</v>
      </c>
      <c r="F262" s="374" t="s">
        <v>1300</v>
      </c>
      <c r="G262" s="356"/>
      <c r="H262" s="353"/>
      <c r="I262" s="38"/>
      <c r="J262" s="375">
        <v>44</v>
      </c>
      <c r="K262" s="637" t="s">
        <v>1306</v>
      </c>
      <c r="L262" s="638">
        <f>L120-L121-L118</f>
        <v>0</v>
      </c>
      <c r="M262" s="639"/>
      <c r="N262" s="387" t="s">
        <v>1304</v>
      </c>
      <c r="P262" s="326"/>
      <c r="X262" s="586"/>
      <c r="Y262" s="586"/>
    </row>
    <row r="263" spans="1:25" ht="169.5" customHeight="1" x14ac:dyDescent="0.3">
      <c r="A263" s="633">
        <v>45</v>
      </c>
      <c r="B263" s="373"/>
      <c r="C263" s="642" t="s">
        <v>1388</v>
      </c>
      <c r="D263" s="635" t="s">
        <v>1294</v>
      </c>
      <c r="E263" s="636" t="s">
        <v>1295</v>
      </c>
      <c r="F263" s="374" t="s">
        <v>1300</v>
      </c>
      <c r="G263" s="356"/>
      <c r="H263" s="353"/>
      <c r="I263" s="38"/>
      <c r="J263" s="375">
        <v>45</v>
      </c>
      <c r="K263" s="637" t="s">
        <v>1307</v>
      </c>
      <c r="L263" s="638">
        <f>L124-L125-L126-L127-L128-L129-L123</f>
        <v>0</v>
      </c>
      <c r="M263" s="639"/>
      <c r="N263" s="387" t="s">
        <v>1322</v>
      </c>
      <c r="P263" s="326"/>
      <c r="X263" s="586"/>
      <c r="Y263" s="586"/>
    </row>
    <row r="264" spans="1:25" ht="87.75" customHeight="1" x14ac:dyDescent="0.3">
      <c r="A264" s="633">
        <v>47</v>
      </c>
      <c r="B264" s="373"/>
      <c r="C264" s="374" t="s">
        <v>1309</v>
      </c>
      <c r="D264" s="635" t="s">
        <v>1296</v>
      </c>
      <c r="E264" s="636" t="s">
        <v>1298</v>
      </c>
      <c r="F264" s="374" t="s">
        <v>1300</v>
      </c>
      <c r="G264" s="356"/>
      <c r="H264" s="353"/>
      <c r="I264" s="38"/>
      <c r="J264" s="375">
        <v>47</v>
      </c>
      <c r="K264" s="637" t="s">
        <v>1308</v>
      </c>
      <c r="L264" s="638">
        <f>L138-L139-L136</f>
        <v>0</v>
      </c>
      <c r="M264" s="639"/>
      <c r="N264" s="387" t="s">
        <v>1323</v>
      </c>
      <c r="P264" s="326"/>
      <c r="X264" s="586"/>
      <c r="Y264" s="586"/>
    </row>
    <row r="265" spans="1:25" ht="152.25" customHeight="1" x14ac:dyDescent="0.3">
      <c r="A265" s="633">
        <v>48</v>
      </c>
      <c r="B265" s="373"/>
      <c r="C265" s="374" t="s">
        <v>1310</v>
      </c>
      <c r="D265" s="635" t="s">
        <v>1297</v>
      </c>
      <c r="E265" s="636" t="s">
        <v>1299</v>
      </c>
      <c r="F265" s="374" t="s">
        <v>1300</v>
      </c>
      <c r="G265" s="356"/>
      <c r="H265" s="353"/>
      <c r="I265" s="38"/>
      <c r="J265" s="375">
        <v>48</v>
      </c>
      <c r="K265" s="637" t="s">
        <v>123</v>
      </c>
      <c r="L265" s="638">
        <f>L143-L144-L145-L146-L147-L148-L142</f>
        <v>0</v>
      </c>
      <c r="M265" s="639"/>
      <c r="N265" s="387" t="s">
        <v>1324</v>
      </c>
      <c r="P265" s="326"/>
      <c r="X265" s="586"/>
      <c r="Y265" s="586"/>
    </row>
    <row r="266" spans="1:25" ht="113.4" customHeight="1" x14ac:dyDescent="0.3">
      <c r="A266" s="643"/>
      <c r="B266" s="97"/>
      <c r="C266" s="644"/>
      <c r="D266" s="139"/>
      <c r="E266" s="147"/>
      <c r="F266" s="66"/>
      <c r="G266" s="141"/>
      <c r="H266" s="142"/>
      <c r="I266" s="38"/>
      <c r="J266" s="376">
        <v>998</v>
      </c>
      <c r="K266" s="377" t="s">
        <v>292</v>
      </c>
      <c r="L266" s="645" t="e">
        <f>HLOOKUP('Unit Data from Audit Worksheet'!$D$2,'2020 Data(H)'!A1:CR371,247,FALSE)</f>
        <v>#N/A</v>
      </c>
      <c r="M266" s="639"/>
      <c r="N266" s="387" t="s">
        <v>1311</v>
      </c>
      <c r="P266" s="322"/>
      <c r="W266" s="3" t="b">
        <f>EXACT(A266,J266)</f>
        <v>0</v>
      </c>
      <c r="X266" s="586" t="e">
        <f t="shared" si="21"/>
        <v>#N/A</v>
      </c>
      <c r="Y266" s="586" t="e">
        <f t="shared" si="22"/>
        <v>#N/A</v>
      </c>
    </row>
    <row r="267" spans="1:25" ht="119.4" customHeight="1" x14ac:dyDescent="0.3">
      <c r="A267" s="643"/>
      <c r="B267" s="97"/>
      <c r="C267" s="644"/>
      <c r="D267" s="646"/>
      <c r="E267" s="647"/>
      <c r="F267" s="648"/>
      <c r="G267" s="649"/>
      <c r="H267" s="650"/>
      <c r="I267" s="38"/>
      <c r="J267" s="378">
        <v>995</v>
      </c>
      <c r="K267" s="379" t="s">
        <v>290</v>
      </c>
      <c r="L267" s="651" t="e">
        <f>HLOOKUP('Unit Data from Audit Worksheet'!$D$2,'2020 Data(H)'!A1:CR371,244,FALSE)</f>
        <v>#N/A</v>
      </c>
      <c r="M267" s="639"/>
      <c r="N267" s="387" t="s">
        <v>1325</v>
      </c>
      <c r="P267" s="323"/>
      <c r="W267" s="3" t="b">
        <f>EXACT(A267,J267)</f>
        <v>0</v>
      </c>
      <c r="X267" s="652" t="e">
        <f t="shared" si="21"/>
        <v>#N/A</v>
      </c>
      <c r="Y267" s="586" t="e">
        <f t="shared" si="22"/>
        <v>#N/A</v>
      </c>
    </row>
    <row r="268" spans="1:25" ht="104.4" customHeight="1" x14ac:dyDescent="0.3">
      <c r="A268" s="643"/>
      <c r="B268" s="97"/>
      <c r="C268" s="644"/>
      <c r="D268" s="646"/>
      <c r="E268" s="647"/>
      <c r="F268" s="648"/>
      <c r="G268" s="649"/>
      <c r="H268" s="650"/>
      <c r="I268" s="38"/>
      <c r="J268" s="378">
        <v>996</v>
      </c>
      <c r="K268" s="379" t="s">
        <v>291</v>
      </c>
      <c r="L268" s="651" t="e">
        <f>HLOOKUP('Unit Data from Audit Worksheet'!$D$2,'2020 Data(H)'!A1:CR371,245,FALSE)</f>
        <v>#N/A</v>
      </c>
      <c r="M268" s="639"/>
      <c r="N268" s="387" t="s">
        <v>1326</v>
      </c>
      <c r="P268" s="323"/>
      <c r="W268" s="3" t="b">
        <f>EXACT(A268,J268)</f>
        <v>0</v>
      </c>
      <c r="X268" s="652" t="e">
        <f t="shared" si="21"/>
        <v>#N/A</v>
      </c>
      <c r="Y268" s="586" t="e">
        <f t="shared" si="22"/>
        <v>#N/A</v>
      </c>
    </row>
    <row r="269" spans="1:25" ht="43.2" x14ac:dyDescent="0.3">
      <c r="A269" s="643"/>
      <c r="B269" s="97"/>
      <c r="C269" s="644"/>
      <c r="D269" s="646"/>
      <c r="E269" s="647"/>
      <c r="F269" s="648"/>
      <c r="G269" s="649"/>
      <c r="H269" s="653"/>
      <c r="I269" s="38"/>
      <c r="J269" s="173">
        <v>554</v>
      </c>
      <c r="K269" s="654" t="s">
        <v>578</v>
      </c>
      <c r="L269" s="615"/>
      <c r="N269" s="655"/>
      <c r="P269" s="324"/>
      <c r="X269" s="652"/>
      <c r="Y269" s="586"/>
    </row>
    <row r="270" spans="1:25" ht="43.2" x14ac:dyDescent="0.3">
      <c r="A270" s="643"/>
      <c r="B270" s="97"/>
      <c r="C270" s="644"/>
      <c r="D270" s="646"/>
      <c r="E270" s="647"/>
      <c r="F270" s="648"/>
      <c r="G270" s="649"/>
      <c r="H270" s="653"/>
      <c r="I270" s="38"/>
      <c r="J270" s="173">
        <v>555</v>
      </c>
      <c r="K270" s="654" t="s">
        <v>580</v>
      </c>
      <c r="L270" s="615"/>
      <c r="N270" s="655"/>
      <c r="P270" s="324"/>
      <c r="X270" s="652"/>
      <c r="Y270" s="586"/>
    </row>
    <row r="271" spans="1:25" ht="43.2" x14ac:dyDescent="0.3">
      <c r="A271" s="643"/>
      <c r="B271" s="97"/>
      <c r="C271" s="644"/>
      <c r="D271" s="646"/>
      <c r="E271" s="647"/>
      <c r="F271" s="648"/>
      <c r="G271" s="649"/>
      <c r="H271" s="653"/>
      <c r="I271" s="38"/>
      <c r="J271" s="173">
        <v>556</v>
      </c>
      <c r="K271" s="654" t="s">
        <v>582</v>
      </c>
      <c r="L271" s="615"/>
      <c r="N271" s="655"/>
      <c r="P271" s="324"/>
      <c r="X271" s="652"/>
      <c r="Y271" s="586"/>
    </row>
    <row r="272" spans="1:25" ht="43.2" x14ac:dyDescent="0.3">
      <c r="A272" s="643"/>
      <c r="B272" s="97"/>
      <c r="C272" s="644"/>
      <c r="D272" s="646"/>
      <c r="E272" s="647"/>
      <c r="F272" s="648"/>
      <c r="G272" s="649"/>
      <c r="H272" s="653"/>
      <c r="I272" s="38"/>
      <c r="J272" s="173">
        <v>557</v>
      </c>
      <c r="K272" s="654" t="s">
        <v>584</v>
      </c>
      <c r="L272" s="615"/>
      <c r="N272" s="655"/>
      <c r="P272" s="324"/>
      <c r="X272" s="652"/>
      <c r="Y272" s="586"/>
    </row>
    <row r="273" spans="1:25" ht="43.2" x14ac:dyDescent="0.3">
      <c r="A273" s="643"/>
      <c r="B273" s="97"/>
      <c r="C273" s="644"/>
      <c r="D273" s="646"/>
      <c r="E273" s="647"/>
      <c r="F273" s="648"/>
      <c r="G273" s="649"/>
      <c r="H273" s="653"/>
      <c r="I273" s="38"/>
      <c r="J273" s="173">
        <v>606</v>
      </c>
      <c r="K273" s="654" t="s">
        <v>857</v>
      </c>
      <c r="L273" s="615"/>
      <c r="N273" s="655"/>
      <c r="P273" s="324"/>
      <c r="X273" s="652"/>
      <c r="Y273" s="586"/>
    </row>
    <row r="274" spans="1:25" ht="39.75" customHeight="1" x14ac:dyDescent="0.3">
      <c r="A274" s="643"/>
      <c r="B274" s="97"/>
      <c r="C274" s="644"/>
      <c r="D274" s="646"/>
      <c r="E274" s="647"/>
      <c r="F274" s="648"/>
      <c r="G274" s="649"/>
      <c r="H274" s="653"/>
      <c r="I274" s="38"/>
      <c r="J274" s="330">
        <v>662</v>
      </c>
      <c r="K274" s="656" t="s">
        <v>858</v>
      </c>
      <c r="L274" s="657"/>
      <c r="N274" s="655"/>
      <c r="P274" s="330"/>
      <c r="X274" s="652"/>
      <c r="Y274" s="586"/>
    </row>
    <row r="275" spans="1:25" ht="39" customHeight="1" x14ac:dyDescent="0.3">
      <c r="A275" s="643"/>
      <c r="B275" s="97"/>
      <c r="C275" s="644"/>
      <c r="D275" s="646"/>
      <c r="E275" s="647"/>
      <c r="F275" s="648"/>
      <c r="G275" s="649"/>
      <c r="H275" s="653"/>
      <c r="I275" s="38"/>
      <c r="J275" s="330">
        <v>663</v>
      </c>
      <c r="K275" s="658" t="s">
        <v>859</v>
      </c>
      <c r="L275" s="657"/>
      <c r="N275" s="655"/>
      <c r="P275" s="330"/>
      <c r="X275" s="652"/>
      <c r="Y275" s="586"/>
    </row>
    <row r="276" spans="1:25" s="18" customFormat="1" ht="22.5" customHeight="1" x14ac:dyDescent="0.3">
      <c r="A276" s="643"/>
      <c r="B276" s="97"/>
      <c r="C276" s="644"/>
      <c r="D276" s="139"/>
      <c r="E276" s="140"/>
      <c r="F276" s="66"/>
      <c r="G276" s="141"/>
      <c r="H276" s="142"/>
      <c r="I276" s="38"/>
      <c r="J276" s="143"/>
      <c r="K276" s="659"/>
      <c r="L276" s="660"/>
      <c r="N276" s="385"/>
      <c r="P276" s="324"/>
      <c r="Q276" s="579"/>
      <c r="W276" s="18" t="b">
        <f t="shared" ref="W276:W284" si="27">EXACT(A276,J276)</f>
        <v>1</v>
      </c>
      <c r="X276" s="595">
        <f t="shared" si="21"/>
        <v>0</v>
      </c>
      <c r="Y276" s="595">
        <f t="shared" si="22"/>
        <v>0</v>
      </c>
    </row>
    <row r="277" spans="1:25" ht="99" customHeight="1" x14ac:dyDescent="0.3">
      <c r="A277" s="341">
        <f>'Unit Data from Audit Worksheet'!A304</f>
        <v>947</v>
      </c>
      <c r="B277" s="132"/>
      <c r="C277" s="340" t="str">
        <f>'Unit Data from Audit Worksheet'!D304</f>
        <v>First name of finance officer or interim finance officer (please enter “vacant” for first name if the position is currently vacant)</v>
      </c>
      <c r="D277" s="363"/>
      <c r="E277" s="188">
        <f>'Unit Data from Audit Worksheet'!F304</f>
        <v>0</v>
      </c>
      <c r="F277" s="354" t="str">
        <f>'Unit Data from Audit Worksheet'!G304</f>
        <v>Please do not leave blank</v>
      </c>
      <c r="G277" s="356"/>
      <c r="H277" s="353"/>
      <c r="I277" s="38"/>
      <c r="J277" s="177">
        <v>947</v>
      </c>
      <c r="K277" s="661" t="s">
        <v>806</v>
      </c>
      <c r="L277" s="662">
        <f t="shared" ref="L277:L290" si="28">IF(D277="",E277,D277)</f>
        <v>0</v>
      </c>
      <c r="N277" s="655"/>
      <c r="P277" s="330"/>
      <c r="Q277" s="621">
        <f t="shared" ref="Q277:Q284" si="29">IF(L277=0,1,0)</f>
        <v>1</v>
      </c>
      <c r="W277" s="3" t="b">
        <f t="shared" si="27"/>
        <v>1</v>
      </c>
      <c r="X277" s="586">
        <f t="shared" ref="X277:X291" si="30">E277-L277</f>
        <v>0</v>
      </c>
      <c r="Y277" s="586">
        <f t="shared" ref="Y277:Y291" si="31">D277-L277</f>
        <v>0</v>
      </c>
    </row>
    <row r="278" spans="1:25" ht="128.25" customHeight="1" x14ac:dyDescent="0.3">
      <c r="A278" s="341">
        <f>'Unit Data from Audit Worksheet'!A305</f>
        <v>948</v>
      </c>
      <c r="B278" s="132"/>
      <c r="C278" s="340" t="str">
        <f>'Unit Data from Audit Worksheet'!D305</f>
        <v>Last name of finance officer or interim finance officer (please enter “vacant” for last name if the position is currently vacant)</v>
      </c>
      <c r="D278" s="363"/>
      <c r="E278" s="663">
        <f>'Unit Data from Audit Worksheet'!F305</f>
        <v>0</v>
      </c>
      <c r="F278" s="354" t="str">
        <f>'Unit Data from Audit Worksheet'!G305</f>
        <v>Please do not leave blank</v>
      </c>
      <c r="G278" s="356"/>
      <c r="H278" s="353"/>
      <c r="I278" s="38"/>
      <c r="J278" s="177">
        <v>948</v>
      </c>
      <c r="K278" s="661" t="s">
        <v>807</v>
      </c>
      <c r="L278" s="662">
        <f t="shared" si="28"/>
        <v>0</v>
      </c>
      <c r="N278" s="655"/>
      <c r="P278" s="330"/>
      <c r="Q278" s="621">
        <f t="shared" si="29"/>
        <v>1</v>
      </c>
      <c r="W278" s="3" t="b">
        <f t="shared" si="27"/>
        <v>1</v>
      </c>
      <c r="X278" s="586">
        <f t="shared" si="30"/>
        <v>0</v>
      </c>
      <c r="Y278" s="586">
        <f t="shared" si="31"/>
        <v>0</v>
      </c>
    </row>
    <row r="279" spans="1:25" ht="61.5" customHeight="1" x14ac:dyDescent="0.3">
      <c r="A279" s="341">
        <f>'Unit Data from Audit Worksheet'!A306</f>
        <v>949</v>
      </c>
      <c r="B279" s="132"/>
      <c r="C279" s="340" t="str">
        <f>'Unit Data from Audit Worksheet'!D306</f>
        <v>Is the finance officer serving in a permanent role or an interim role? (select permanent/interim/vacant)</v>
      </c>
      <c r="D279" s="363"/>
      <c r="E279" s="188">
        <f>'Unit Data from Audit Worksheet'!F306</f>
        <v>0</v>
      </c>
      <c r="F279" s="354" t="str">
        <f>'Unit Data from Audit Worksheet'!G306</f>
        <v>Please do not leave blank</v>
      </c>
      <c r="G279" s="356"/>
      <c r="H279" s="353"/>
      <c r="I279" s="38"/>
      <c r="J279" s="177">
        <v>949</v>
      </c>
      <c r="K279" s="661" t="s">
        <v>835</v>
      </c>
      <c r="L279" s="662">
        <f t="shared" si="28"/>
        <v>0</v>
      </c>
      <c r="N279" s="655"/>
      <c r="P279" s="330"/>
      <c r="Q279" s="621">
        <f t="shared" si="29"/>
        <v>1</v>
      </c>
      <c r="W279" s="3" t="b">
        <f t="shared" si="27"/>
        <v>1</v>
      </c>
      <c r="X279" s="586">
        <f t="shared" si="30"/>
        <v>0</v>
      </c>
      <c r="Y279" s="586">
        <f t="shared" si="31"/>
        <v>0</v>
      </c>
    </row>
    <row r="280" spans="1:25" ht="93.75" customHeight="1" x14ac:dyDescent="0.3">
      <c r="A280" s="341">
        <f>'Unit Data from Audit Worksheet'!A307</f>
        <v>950</v>
      </c>
      <c r="B280" s="132"/>
      <c r="C280" s="340" t="str">
        <f>'Unit Data from Audit Worksheet'!D307</f>
        <v>Has the finance officer been formally appointed by the local government, public authority, or designated official?  (Y/N)</v>
      </c>
      <c r="D280" s="363"/>
      <c r="E280" s="188">
        <f>'Unit Data from Audit Worksheet'!F307</f>
        <v>0</v>
      </c>
      <c r="F280" s="354" t="str">
        <f>'Unit Data from Audit Worksheet'!G307</f>
        <v>Please do not leave blank</v>
      </c>
      <c r="G280" s="356"/>
      <c r="H280" s="353"/>
      <c r="I280" s="38"/>
      <c r="J280" s="177">
        <v>950</v>
      </c>
      <c r="K280" s="661" t="s">
        <v>836</v>
      </c>
      <c r="L280" s="662">
        <f t="shared" si="28"/>
        <v>0</v>
      </c>
      <c r="N280" s="655"/>
      <c r="P280" s="330"/>
      <c r="Q280" s="621">
        <f t="shared" si="29"/>
        <v>1</v>
      </c>
      <c r="W280" s="3" t="b">
        <f t="shared" si="27"/>
        <v>1</v>
      </c>
      <c r="X280" s="586">
        <f t="shared" si="30"/>
        <v>0</v>
      </c>
      <c r="Y280" s="586">
        <f t="shared" si="31"/>
        <v>0</v>
      </c>
    </row>
    <row r="281" spans="1:25" ht="153.75" customHeight="1" x14ac:dyDescent="0.3">
      <c r="A281" s="341">
        <f>'Unit Data from Audit Worksheet'!A308</f>
        <v>952</v>
      </c>
      <c r="B281" s="132"/>
      <c r="C281" s="340" t="str">
        <f>'Unit Data from Audit Worksheet'!D308</f>
        <v>Date on which the local government, public authority, or designated official appointed the finance officer? (If the date of appointment by the board is difficult to find you may enter January 1 and the year)      Date Format  MM/DD/YYYY</v>
      </c>
      <c r="D281" s="363"/>
      <c r="E281" s="136" t="str">
        <f>IF('Unit Data from Audit Worksheet'!F308&gt;0,'Unit Data from Audit Worksheet'!F308," ")</f>
        <v xml:space="preserve"> </v>
      </c>
      <c r="F281" s="354" t="str">
        <f>'Unit Data from Audit Worksheet'!G308</f>
        <v>Leave blank if data not available</v>
      </c>
      <c r="G281" s="356"/>
      <c r="H281" s="353"/>
      <c r="I281" s="38"/>
      <c r="J281" s="177">
        <v>952</v>
      </c>
      <c r="K281" s="661" t="s">
        <v>837</v>
      </c>
      <c r="L281" s="664" t="str">
        <f t="shared" si="28"/>
        <v xml:space="preserve"> </v>
      </c>
      <c r="N281" s="655"/>
      <c r="P281" s="330"/>
      <c r="Q281" s="621">
        <f t="shared" si="29"/>
        <v>0</v>
      </c>
      <c r="W281" s="3" t="b">
        <f t="shared" si="27"/>
        <v>1</v>
      </c>
      <c r="X281" s="586" t="e">
        <f t="shared" si="30"/>
        <v>#VALUE!</v>
      </c>
      <c r="Y281" s="586" t="e">
        <f t="shared" si="31"/>
        <v>#VALUE!</v>
      </c>
    </row>
    <row r="282" spans="1:25" ht="153.75" customHeight="1" x14ac:dyDescent="0.3">
      <c r="A282" s="341">
        <f>'Unit Data from Audit Worksheet'!A309</f>
        <v>954</v>
      </c>
      <c r="B282" s="132"/>
      <c r="C282" s="340" t="str">
        <f>'Unit Data from Audit Worksheet'!D309</f>
        <v>Has the finance officer or interim finance officer read, understand, and is in compliance with the requirements of N.C.G.S. 159, as applicable based on unit type and circumstances? (Y/N)</v>
      </c>
      <c r="D282" s="363"/>
      <c r="E282" s="188">
        <f>'Unit Data from Audit Worksheet'!F309</f>
        <v>0</v>
      </c>
      <c r="F282" s="354" t="str">
        <f>'Unit Data from Audit Worksheet'!G309</f>
        <v>Please do not leave blank</v>
      </c>
      <c r="G282" s="356"/>
      <c r="H282" s="353"/>
      <c r="I282" s="38"/>
      <c r="J282" s="177">
        <v>954</v>
      </c>
      <c r="K282" s="661" t="s">
        <v>838</v>
      </c>
      <c r="L282" s="662">
        <f t="shared" si="28"/>
        <v>0</v>
      </c>
      <c r="N282" s="655"/>
      <c r="P282" s="330"/>
      <c r="Q282" s="621">
        <f t="shared" si="29"/>
        <v>1</v>
      </c>
      <c r="W282" s="3" t="b">
        <f t="shared" si="27"/>
        <v>1</v>
      </c>
      <c r="X282" s="586">
        <f t="shared" si="30"/>
        <v>0</v>
      </c>
      <c r="Y282" s="586">
        <f t="shared" si="31"/>
        <v>0</v>
      </c>
    </row>
    <row r="283" spans="1:25" ht="153.75" customHeight="1" x14ac:dyDescent="0.3">
      <c r="A283" s="341">
        <f>'Unit Data from Audit Worksheet'!A310</f>
        <v>956</v>
      </c>
      <c r="B283" s="132"/>
      <c r="C283" s="340" t="str">
        <f>'Unit Data from Audit Worksheet'!D310</f>
        <v>Does the finance officer or interim finance officer maintain and update (or ensures the maintenance and update of)  financial records monthly, including reconciliation of bank accounts to the general ledger? (Y/N)</v>
      </c>
      <c r="D283" s="363"/>
      <c r="E283" s="188">
        <f>'Unit Data from Audit Worksheet'!F310</f>
        <v>0</v>
      </c>
      <c r="F283" s="354" t="str">
        <f>'Unit Data from Audit Worksheet'!G310</f>
        <v>Please do not leave blank</v>
      </c>
      <c r="G283" s="356"/>
      <c r="H283" s="353"/>
      <c r="I283" s="38"/>
      <c r="J283" s="177">
        <v>956</v>
      </c>
      <c r="K283" s="661" t="s">
        <v>839</v>
      </c>
      <c r="L283" s="662">
        <f t="shared" si="28"/>
        <v>0</v>
      </c>
      <c r="N283" s="655"/>
      <c r="P283" s="330"/>
      <c r="Q283" s="621">
        <f t="shared" si="29"/>
        <v>1</v>
      </c>
      <c r="W283" s="3" t="b">
        <f t="shared" si="27"/>
        <v>1</v>
      </c>
      <c r="X283" s="586">
        <f t="shared" si="30"/>
        <v>0</v>
      </c>
      <c r="Y283" s="586">
        <f t="shared" si="31"/>
        <v>0</v>
      </c>
    </row>
    <row r="284" spans="1:25" ht="201.6" x14ac:dyDescent="0.3">
      <c r="A284" s="341">
        <f>'Unit Data from Audit Worksheet'!A311</f>
        <v>958</v>
      </c>
      <c r="B284" s="132"/>
      <c r="C284" s="340" t="str">
        <f>'Unit Data from Audit Worksheet'!D311</f>
        <v>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v>
      </c>
      <c r="D284" s="363"/>
      <c r="E284" s="188">
        <f>'Unit Data from Audit Worksheet'!F311</f>
        <v>0</v>
      </c>
      <c r="F284" s="354" t="str">
        <f>'Unit Data from Audit Worksheet'!G311</f>
        <v>Please do not leave blank</v>
      </c>
      <c r="G284" s="356"/>
      <c r="H284" s="353"/>
      <c r="I284" s="38"/>
      <c r="J284" s="177">
        <v>958</v>
      </c>
      <c r="K284" s="661" t="s">
        <v>840</v>
      </c>
      <c r="L284" s="665">
        <f t="shared" si="28"/>
        <v>0</v>
      </c>
      <c r="N284" s="655"/>
      <c r="P284" s="330"/>
      <c r="Q284" s="621">
        <f t="shared" si="29"/>
        <v>1</v>
      </c>
      <c r="W284" s="3" t="b">
        <f t="shared" si="27"/>
        <v>1</v>
      </c>
      <c r="X284" s="586">
        <f t="shared" si="30"/>
        <v>0</v>
      </c>
      <c r="Y284" s="586">
        <f t="shared" si="31"/>
        <v>0</v>
      </c>
    </row>
    <row r="285" spans="1:25" ht="30.75" customHeight="1" x14ac:dyDescent="0.3">
      <c r="A285" s="666">
        <f>'Unit Data from Audit Worksheet'!A319</f>
        <v>960</v>
      </c>
      <c r="B285" s="184"/>
      <c r="C285" s="185" t="str">
        <f>'Unit Data from Audit Worksheet'!B319</f>
        <v>Name of Finance Officer</v>
      </c>
      <c r="D285" s="363"/>
      <c r="E285" s="667">
        <f>'Unit Data from Audit Worksheet'!D319</f>
        <v>0</v>
      </c>
      <c r="F285" s="668" t="str">
        <f>'Unit Data from Audit Worksheet'!F319</f>
        <v>Required</v>
      </c>
      <c r="G285" s="356"/>
      <c r="H285" s="353"/>
      <c r="I285" s="38"/>
      <c r="J285" s="187">
        <v>960</v>
      </c>
      <c r="K285" s="669" t="s">
        <v>831</v>
      </c>
      <c r="L285" s="670">
        <f t="shared" si="28"/>
        <v>0</v>
      </c>
      <c r="N285" s="613"/>
      <c r="P285" s="330"/>
      <c r="Q285" s="621">
        <f>IF(L285=0,1,0)</f>
        <v>1</v>
      </c>
      <c r="X285" s="586"/>
      <c r="Y285" s="586"/>
    </row>
    <row r="286" spans="1:25" ht="30.75" customHeight="1" x14ac:dyDescent="0.3">
      <c r="A286" s="666">
        <f>'Unit Data from Audit Worksheet'!A320</f>
        <v>962</v>
      </c>
      <c r="B286" s="184"/>
      <c r="C286" s="185" t="str">
        <f>'Unit Data from Audit Worksheet'!B320</f>
        <v>Title of Official</v>
      </c>
      <c r="D286" s="363"/>
      <c r="E286" s="667">
        <f>'Unit Data from Audit Worksheet'!D320</f>
        <v>0</v>
      </c>
      <c r="F286" s="668" t="str">
        <f>'Unit Data from Audit Worksheet'!F320</f>
        <v>Required</v>
      </c>
      <c r="G286" s="356"/>
      <c r="H286" s="353"/>
      <c r="I286" s="38"/>
      <c r="J286" s="187">
        <v>962</v>
      </c>
      <c r="K286" s="669" t="s">
        <v>786</v>
      </c>
      <c r="L286" s="670">
        <f t="shared" si="28"/>
        <v>0</v>
      </c>
      <c r="N286" s="613"/>
      <c r="P286" s="330"/>
      <c r="Q286" s="621">
        <f>IF(L286=0,1,0)</f>
        <v>1</v>
      </c>
      <c r="X286" s="586"/>
      <c r="Y286" s="586"/>
    </row>
    <row r="287" spans="1:25" ht="30.75" customHeight="1" x14ac:dyDescent="0.3">
      <c r="A287" s="666">
        <f>'Unit Data from Audit Worksheet'!A321</f>
        <v>964</v>
      </c>
      <c r="B287" s="184"/>
      <c r="C287" s="186" t="str">
        <f>'Unit Data from Audit Worksheet'!B321</f>
        <v>Date                        (Enter as "MM/DD/YYYY")</v>
      </c>
      <c r="D287" s="363"/>
      <c r="E287" s="671" t="str">
        <f>IF('Unit Data from Audit Worksheet'!D321&gt;0,'Unit Data from Audit Worksheet'!D321," ")</f>
        <v xml:space="preserve"> </v>
      </c>
      <c r="F287" s="668" t="str">
        <f>'Unit Data from Audit Worksheet'!F321</f>
        <v>Required</v>
      </c>
      <c r="G287" s="356"/>
      <c r="H287" s="353"/>
      <c r="I287" s="38"/>
      <c r="J287" s="187">
        <v>964</v>
      </c>
      <c r="K287" s="669" t="s">
        <v>869</v>
      </c>
      <c r="L287" s="672" t="str">
        <f t="shared" si="28"/>
        <v xml:space="preserve"> </v>
      </c>
      <c r="N287" s="613"/>
      <c r="P287" s="330"/>
      <c r="Q287" s="621">
        <f>IF(L287=0,1,0)</f>
        <v>0</v>
      </c>
      <c r="X287" s="586"/>
      <c r="Y287" s="586"/>
    </row>
    <row r="288" spans="1:25" ht="30.75" customHeight="1" x14ac:dyDescent="0.3">
      <c r="A288" s="666">
        <f>'Unit Data from Audit Worksheet'!A322</f>
        <v>966</v>
      </c>
      <c r="B288" s="184"/>
      <c r="C288" s="185" t="str">
        <f>'Unit Data from Audit Worksheet'!B322</f>
        <v>Telephone number</v>
      </c>
      <c r="D288" s="363"/>
      <c r="E288" s="667">
        <f>'Unit Data from Audit Worksheet'!D322</f>
        <v>0</v>
      </c>
      <c r="F288" s="668" t="str">
        <f>'Unit Data from Audit Worksheet'!F322</f>
        <v>Required</v>
      </c>
      <c r="G288" s="356"/>
      <c r="H288" s="353"/>
      <c r="I288" s="38"/>
      <c r="J288" s="187">
        <v>966</v>
      </c>
      <c r="K288" s="669" t="s">
        <v>788</v>
      </c>
      <c r="L288" s="670">
        <f t="shared" si="28"/>
        <v>0</v>
      </c>
      <c r="N288" s="613"/>
      <c r="P288" s="330"/>
      <c r="Q288" s="621">
        <f>IF(L288=0,1,0)</f>
        <v>1</v>
      </c>
      <c r="X288" s="586"/>
      <c r="Y288" s="586"/>
    </row>
    <row r="289" spans="1:25" ht="30.75" customHeight="1" x14ac:dyDescent="0.3">
      <c r="A289" s="666">
        <f>'Unit Data from Audit Worksheet'!A323</f>
        <v>968</v>
      </c>
      <c r="B289" s="184"/>
      <c r="C289" s="185" t="str">
        <f>'Unit Data from Audit Worksheet'!B323</f>
        <v>E-mail address</v>
      </c>
      <c r="D289" s="363"/>
      <c r="E289" s="667">
        <f>'Unit Data from Audit Worksheet'!D323</f>
        <v>0</v>
      </c>
      <c r="F289" s="668" t="str">
        <f>'Unit Data from Audit Worksheet'!F323</f>
        <v>Required</v>
      </c>
      <c r="G289" s="356"/>
      <c r="H289" s="353"/>
      <c r="I289" s="38"/>
      <c r="J289" s="187">
        <v>968</v>
      </c>
      <c r="K289" s="669" t="s">
        <v>789</v>
      </c>
      <c r="L289" s="670">
        <f t="shared" si="28"/>
        <v>0</v>
      </c>
      <c r="N289" s="613"/>
      <c r="P289" s="330"/>
      <c r="Q289" s="621">
        <f>IF(L289=0,1,0)</f>
        <v>1</v>
      </c>
      <c r="X289" s="586"/>
      <c r="Y289" s="586"/>
    </row>
    <row r="290" spans="1:25" ht="75.599999999999994" customHeight="1" x14ac:dyDescent="0.3">
      <c r="A290" s="673">
        <f>+'TD Info Completed by Auditor'!D74</f>
        <v>980</v>
      </c>
      <c r="B290" s="373" t="s">
        <v>1117</v>
      </c>
      <c r="C290" s="388" t="str">
        <f>+'TD Info Completed by Auditor'!E74</f>
        <v>Date the Auditor presented or plans to present the Audit to the Governing Board</v>
      </c>
      <c r="D290" s="363"/>
      <c r="E290" s="674" t="str">
        <f>IF('TD Info Completed by Auditor'!G74&gt;0,'TD Info Completed by Auditor'!G74," ")</f>
        <v xml:space="preserve"> </v>
      </c>
      <c r="F290" s="675" t="s">
        <v>1329</v>
      </c>
      <c r="G290" s="356"/>
      <c r="H290" s="353"/>
      <c r="I290" s="38"/>
      <c r="J290" s="389">
        <v>980</v>
      </c>
      <c r="K290" s="390" t="s">
        <v>1074</v>
      </c>
      <c r="L290" s="676" t="str">
        <f t="shared" si="28"/>
        <v xml:space="preserve"> </v>
      </c>
      <c r="N290" s="613"/>
      <c r="P290" s="330"/>
      <c r="Q290" s="621"/>
      <c r="X290" s="586"/>
      <c r="Y290" s="586"/>
    </row>
    <row r="291" spans="1:25" ht="83.4" customHeight="1" x14ac:dyDescent="0.3">
      <c r="A291" s="643"/>
      <c r="B291" s="97"/>
      <c r="C291" s="644"/>
      <c r="D291" s="646"/>
      <c r="E291" s="647"/>
      <c r="F291" s="648"/>
      <c r="G291" s="649"/>
      <c r="H291" s="650"/>
      <c r="I291" s="38"/>
      <c r="J291" s="177">
        <v>999</v>
      </c>
      <c r="K291" s="661" t="s">
        <v>293</v>
      </c>
      <c r="L291" s="677" t="e">
        <f>'Unit Data from Audit Worksheet'!D3</f>
        <v>#N/A</v>
      </c>
      <c r="M291" s="639"/>
      <c r="N291" s="678" t="s">
        <v>1328</v>
      </c>
      <c r="O291" s="678" t="s">
        <v>1327</v>
      </c>
      <c r="P291" s="330"/>
      <c r="W291" s="3" t="b">
        <f>EXACT(A291,J291)</f>
        <v>0</v>
      </c>
      <c r="X291" s="586" t="e">
        <f t="shared" si="30"/>
        <v>#N/A</v>
      </c>
      <c r="Y291" s="586" t="e">
        <f t="shared" si="31"/>
        <v>#N/A</v>
      </c>
    </row>
    <row r="292" spans="1:25" x14ac:dyDescent="0.3">
      <c r="A292" s="301"/>
      <c r="B292" s="301"/>
      <c r="C292" s="301"/>
      <c r="D292" s="301"/>
      <c r="E292" s="301"/>
      <c r="F292" s="301"/>
      <c r="G292" s="301"/>
      <c r="H292" s="301"/>
      <c r="I292" s="301"/>
      <c r="J292" s="3"/>
      <c r="K292" s="3"/>
      <c r="L292" s="3"/>
      <c r="N292" s="4"/>
      <c r="P292" s="331"/>
    </row>
    <row r="293" spans="1:25" x14ac:dyDescent="0.3">
      <c r="D293" s="680"/>
      <c r="E293" s="681"/>
      <c r="F293" s="681"/>
      <c r="G293" s="682"/>
      <c r="H293" s="681"/>
      <c r="I293" s="683"/>
      <c r="K293" s="10"/>
      <c r="L293" s="684"/>
      <c r="N293" s="4"/>
      <c r="P293" s="331"/>
    </row>
    <row r="294" spans="1:25" ht="18" x14ac:dyDescent="0.35">
      <c r="A294" s="165" t="s">
        <v>720</v>
      </c>
      <c r="B294" s="166"/>
      <c r="C294" s="167"/>
      <c r="D294" s="168"/>
      <c r="E294" s="169"/>
      <c r="F294" s="681"/>
      <c r="G294" s="682"/>
      <c r="H294" s="681"/>
      <c r="I294" s="683"/>
      <c r="L294" s="684"/>
      <c r="N294" s="4"/>
      <c r="P294" s="331"/>
    </row>
    <row r="295" spans="1:25" ht="117" customHeight="1" x14ac:dyDescent="0.7">
      <c r="A295" s="341">
        <f>'Unit Data from Audit Worksheet'!A88</f>
        <v>590</v>
      </c>
      <c r="B295" s="341" t="str">
        <f>'Unit Data from Audit Worksheet'!B88</f>
        <v>Fiscal Review</v>
      </c>
      <c r="C295" s="81" t="str">
        <f>'Unit Data from Audit Worksheet'!D88</f>
        <v>If you appropriated General Fund Balance in your 2021 budget and your "change in fund balance": (account # 23 above) is negative, please select from the drop down box in column F either "operations" or "capital", whichever best describes what the fund balance was used for.  If you select "Capital" please briefly describe in column G to the right the capital items.</v>
      </c>
      <c r="D295" s="80"/>
      <c r="E295" s="104">
        <f>'Unit Data from Audit Worksheet'!F88</f>
        <v>0</v>
      </c>
      <c r="F295" s="80">
        <f>'Unit Data from Audit Worksheet'!G88</f>
        <v>0</v>
      </c>
      <c r="G295" s="682"/>
      <c r="H295" s="681"/>
      <c r="I295" s="683"/>
      <c r="J295" s="158" t="e">
        <f>SUM(Q5:Q295)</f>
        <v>#N/A</v>
      </c>
      <c r="K295" s="157" t="s">
        <v>828</v>
      </c>
      <c r="L295" s="684" t="e">
        <f>SUM(G5:G245)</f>
        <v>#N/A</v>
      </c>
      <c r="N295" s="4"/>
      <c r="P295" s="331"/>
    </row>
    <row r="296" spans="1:25" ht="14.25" customHeight="1" x14ac:dyDescent="0.3">
      <c r="A296" s="301"/>
      <c r="B296" s="301"/>
      <c r="C296" s="301"/>
      <c r="D296" s="301"/>
      <c r="E296" s="301"/>
      <c r="F296" s="681"/>
      <c r="G296" s="682"/>
      <c r="H296" s="681"/>
      <c r="I296" s="683"/>
      <c r="K296" s="10"/>
      <c r="L296" s="685"/>
      <c r="P296" s="331"/>
      <c r="Q296" s="85"/>
    </row>
    <row r="297" spans="1:25" x14ac:dyDescent="0.3">
      <c r="A297" s="301"/>
      <c r="B297" s="301"/>
      <c r="C297" s="301"/>
      <c r="D297" s="301"/>
      <c r="E297" s="301"/>
      <c r="F297" s="681"/>
      <c r="G297" s="682"/>
      <c r="H297" s="681"/>
      <c r="I297" s="683"/>
      <c r="K297" s="10"/>
      <c r="L297" s="685"/>
      <c r="P297" s="331"/>
    </row>
    <row r="298" spans="1:25" ht="18.75" customHeight="1" x14ac:dyDescent="0.3">
      <c r="A298" s="301"/>
      <c r="B298" s="301"/>
      <c r="C298" s="301"/>
      <c r="D298" s="301"/>
      <c r="E298" s="301"/>
      <c r="F298" s="681"/>
      <c r="G298" s="682"/>
      <c r="H298" s="681"/>
      <c r="I298" s="683"/>
      <c r="J298" s="5">
        <f>SUM(J5:J245)</f>
        <v>98821</v>
      </c>
      <c r="K298" s="10"/>
      <c r="L298" s="685"/>
      <c r="P298" s="331"/>
    </row>
    <row r="299" spans="1:25" ht="30.75" customHeight="1" x14ac:dyDescent="0.3">
      <c r="A299" s="301"/>
      <c r="B299" s="301"/>
      <c r="C299" s="301"/>
      <c r="D299" s="301"/>
      <c r="E299" s="301"/>
      <c r="F299" s="681"/>
      <c r="G299" s="682"/>
      <c r="H299" s="681"/>
      <c r="I299" s="683"/>
      <c r="J299" s="5">
        <f>SUM(J261:J265)+SUM(J277:J290)</f>
        <v>13934</v>
      </c>
      <c r="K299" s="10"/>
      <c r="L299" s="685"/>
      <c r="P299" s="331"/>
    </row>
    <row r="300" spans="1:25" ht="30.75" customHeight="1" x14ac:dyDescent="0.3">
      <c r="A300" s="301"/>
      <c r="B300" s="301"/>
      <c r="C300" s="301"/>
      <c r="D300" s="301"/>
      <c r="E300" s="301"/>
      <c r="F300" s="681"/>
      <c r="G300" s="682"/>
      <c r="H300" s="681"/>
      <c r="I300" s="683"/>
      <c r="J300" s="5">
        <f>+J298+J299</f>
        <v>112755</v>
      </c>
      <c r="K300" s="10"/>
      <c r="L300" s="685"/>
      <c r="P300" s="331"/>
    </row>
    <row r="301" spans="1:25" ht="30.75" customHeight="1" x14ac:dyDescent="0.3">
      <c r="A301" s="301"/>
      <c r="B301" s="301"/>
      <c r="C301" s="301"/>
      <c r="D301" s="301"/>
      <c r="E301" s="301"/>
      <c r="F301" s="681"/>
      <c r="G301" s="682"/>
      <c r="H301" s="681"/>
      <c r="I301" s="683"/>
      <c r="J301" s="5">
        <f>+'Unit Data from Audit Worksheet'!A327</f>
        <v>96734</v>
      </c>
      <c r="K301" s="10"/>
      <c r="L301" s="685"/>
      <c r="P301" s="331"/>
    </row>
    <row r="302" spans="1:25" ht="30.75" customHeight="1" x14ac:dyDescent="0.3">
      <c r="A302" s="301"/>
      <c r="B302" s="301"/>
      <c r="C302" s="301"/>
      <c r="D302" s="301"/>
      <c r="E302" s="301"/>
      <c r="F302" s="681"/>
      <c r="G302" s="682"/>
      <c r="H302" s="681"/>
      <c r="I302" s="683"/>
      <c r="J302" s="5">
        <f>+J300-J301</f>
        <v>16021</v>
      </c>
      <c r="K302" s="10"/>
      <c r="L302" s="685"/>
      <c r="P302" s="331"/>
    </row>
    <row r="303" spans="1:25" ht="30.75" customHeight="1" x14ac:dyDescent="0.3">
      <c r="A303" s="301"/>
      <c r="B303" s="301"/>
      <c r="C303" s="301"/>
      <c r="D303" s="301"/>
      <c r="E303" s="301"/>
      <c r="F303" s="681"/>
      <c r="G303" s="682"/>
      <c r="H303" s="681"/>
      <c r="I303" s="683"/>
      <c r="K303" s="10"/>
      <c r="L303" s="685"/>
      <c r="P303" s="331"/>
    </row>
    <row r="304" spans="1:25" x14ac:dyDescent="0.3">
      <c r="A304" s="301"/>
      <c r="B304" s="301"/>
      <c r="C304" s="301"/>
      <c r="D304" s="301"/>
      <c r="E304" s="301"/>
      <c r="I304" s="683"/>
      <c r="K304" s="10"/>
      <c r="L304" s="685"/>
      <c r="P304" s="331"/>
    </row>
    <row r="305" spans="1:16" x14ac:dyDescent="0.3">
      <c r="A305" s="301"/>
      <c r="B305" s="301"/>
      <c r="C305" s="301"/>
      <c r="D305" s="301"/>
      <c r="E305" s="301"/>
      <c r="I305" s="683"/>
      <c r="L305" s="685"/>
      <c r="P305" s="331"/>
    </row>
    <row r="306" spans="1:16" x14ac:dyDescent="0.3">
      <c r="A306" s="5"/>
      <c r="B306" s="686"/>
      <c r="C306" s="26"/>
      <c r="D306" s="79"/>
      <c r="I306" s="683"/>
      <c r="L306" s="685"/>
      <c r="P306" s="331"/>
    </row>
    <row r="307" spans="1:16" x14ac:dyDescent="0.3">
      <c r="A307" s="5"/>
      <c r="B307" s="686"/>
      <c r="C307" s="26"/>
      <c r="D307" s="79"/>
      <c r="L307" s="685"/>
      <c r="P307" s="331"/>
    </row>
    <row r="308" spans="1:16" x14ac:dyDescent="0.3">
      <c r="D308" s="79"/>
      <c r="P308" s="331"/>
    </row>
    <row r="309" spans="1:16" x14ac:dyDescent="0.3">
      <c r="D309" s="79"/>
      <c r="P309" s="331"/>
    </row>
    <row r="310" spans="1:16" x14ac:dyDescent="0.3">
      <c r="D310" s="79"/>
      <c r="P310" s="331"/>
    </row>
    <row r="311" spans="1:16" x14ac:dyDescent="0.3">
      <c r="D311" s="79"/>
      <c r="P311" s="331"/>
    </row>
    <row r="312" spans="1:16" x14ac:dyDescent="0.3">
      <c r="A312" s="5"/>
      <c r="B312" s="686"/>
      <c r="C312" s="26"/>
      <c r="D312" s="79"/>
      <c r="P312" s="331"/>
    </row>
    <row r="313" spans="1:16" x14ac:dyDescent="0.3">
      <c r="A313" s="5"/>
      <c r="B313" s="686"/>
      <c r="C313" s="26"/>
      <c r="D313" s="79"/>
      <c r="P313" s="331"/>
    </row>
    <row r="314" spans="1:16" x14ac:dyDescent="0.3">
      <c r="D314" s="79"/>
      <c r="P314" s="331"/>
    </row>
    <row r="315" spans="1:16" x14ac:dyDescent="0.3">
      <c r="D315" s="79"/>
      <c r="P315" s="331"/>
    </row>
    <row r="316" spans="1:16" x14ac:dyDescent="0.3">
      <c r="D316" s="79"/>
      <c r="P316" s="331"/>
    </row>
    <row r="317" spans="1:16" x14ac:dyDescent="0.3">
      <c r="D317" s="79"/>
      <c r="P317" s="331"/>
    </row>
    <row r="318" spans="1:16" x14ac:dyDescent="0.3">
      <c r="A318" s="5"/>
      <c r="B318" s="686"/>
      <c r="C318" s="26"/>
      <c r="D318" s="79"/>
      <c r="P318" s="331"/>
    </row>
    <row r="319" spans="1:16" x14ac:dyDescent="0.3">
      <c r="A319" s="5"/>
      <c r="B319" s="686"/>
      <c r="C319" s="26"/>
      <c r="D319" s="79"/>
      <c r="P319" s="331"/>
    </row>
    <row r="320" spans="1:16" x14ac:dyDescent="0.3">
      <c r="D320" s="79"/>
      <c r="P320" s="331"/>
    </row>
    <row r="321" spans="1:16" x14ac:dyDescent="0.3">
      <c r="D321" s="79"/>
      <c r="P321" s="331"/>
    </row>
    <row r="322" spans="1:16" x14ac:dyDescent="0.3">
      <c r="D322" s="79"/>
      <c r="P322" s="331"/>
    </row>
    <row r="323" spans="1:16" x14ac:dyDescent="0.3">
      <c r="D323" s="79"/>
      <c r="P323" s="331"/>
    </row>
    <row r="324" spans="1:16" x14ac:dyDescent="0.3">
      <c r="A324" s="5"/>
      <c r="B324" s="686"/>
      <c r="C324" s="26"/>
      <c r="D324" s="79"/>
      <c r="P324" s="331"/>
    </row>
    <row r="325" spans="1:16" x14ac:dyDescent="0.3">
      <c r="A325" s="5"/>
      <c r="B325" s="686"/>
      <c r="C325" s="26"/>
      <c r="D325" s="79"/>
      <c r="P325" s="331"/>
    </row>
    <row r="326" spans="1:16" x14ac:dyDescent="0.3">
      <c r="A326" s="5"/>
      <c r="B326" s="686"/>
      <c r="C326" s="26"/>
      <c r="D326" s="79"/>
      <c r="P326" s="331"/>
    </row>
    <row r="327" spans="1:16" x14ac:dyDescent="0.3">
      <c r="A327" s="5"/>
      <c r="B327" s="686"/>
      <c r="C327" s="26"/>
      <c r="D327" s="79"/>
      <c r="P327" s="331"/>
    </row>
    <row r="328" spans="1:16" x14ac:dyDescent="0.3">
      <c r="D328" s="79"/>
      <c r="P328" s="331"/>
    </row>
    <row r="329" spans="1:16" x14ac:dyDescent="0.3">
      <c r="D329" s="79"/>
      <c r="P329" s="331"/>
    </row>
    <row r="330" spans="1:16" x14ac:dyDescent="0.3">
      <c r="D330" s="79"/>
      <c r="P330" s="331"/>
    </row>
    <row r="331" spans="1:16" x14ac:dyDescent="0.3">
      <c r="A331" s="5"/>
      <c r="B331" s="686"/>
      <c r="C331" s="26"/>
      <c r="D331" s="79"/>
      <c r="P331" s="331"/>
    </row>
    <row r="332" spans="1:16" x14ac:dyDescent="0.3">
      <c r="A332" s="5"/>
      <c r="B332" s="686"/>
      <c r="C332" s="26"/>
      <c r="D332" s="79"/>
      <c r="P332" s="331"/>
    </row>
    <row r="333" spans="1:16" x14ac:dyDescent="0.3">
      <c r="A333" s="5"/>
      <c r="B333" s="686"/>
      <c r="C333" s="26"/>
      <c r="D333" s="79"/>
      <c r="P333" s="331"/>
    </row>
    <row r="334" spans="1:16" x14ac:dyDescent="0.3">
      <c r="A334" s="5"/>
      <c r="B334" s="686"/>
      <c r="C334" s="26"/>
      <c r="D334" s="79"/>
      <c r="P334" s="331"/>
    </row>
    <row r="335" spans="1:16" x14ac:dyDescent="0.3">
      <c r="A335" s="5"/>
      <c r="B335" s="686"/>
      <c r="C335" s="26"/>
      <c r="D335" s="79"/>
      <c r="P335" s="331"/>
    </row>
    <row r="336" spans="1:16" x14ac:dyDescent="0.3">
      <c r="A336" s="5"/>
      <c r="B336" s="686"/>
      <c r="C336" s="26"/>
      <c r="D336" s="79"/>
      <c r="P336" s="331"/>
    </row>
    <row r="337" spans="1:16" x14ac:dyDescent="0.3">
      <c r="A337" s="5"/>
      <c r="B337" s="686"/>
      <c r="C337" s="26"/>
      <c r="D337" s="79"/>
      <c r="P337" s="331"/>
    </row>
    <row r="338" spans="1:16" x14ac:dyDescent="0.3">
      <c r="A338" s="5"/>
      <c r="B338" s="686"/>
      <c r="C338" s="26"/>
      <c r="D338" s="79"/>
      <c r="P338" s="331"/>
    </row>
    <row r="339" spans="1:16" x14ac:dyDescent="0.3">
      <c r="A339" s="5"/>
      <c r="B339" s="686"/>
      <c r="C339" s="26"/>
      <c r="D339" s="79"/>
      <c r="P339" s="331"/>
    </row>
    <row r="340" spans="1:16" x14ac:dyDescent="0.3">
      <c r="A340" s="5"/>
      <c r="B340" s="686"/>
      <c r="C340" s="26"/>
      <c r="D340" s="79"/>
      <c r="P340" s="331"/>
    </row>
    <row r="341" spans="1:16" x14ac:dyDescent="0.3">
      <c r="A341" s="5"/>
      <c r="B341" s="686"/>
      <c r="C341" s="26"/>
      <c r="D341" s="79"/>
      <c r="P341" s="331"/>
    </row>
    <row r="342" spans="1:16" x14ac:dyDescent="0.3">
      <c r="A342" s="5"/>
      <c r="B342" s="686"/>
      <c r="C342" s="26"/>
      <c r="D342" s="79"/>
      <c r="P342" s="331"/>
    </row>
    <row r="343" spans="1:16" x14ac:dyDescent="0.3">
      <c r="A343" s="5"/>
      <c r="B343" s="686"/>
      <c r="C343" s="26"/>
      <c r="D343" s="79"/>
      <c r="P343" s="331"/>
    </row>
    <row r="344" spans="1:16" x14ac:dyDescent="0.3">
      <c r="A344" s="5"/>
      <c r="B344" s="686"/>
      <c r="C344" s="26"/>
      <c r="D344" s="79"/>
      <c r="P344" s="331"/>
    </row>
    <row r="345" spans="1:16" x14ac:dyDescent="0.3">
      <c r="A345" s="5"/>
      <c r="B345" s="686"/>
      <c r="C345" s="26"/>
      <c r="D345" s="79"/>
      <c r="P345" s="331"/>
    </row>
    <row r="346" spans="1:16" x14ac:dyDescent="0.3">
      <c r="A346" s="5"/>
      <c r="B346" s="686"/>
      <c r="C346" s="26"/>
      <c r="D346" s="79"/>
      <c r="P346" s="331"/>
    </row>
    <row r="347" spans="1:16" x14ac:dyDescent="0.3">
      <c r="A347" s="5"/>
      <c r="B347" s="686"/>
      <c r="C347" s="26"/>
      <c r="D347" s="79"/>
      <c r="P347" s="331"/>
    </row>
    <row r="348" spans="1:16" x14ac:dyDescent="0.3">
      <c r="A348" s="5"/>
      <c r="B348" s="686"/>
      <c r="C348" s="26"/>
      <c r="D348" s="79"/>
      <c r="P348" s="331"/>
    </row>
    <row r="349" spans="1:16" x14ac:dyDescent="0.3">
      <c r="A349" s="5"/>
      <c r="B349" s="686"/>
      <c r="C349" s="26"/>
      <c r="D349" s="79"/>
      <c r="P349" s="331"/>
    </row>
    <row r="350" spans="1:16" x14ac:dyDescent="0.3">
      <c r="A350" s="5"/>
      <c r="B350" s="686"/>
      <c r="C350" s="26"/>
      <c r="D350" s="79"/>
      <c r="P350" s="331"/>
    </row>
    <row r="351" spans="1:16" x14ac:dyDescent="0.3">
      <c r="A351" s="5"/>
      <c r="B351" s="686"/>
      <c r="C351" s="26"/>
      <c r="D351" s="79"/>
      <c r="P351" s="331"/>
    </row>
    <row r="352" spans="1:16" x14ac:dyDescent="0.3">
      <c r="A352" s="5"/>
      <c r="B352" s="686"/>
      <c r="C352" s="26"/>
      <c r="D352" s="79"/>
      <c r="P352" s="331"/>
    </row>
    <row r="353" spans="1:16" x14ac:dyDescent="0.3">
      <c r="A353" s="5"/>
      <c r="B353" s="686"/>
      <c r="C353" s="26"/>
      <c r="D353" s="79"/>
      <c r="P353" s="331"/>
    </row>
    <row r="354" spans="1:16" x14ac:dyDescent="0.3">
      <c r="A354" s="5"/>
      <c r="B354" s="686"/>
      <c r="C354" s="26"/>
      <c r="D354" s="79"/>
      <c r="P354" s="331"/>
    </row>
    <row r="355" spans="1:16" x14ac:dyDescent="0.3">
      <c r="A355" s="5"/>
      <c r="B355" s="686"/>
      <c r="C355" s="26"/>
      <c r="D355" s="79"/>
      <c r="P355" s="331"/>
    </row>
    <row r="356" spans="1:16" x14ac:dyDescent="0.3">
      <c r="A356" s="5"/>
      <c r="B356" s="686"/>
      <c r="C356" s="26"/>
      <c r="D356" s="79"/>
      <c r="P356" s="331"/>
    </row>
    <row r="357" spans="1:16" x14ac:dyDescent="0.3">
      <c r="A357" s="5"/>
      <c r="B357" s="686"/>
      <c r="C357" s="26"/>
      <c r="D357" s="79"/>
      <c r="P357" s="331"/>
    </row>
    <row r="358" spans="1:16" x14ac:dyDescent="0.3">
      <c r="A358" s="5"/>
      <c r="B358" s="686"/>
      <c r="C358" s="26"/>
      <c r="D358" s="79"/>
      <c r="P358" s="331"/>
    </row>
    <row r="359" spans="1:16" x14ac:dyDescent="0.3">
      <c r="A359" s="5"/>
      <c r="B359" s="686"/>
      <c r="C359" s="26"/>
      <c r="D359" s="79"/>
      <c r="P359" s="331"/>
    </row>
    <row r="360" spans="1:16" x14ac:dyDescent="0.3">
      <c r="A360" s="5"/>
      <c r="B360" s="686"/>
      <c r="C360" s="26"/>
      <c r="D360" s="79"/>
      <c r="P360" s="331"/>
    </row>
    <row r="361" spans="1:16" x14ac:dyDescent="0.3">
      <c r="A361" s="5"/>
      <c r="B361" s="686"/>
      <c r="C361" s="26"/>
      <c r="D361" s="79"/>
      <c r="P361" s="331"/>
    </row>
    <row r="362" spans="1:16" x14ac:dyDescent="0.3">
      <c r="A362" s="5"/>
      <c r="B362" s="686"/>
      <c r="C362" s="26"/>
      <c r="D362" s="79"/>
      <c r="P362" s="331"/>
    </row>
    <row r="363" spans="1:16" x14ac:dyDescent="0.3">
      <c r="A363" s="5"/>
      <c r="B363" s="686"/>
      <c r="C363" s="26"/>
      <c r="D363" s="79"/>
      <c r="P363" s="331"/>
    </row>
    <row r="364" spans="1:16" x14ac:dyDescent="0.3">
      <c r="A364" s="5"/>
      <c r="B364" s="686"/>
      <c r="C364" s="26"/>
      <c r="D364" s="79"/>
      <c r="P364" s="331"/>
    </row>
    <row r="365" spans="1:16" x14ac:dyDescent="0.3">
      <c r="A365" s="5"/>
      <c r="B365" s="686"/>
      <c r="C365" s="26"/>
      <c r="D365" s="79"/>
      <c r="P365" s="331"/>
    </row>
    <row r="366" spans="1:16" x14ac:dyDescent="0.3">
      <c r="A366" s="5"/>
      <c r="B366" s="686"/>
      <c r="C366" s="26"/>
      <c r="D366" s="79"/>
      <c r="P366" s="331"/>
    </row>
    <row r="367" spans="1:16" x14ac:dyDescent="0.3">
      <c r="A367" s="5"/>
      <c r="B367" s="686"/>
      <c r="C367" s="26"/>
      <c r="D367" s="79"/>
      <c r="P367" s="331"/>
    </row>
    <row r="368" spans="1:16" x14ac:dyDescent="0.3">
      <c r="A368" s="5"/>
      <c r="B368" s="686"/>
      <c r="C368" s="26"/>
      <c r="D368" s="79"/>
      <c r="P368" s="331"/>
    </row>
    <row r="369" spans="1:16" x14ac:dyDescent="0.3">
      <c r="A369" s="5"/>
      <c r="B369" s="686"/>
      <c r="C369" s="26"/>
      <c r="D369" s="79"/>
      <c r="P369" s="331"/>
    </row>
    <row r="370" spans="1:16" x14ac:dyDescent="0.3">
      <c r="A370" s="5"/>
      <c r="B370" s="686"/>
      <c r="C370" s="26"/>
      <c r="D370" s="79"/>
      <c r="P370" s="331"/>
    </row>
    <row r="371" spans="1:16" x14ac:dyDescent="0.3">
      <c r="A371" s="5"/>
      <c r="B371" s="686"/>
      <c r="C371" s="26"/>
      <c r="D371" s="79"/>
      <c r="P371" s="331"/>
    </row>
    <row r="372" spans="1:16" x14ac:dyDescent="0.3">
      <c r="A372" s="5"/>
      <c r="B372" s="686"/>
      <c r="C372" s="26"/>
      <c r="D372" s="79"/>
      <c r="P372" s="331"/>
    </row>
    <row r="373" spans="1:16" x14ac:dyDescent="0.3">
      <c r="A373" s="5"/>
      <c r="B373" s="686"/>
      <c r="C373" s="26"/>
      <c r="D373" s="79"/>
      <c r="P373" s="331"/>
    </row>
    <row r="374" spans="1:16" x14ac:dyDescent="0.3">
      <c r="A374" s="5"/>
      <c r="B374" s="686"/>
      <c r="C374" s="26"/>
      <c r="D374" s="79"/>
      <c r="P374" s="331"/>
    </row>
    <row r="375" spans="1:16" x14ac:dyDescent="0.3">
      <c r="A375" s="5"/>
      <c r="B375" s="686"/>
      <c r="C375" s="26"/>
      <c r="D375" s="79"/>
      <c r="P375" s="331"/>
    </row>
    <row r="376" spans="1:16" x14ac:dyDescent="0.3">
      <c r="A376" s="5"/>
      <c r="B376" s="686"/>
      <c r="C376" s="26"/>
      <c r="D376" s="79"/>
      <c r="P376" s="331"/>
    </row>
    <row r="377" spans="1:16" x14ac:dyDescent="0.3">
      <c r="A377" s="5"/>
      <c r="B377" s="686"/>
      <c r="C377" s="26"/>
      <c r="D377" s="79"/>
      <c r="P377" s="331"/>
    </row>
    <row r="378" spans="1:16" x14ac:dyDescent="0.3">
      <c r="A378" s="5"/>
      <c r="B378" s="686"/>
      <c r="C378" s="26"/>
      <c r="D378" s="79"/>
      <c r="P378" s="331"/>
    </row>
    <row r="379" spans="1:16" x14ac:dyDescent="0.3">
      <c r="A379" s="5"/>
      <c r="B379" s="686"/>
      <c r="C379" s="26"/>
      <c r="D379" s="79"/>
      <c r="P379" s="331"/>
    </row>
    <row r="380" spans="1:16" x14ac:dyDescent="0.3">
      <c r="A380" s="5"/>
      <c r="B380" s="686"/>
      <c r="C380" s="26"/>
      <c r="D380" s="79"/>
      <c r="P380" s="331"/>
    </row>
    <row r="381" spans="1:16" x14ac:dyDescent="0.3">
      <c r="A381" s="5"/>
      <c r="B381" s="686"/>
      <c r="C381" s="26"/>
      <c r="D381" s="79"/>
      <c r="P381" s="331"/>
    </row>
    <row r="382" spans="1:16" x14ac:dyDescent="0.3">
      <c r="A382" s="5"/>
      <c r="B382" s="686"/>
      <c r="C382" s="26"/>
      <c r="D382" s="79"/>
      <c r="P382" s="331"/>
    </row>
    <row r="383" spans="1:16" x14ac:dyDescent="0.3">
      <c r="A383" s="5"/>
      <c r="B383" s="686"/>
      <c r="C383" s="26"/>
      <c r="D383" s="79"/>
      <c r="P383" s="331"/>
    </row>
    <row r="384" spans="1:16" x14ac:dyDescent="0.3">
      <c r="A384" s="5"/>
      <c r="B384" s="686"/>
      <c r="C384" s="26"/>
      <c r="D384" s="79"/>
      <c r="P384" s="331"/>
    </row>
    <row r="385" spans="1:16" x14ac:dyDescent="0.3">
      <c r="A385" s="5"/>
      <c r="B385" s="686"/>
      <c r="C385" s="26"/>
      <c r="D385" s="79"/>
      <c r="P385" s="331"/>
    </row>
    <row r="386" spans="1:16" x14ac:dyDescent="0.3">
      <c r="A386" s="5"/>
      <c r="B386" s="686"/>
      <c r="C386" s="26"/>
      <c r="D386" s="79"/>
      <c r="P386" s="331"/>
    </row>
    <row r="387" spans="1:16" x14ac:dyDescent="0.3">
      <c r="A387" s="5"/>
      <c r="B387" s="686"/>
      <c r="C387" s="26"/>
      <c r="D387" s="79"/>
      <c r="P387" s="331"/>
    </row>
    <row r="388" spans="1:16" x14ac:dyDescent="0.3">
      <c r="A388" s="5"/>
      <c r="B388" s="686"/>
      <c r="C388" s="26"/>
      <c r="D388" s="79"/>
      <c r="P388" s="331"/>
    </row>
    <row r="389" spans="1:16" x14ac:dyDescent="0.3">
      <c r="A389" s="5"/>
      <c r="B389" s="686"/>
      <c r="C389" s="26"/>
      <c r="D389" s="79"/>
      <c r="P389" s="331"/>
    </row>
    <row r="390" spans="1:16" x14ac:dyDescent="0.3">
      <c r="A390" s="5"/>
      <c r="B390" s="686"/>
      <c r="C390" s="26"/>
      <c r="D390" s="79"/>
      <c r="P390" s="331"/>
    </row>
    <row r="391" spans="1:16" x14ac:dyDescent="0.3">
      <c r="A391" s="5"/>
      <c r="B391" s="686"/>
      <c r="C391" s="26"/>
      <c r="D391" s="79"/>
      <c r="P391" s="331"/>
    </row>
    <row r="392" spans="1:16" x14ac:dyDescent="0.3">
      <c r="A392" s="5"/>
      <c r="B392" s="686"/>
      <c r="C392" s="26"/>
      <c r="D392" s="79"/>
      <c r="P392" s="331"/>
    </row>
    <row r="393" spans="1:16" x14ac:dyDescent="0.3">
      <c r="A393" s="5"/>
      <c r="B393" s="686"/>
      <c r="C393" s="26"/>
      <c r="D393" s="79"/>
      <c r="P393" s="331"/>
    </row>
    <row r="394" spans="1:16" x14ac:dyDescent="0.3">
      <c r="A394" s="5"/>
      <c r="B394" s="686"/>
      <c r="C394" s="26"/>
      <c r="D394" s="79"/>
      <c r="P394" s="331"/>
    </row>
    <row r="395" spans="1:16" x14ac:dyDescent="0.3">
      <c r="A395" s="5"/>
      <c r="B395" s="686"/>
      <c r="C395" s="26"/>
      <c r="D395" s="79"/>
      <c r="P395" s="331"/>
    </row>
    <row r="396" spans="1:16" x14ac:dyDescent="0.3">
      <c r="A396" s="5"/>
      <c r="B396" s="686"/>
      <c r="C396" s="26"/>
      <c r="D396" s="79"/>
      <c r="P396" s="331"/>
    </row>
    <row r="397" spans="1:16" x14ac:dyDescent="0.3">
      <c r="A397" s="5"/>
      <c r="B397" s="686"/>
      <c r="C397" s="26"/>
      <c r="D397" s="79"/>
      <c r="P397" s="331"/>
    </row>
    <row r="398" spans="1:16" x14ac:dyDescent="0.3">
      <c r="A398" s="5"/>
      <c r="B398" s="686"/>
      <c r="C398" s="26"/>
      <c r="D398" s="79"/>
      <c r="P398" s="331"/>
    </row>
    <row r="399" spans="1:16" x14ac:dyDescent="0.3">
      <c r="A399" s="5"/>
      <c r="B399" s="686"/>
      <c r="C399" s="26"/>
      <c r="D399" s="79"/>
      <c r="P399" s="331"/>
    </row>
    <row r="400" spans="1:16" x14ac:dyDescent="0.3">
      <c r="A400" s="5"/>
      <c r="B400" s="686"/>
      <c r="C400" s="26"/>
      <c r="D400" s="79"/>
      <c r="P400" s="331"/>
    </row>
    <row r="401" spans="1:16" x14ac:dyDescent="0.3">
      <c r="A401" s="5"/>
      <c r="B401" s="686"/>
      <c r="C401" s="26"/>
      <c r="D401" s="79"/>
      <c r="P401" s="331"/>
    </row>
    <row r="402" spans="1:16" x14ac:dyDescent="0.3">
      <c r="A402" s="5"/>
      <c r="B402" s="686"/>
      <c r="C402" s="26"/>
      <c r="D402" s="79"/>
      <c r="P402" s="331"/>
    </row>
    <row r="403" spans="1:16" x14ac:dyDescent="0.3">
      <c r="A403" s="5"/>
      <c r="B403" s="686"/>
      <c r="C403" s="26"/>
      <c r="D403" s="79"/>
      <c r="P403" s="331"/>
    </row>
    <row r="404" spans="1:16" x14ac:dyDescent="0.3">
      <c r="A404" s="5"/>
      <c r="B404" s="686"/>
      <c r="C404" s="26"/>
      <c r="D404" s="79"/>
      <c r="P404" s="331"/>
    </row>
    <row r="405" spans="1:16" x14ac:dyDescent="0.3">
      <c r="A405" s="5"/>
      <c r="B405" s="686"/>
      <c r="C405" s="26"/>
      <c r="D405" s="79"/>
      <c r="P405" s="331"/>
    </row>
    <row r="406" spans="1:16" x14ac:dyDescent="0.3">
      <c r="A406" s="5"/>
      <c r="B406" s="686"/>
      <c r="C406" s="26"/>
      <c r="D406" s="79"/>
      <c r="P406" s="331"/>
    </row>
    <row r="407" spans="1:16" x14ac:dyDescent="0.3">
      <c r="A407" s="5"/>
      <c r="B407" s="686"/>
      <c r="C407" s="26"/>
      <c r="D407" s="79"/>
      <c r="P407" s="331"/>
    </row>
    <row r="408" spans="1:16" x14ac:dyDescent="0.3">
      <c r="A408" s="5"/>
      <c r="B408" s="686"/>
      <c r="C408" s="26"/>
      <c r="D408" s="79"/>
      <c r="P408" s="331"/>
    </row>
    <row r="409" spans="1:16" x14ac:dyDescent="0.3">
      <c r="A409" s="5"/>
      <c r="B409" s="686"/>
      <c r="C409" s="26"/>
      <c r="D409" s="79"/>
      <c r="P409" s="331"/>
    </row>
    <row r="410" spans="1:16" x14ac:dyDescent="0.3">
      <c r="A410" s="5"/>
      <c r="B410" s="686"/>
      <c r="C410" s="26"/>
      <c r="D410" s="79"/>
      <c r="P410" s="331"/>
    </row>
    <row r="411" spans="1:16" x14ac:dyDescent="0.3">
      <c r="A411" s="5"/>
      <c r="B411" s="686"/>
      <c r="C411" s="26"/>
      <c r="D411" s="79"/>
      <c r="P411" s="331"/>
    </row>
    <row r="412" spans="1:16" x14ac:dyDescent="0.3">
      <c r="A412" s="5"/>
      <c r="B412" s="686"/>
      <c r="C412" s="26"/>
      <c r="D412" s="79"/>
      <c r="P412" s="331"/>
    </row>
    <row r="413" spans="1:16" x14ac:dyDescent="0.3">
      <c r="A413" s="5"/>
      <c r="B413" s="686"/>
      <c r="C413" s="26"/>
      <c r="D413" s="79"/>
      <c r="P413" s="331"/>
    </row>
    <row r="414" spans="1:16" x14ac:dyDescent="0.3">
      <c r="A414" s="5"/>
      <c r="B414" s="686"/>
      <c r="C414" s="26"/>
      <c r="D414" s="79"/>
      <c r="P414" s="331"/>
    </row>
    <row r="415" spans="1:16" x14ac:dyDescent="0.3">
      <c r="A415" s="5"/>
      <c r="B415" s="686"/>
      <c r="C415" s="26"/>
      <c r="D415" s="79"/>
      <c r="P415" s="331"/>
    </row>
    <row r="416" spans="1:16" x14ac:dyDescent="0.3">
      <c r="A416" s="5"/>
      <c r="B416" s="686"/>
      <c r="C416" s="26"/>
      <c r="D416" s="79"/>
      <c r="P416" s="331"/>
    </row>
    <row r="417" spans="1:16" x14ac:dyDescent="0.3">
      <c r="A417" s="5"/>
      <c r="B417" s="686"/>
      <c r="C417" s="26"/>
      <c r="D417" s="79"/>
      <c r="P417" s="331"/>
    </row>
    <row r="418" spans="1:16" x14ac:dyDescent="0.3">
      <c r="A418" s="5"/>
      <c r="B418" s="686"/>
      <c r="C418" s="26"/>
      <c r="D418" s="79"/>
      <c r="P418" s="331"/>
    </row>
    <row r="419" spans="1:16" x14ac:dyDescent="0.3">
      <c r="A419" s="5"/>
      <c r="B419" s="686"/>
      <c r="C419" s="26"/>
      <c r="D419" s="79"/>
      <c r="P419" s="331"/>
    </row>
    <row r="420" spans="1:16" x14ac:dyDescent="0.3">
      <c r="A420" s="5"/>
      <c r="B420" s="686"/>
      <c r="C420" s="26"/>
      <c r="D420" s="79"/>
      <c r="P420" s="331"/>
    </row>
    <row r="421" spans="1:16" x14ac:dyDescent="0.3">
      <c r="A421" s="5"/>
      <c r="B421" s="686"/>
      <c r="C421" s="26"/>
      <c r="D421" s="79"/>
      <c r="P421" s="331"/>
    </row>
    <row r="422" spans="1:16" x14ac:dyDescent="0.3">
      <c r="A422" s="5"/>
      <c r="B422" s="686"/>
      <c r="C422" s="26"/>
      <c r="D422" s="79"/>
      <c r="P422" s="331"/>
    </row>
    <row r="423" spans="1:16" x14ac:dyDescent="0.3">
      <c r="A423" s="5"/>
      <c r="B423" s="686"/>
      <c r="C423" s="26"/>
      <c r="D423" s="79"/>
      <c r="P423" s="331"/>
    </row>
    <row r="424" spans="1:16" x14ac:dyDescent="0.3">
      <c r="A424" s="5"/>
      <c r="B424" s="686"/>
      <c r="C424" s="26"/>
      <c r="D424" s="79"/>
      <c r="P424" s="331"/>
    </row>
    <row r="425" spans="1:16" x14ac:dyDescent="0.3">
      <c r="A425" s="5"/>
      <c r="B425" s="686"/>
      <c r="C425" s="26"/>
      <c r="D425" s="79"/>
      <c r="P425" s="331"/>
    </row>
    <row r="426" spans="1:16" x14ac:dyDescent="0.3">
      <c r="A426" s="5"/>
      <c r="B426" s="686"/>
      <c r="C426" s="26"/>
      <c r="D426" s="79"/>
      <c r="P426" s="331"/>
    </row>
    <row r="427" spans="1:16" x14ac:dyDescent="0.3">
      <c r="A427" s="5"/>
      <c r="B427" s="686"/>
      <c r="C427" s="26"/>
      <c r="D427" s="79"/>
      <c r="P427" s="331"/>
    </row>
    <row r="428" spans="1:16" x14ac:dyDescent="0.3">
      <c r="A428" s="5"/>
      <c r="B428" s="686"/>
      <c r="C428" s="26"/>
      <c r="D428" s="79"/>
      <c r="P428" s="331"/>
    </row>
    <row r="429" spans="1:16" x14ac:dyDescent="0.3">
      <c r="A429" s="5"/>
      <c r="B429" s="686"/>
      <c r="C429" s="26"/>
      <c r="D429" s="79"/>
    </row>
    <row r="430" spans="1:16" x14ac:dyDescent="0.3">
      <c r="A430" s="5"/>
      <c r="B430" s="686"/>
      <c r="C430" s="26"/>
      <c r="D430" s="79"/>
      <c r="P430" s="331"/>
    </row>
    <row r="431" spans="1:16" x14ac:dyDescent="0.3">
      <c r="A431" s="5"/>
      <c r="B431" s="686"/>
      <c r="C431" s="26"/>
      <c r="D431" s="79"/>
    </row>
    <row r="432" spans="1:16" x14ac:dyDescent="0.3">
      <c r="A432" s="5"/>
      <c r="B432" s="686"/>
      <c r="C432" s="26"/>
      <c r="D432" s="79"/>
    </row>
    <row r="433" spans="1:4" x14ac:dyDescent="0.3">
      <c r="A433" s="5"/>
      <c r="B433" s="686"/>
      <c r="C433" s="26"/>
      <c r="D433" s="79"/>
    </row>
    <row r="434" spans="1:4" x14ac:dyDescent="0.3">
      <c r="A434" s="5"/>
      <c r="B434" s="686"/>
      <c r="C434" s="26"/>
      <c r="D434" s="79"/>
    </row>
    <row r="435" spans="1:4" x14ac:dyDescent="0.3">
      <c r="A435" s="5"/>
      <c r="B435" s="686"/>
      <c r="C435" s="26"/>
      <c r="D435" s="79"/>
    </row>
    <row r="436" spans="1:4" x14ac:dyDescent="0.3">
      <c r="A436" s="5"/>
      <c r="B436" s="686"/>
      <c r="C436" s="26"/>
      <c r="D436" s="79"/>
    </row>
    <row r="437" spans="1:4" x14ac:dyDescent="0.3">
      <c r="A437" s="5"/>
      <c r="B437" s="686"/>
      <c r="C437" s="26"/>
      <c r="D437" s="79"/>
    </row>
    <row r="438" spans="1:4" x14ac:dyDescent="0.3">
      <c r="A438" s="5"/>
      <c r="B438" s="686"/>
      <c r="C438" s="26"/>
      <c r="D438" s="79"/>
    </row>
    <row r="439" spans="1:4" x14ac:dyDescent="0.3">
      <c r="A439" s="5"/>
      <c r="B439" s="686"/>
      <c r="C439" s="26"/>
      <c r="D439" s="79"/>
    </row>
    <row r="440" spans="1:4" x14ac:dyDescent="0.3">
      <c r="A440" s="5"/>
      <c r="B440" s="686"/>
      <c r="C440" s="26"/>
      <c r="D440" s="79"/>
    </row>
    <row r="441" spans="1:4" x14ac:dyDescent="0.3">
      <c r="A441" s="5"/>
      <c r="B441" s="686"/>
      <c r="C441" s="26"/>
      <c r="D441" s="79"/>
    </row>
    <row r="442" spans="1:4" x14ac:dyDescent="0.3">
      <c r="A442" s="5"/>
      <c r="B442" s="686"/>
      <c r="C442" s="26"/>
      <c r="D442" s="79"/>
    </row>
    <row r="443" spans="1:4" x14ac:dyDescent="0.3">
      <c r="D443" s="79"/>
    </row>
    <row r="444" spans="1:4" x14ac:dyDescent="0.3">
      <c r="D444" s="79"/>
    </row>
    <row r="445" spans="1:4" x14ac:dyDescent="0.3">
      <c r="D445" s="79"/>
    </row>
    <row r="446" spans="1:4" x14ac:dyDescent="0.3">
      <c r="D446" s="79"/>
    </row>
    <row r="447" spans="1:4" x14ac:dyDescent="0.3">
      <c r="D447" s="79"/>
    </row>
    <row r="448" spans="1:4" x14ac:dyDescent="0.3">
      <c r="D448" s="79"/>
    </row>
    <row r="449" spans="4:4" x14ac:dyDescent="0.3">
      <c r="D449" s="79"/>
    </row>
    <row r="450" spans="4:4" x14ac:dyDescent="0.3">
      <c r="D450" s="79"/>
    </row>
    <row r="451" spans="4:4" x14ac:dyDescent="0.3">
      <c r="D451" s="79"/>
    </row>
    <row r="452" spans="4:4" x14ac:dyDescent="0.3">
      <c r="D452" s="79"/>
    </row>
    <row r="453" spans="4:4" x14ac:dyDescent="0.3">
      <c r="D453" s="79"/>
    </row>
    <row r="454" spans="4:4" x14ac:dyDescent="0.3">
      <c r="D454" s="79"/>
    </row>
    <row r="455" spans="4:4" x14ac:dyDescent="0.3">
      <c r="D455" s="79"/>
    </row>
    <row r="456" spans="4:4" x14ac:dyDescent="0.3">
      <c r="D456" s="79"/>
    </row>
    <row r="457" spans="4:4" x14ac:dyDescent="0.3">
      <c r="D457" s="79"/>
    </row>
    <row r="458" spans="4:4" x14ac:dyDescent="0.3">
      <c r="D458" s="79"/>
    </row>
    <row r="459" spans="4:4" x14ac:dyDescent="0.3">
      <c r="D459" s="79"/>
    </row>
    <row r="460" spans="4:4" x14ac:dyDescent="0.3">
      <c r="D460" s="79"/>
    </row>
    <row r="461" spans="4:4" x14ac:dyDescent="0.3">
      <c r="D461" s="79"/>
    </row>
    <row r="462" spans="4:4" x14ac:dyDescent="0.3">
      <c r="D462" s="79"/>
    </row>
    <row r="463" spans="4:4" x14ac:dyDescent="0.3">
      <c r="D463" s="79"/>
    </row>
    <row r="464" spans="4:4" x14ac:dyDescent="0.3">
      <c r="D464" s="79"/>
    </row>
    <row r="465" spans="4:4" x14ac:dyDescent="0.3">
      <c r="D465" s="79"/>
    </row>
    <row r="466" spans="4:4" x14ac:dyDescent="0.3">
      <c r="D466" s="79"/>
    </row>
    <row r="467" spans="4:4" x14ac:dyDescent="0.3">
      <c r="D467" s="79"/>
    </row>
    <row r="468" spans="4:4" x14ac:dyDescent="0.3">
      <c r="D468" s="79"/>
    </row>
    <row r="469" spans="4:4" x14ac:dyDescent="0.3">
      <c r="D469" s="79"/>
    </row>
    <row r="470" spans="4:4" x14ac:dyDescent="0.3">
      <c r="D470" s="79"/>
    </row>
    <row r="471" spans="4:4" x14ac:dyDescent="0.3">
      <c r="D471" s="79"/>
    </row>
    <row r="472" spans="4:4" x14ac:dyDescent="0.3">
      <c r="D472" s="79"/>
    </row>
    <row r="473" spans="4:4" x14ac:dyDescent="0.3">
      <c r="D473" s="79"/>
    </row>
    <row r="474" spans="4:4" x14ac:dyDescent="0.3">
      <c r="D474" s="79"/>
    </row>
    <row r="475" spans="4:4" x14ac:dyDescent="0.3">
      <c r="D475" s="79"/>
    </row>
    <row r="476" spans="4:4" x14ac:dyDescent="0.3">
      <c r="D476" s="79"/>
    </row>
    <row r="477" spans="4:4" x14ac:dyDescent="0.3">
      <c r="D477" s="79"/>
    </row>
    <row r="478" spans="4:4" x14ac:dyDescent="0.3">
      <c r="D478" s="79"/>
    </row>
    <row r="479" spans="4:4" x14ac:dyDescent="0.3">
      <c r="D479" s="79"/>
    </row>
    <row r="480" spans="4:4" x14ac:dyDescent="0.3">
      <c r="D480" s="79"/>
    </row>
    <row r="481" spans="4:4" x14ac:dyDescent="0.3">
      <c r="D481" s="79"/>
    </row>
    <row r="482" spans="4:4" x14ac:dyDescent="0.3">
      <c r="D482" s="79"/>
    </row>
    <row r="483" spans="4:4" x14ac:dyDescent="0.3">
      <c r="D483" s="79"/>
    </row>
    <row r="484" spans="4:4" x14ac:dyDescent="0.3">
      <c r="D484" s="79"/>
    </row>
    <row r="485" spans="4:4" x14ac:dyDescent="0.3">
      <c r="D485" s="79"/>
    </row>
    <row r="486" spans="4:4" x14ac:dyDescent="0.3">
      <c r="D486" s="79"/>
    </row>
    <row r="487" spans="4:4" x14ac:dyDescent="0.3">
      <c r="D487" s="79"/>
    </row>
    <row r="488" spans="4:4" x14ac:dyDescent="0.3">
      <c r="D488" s="79"/>
    </row>
    <row r="489" spans="4:4" x14ac:dyDescent="0.3">
      <c r="D489" s="79"/>
    </row>
    <row r="490" spans="4:4" x14ac:dyDescent="0.3">
      <c r="D490" s="79"/>
    </row>
    <row r="491" spans="4:4" x14ac:dyDescent="0.3">
      <c r="D491" s="79"/>
    </row>
    <row r="492" spans="4:4" x14ac:dyDescent="0.3">
      <c r="D492" s="79"/>
    </row>
    <row r="493" spans="4:4" x14ac:dyDescent="0.3">
      <c r="D493" s="79"/>
    </row>
    <row r="494" spans="4:4" x14ac:dyDescent="0.3">
      <c r="D494" s="79"/>
    </row>
    <row r="495" spans="4:4" x14ac:dyDescent="0.3">
      <c r="D495" s="79"/>
    </row>
    <row r="496" spans="4:4" x14ac:dyDescent="0.3">
      <c r="D496" s="79"/>
    </row>
    <row r="497" spans="4:4" x14ac:dyDescent="0.3">
      <c r="D497" s="79"/>
    </row>
    <row r="498" spans="4:4" x14ac:dyDescent="0.3">
      <c r="D498" s="79"/>
    </row>
    <row r="499" spans="4:4" x14ac:dyDescent="0.3">
      <c r="D499" s="79"/>
    </row>
    <row r="500" spans="4:4" x14ac:dyDescent="0.3">
      <c r="D500" s="79"/>
    </row>
    <row r="501" spans="4:4" x14ac:dyDescent="0.3">
      <c r="D501" s="79"/>
    </row>
    <row r="502" spans="4:4" x14ac:dyDescent="0.3">
      <c r="D502" s="79"/>
    </row>
    <row r="503" spans="4:4" x14ac:dyDescent="0.3">
      <c r="D503" s="79"/>
    </row>
    <row r="504" spans="4:4" x14ac:dyDescent="0.3">
      <c r="D504" s="79"/>
    </row>
    <row r="505" spans="4:4" x14ac:dyDescent="0.3">
      <c r="D505" s="79"/>
    </row>
    <row r="506" spans="4:4" x14ac:dyDescent="0.3">
      <c r="D506" s="79"/>
    </row>
    <row r="507" spans="4:4" x14ac:dyDescent="0.3">
      <c r="D507" s="79"/>
    </row>
    <row r="508" spans="4:4" x14ac:dyDescent="0.3">
      <c r="D508" s="79"/>
    </row>
    <row r="509" spans="4:4" x14ac:dyDescent="0.3">
      <c r="D509" s="79"/>
    </row>
    <row r="510" spans="4:4" x14ac:dyDescent="0.3">
      <c r="D510" s="79"/>
    </row>
    <row r="511" spans="4:4" x14ac:dyDescent="0.3">
      <c r="D511" s="79"/>
    </row>
    <row r="512" spans="4:4" x14ac:dyDescent="0.3">
      <c r="D512" s="79"/>
    </row>
    <row r="513" spans="4:4" x14ac:dyDescent="0.3">
      <c r="D513" s="79"/>
    </row>
    <row r="514" spans="4:4" x14ac:dyDescent="0.3">
      <c r="D514" s="79"/>
    </row>
    <row r="515" spans="4:4" x14ac:dyDescent="0.3">
      <c r="D515" s="79"/>
    </row>
    <row r="516" spans="4:4" x14ac:dyDescent="0.3">
      <c r="D516" s="79"/>
    </row>
    <row r="517" spans="4:4" x14ac:dyDescent="0.3">
      <c r="D517" s="79"/>
    </row>
    <row r="518" spans="4:4" x14ac:dyDescent="0.3">
      <c r="D518" s="79"/>
    </row>
    <row r="519" spans="4:4" x14ac:dyDescent="0.3">
      <c r="D519" s="79"/>
    </row>
    <row r="520" spans="4:4" x14ac:dyDescent="0.3">
      <c r="D520" s="79"/>
    </row>
    <row r="521" spans="4:4" x14ac:dyDescent="0.3">
      <c r="D521" s="79"/>
    </row>
    <row r="522" spans="4:4" x14ac:dyDescent="0.3">
      <c r="D522" s="79"/>
    </row>
    <row r="523" spans="4:4" x14ac:dyDescent="0.3">
      <c r="D523" s="79"/>
    </row>
    <row r="524" spans="4:4" x14ac:dyDescent="0.3">
      <c r="D524" s="79"/>
    </row>
    <row r="525" spans="4:4" x14ac:dyDescent="0.3">
      <c r="D525" s="79"/>
    </row>
    <row r="526" spans="4:4" x14ac:dyDescent="0.3">
      <c r="D526" s="79"/>
    </row>
    <row r="527" spans="4:4" x14ac:dyDescent="0.3">
      <c r="D527" s="79"/>
    </row>
    <row r="528" spans="4:4" x14ac:dyDescent="0.3">
      <c r="D528" s="79"/>
    </row>
    <row r="529" spans="4:4" x14ac:dyDescent="0.3">
      <c r="D529" s="79"/>
    </row>
    <row r="530" spans="4:4" x14ac:dyDescent="0.3">
      <c r="D530" s="79"/>
    </row>
    <row r="531" spans="4:4" x14ac:dyDescent="0.3">
      <c r="D531" s="79"/>
    </row>
    <row r="532" spans="4:4" x14ac:dyDescent="0.3">
      <c r="D532" s="79"/>
    </row>
    <row r="533" spans="4:4" x14ac:dyDescent="0.3">
      <c r="D533" s="79"/>
    </row>
    <row r="534" spans="4:4" x14ac:dyDescent="0.3">
      <c r="D534" s="79"/>
    </row>
    <row r="535" spans="4:4" x14ac:dyDescent="0.3">
      <c r="D535" s="79"/>
    </row>
    <row r="536" spans="4:4" x14ac:dyDescent="0.3">
      <c r="D536" s="79"/>
    </row>
    <row r="537" spans="4:4" x14ac:dyDescent="0.3">
      <c r="D537" s="79"/>
    </row>
    <row r="538" spans="4:4" x14ac:dyDescent="0.3">
      <c r="D538" s="79"/>
    </row>
    <row r="539" spans="4:4" x14ac:dyDescent="0.3">
      <c r="D539" s="79"/>
    </row>
    <row r="540" spans="4:4" x14ac:dyDescent="0.3">
      <c r="D540" s="79"/>
    </row>
    <row r="541" spans="4:4" x14ac:dyDescent="0.3">
      <c r="D541" s="79"/>
    </row>
    <row r="542" spans="4:4" x14ac:dyDescent="0.3">
      <c r="D542" s="79"/>
    </row>
    <row r="543" spans="4:4" x14ac:dyDescent="0.3">
      <c r="D543" s="79"/>
    </row>
    <row r="544" spans="4:4" x14ac:dyDescent="0.3">
      <c r="D544" s="79"/>
    </row>
    <row r="545" spans="4:4" x14ac:dyDescent="0.3">
      <c r="D545" s="79"/>
    </row>
    <row r="546" spans="4:4" x14ac:dyDescent="0.3">
      <c r="D546" s="79"/>
    </row>
    <row r="547" spans="4:4" x14ac:dyDescent="0.3">
      <c r="D547" s="79"/>
    </row>
    <row r="548" spans="4:4" x14ac:dyDescent="0.3">
      <c r="D548" s="79"/>
    </row>
    <row r="549" spans="4:4" x14ac:dyDescent="0.3">
      <c r="D549" s="79"/>
    </row>
    <row r="550" spans="4:4" x14ac:dyDescent="0.3">
      <c r="D550" s="79"/>
    </row>
    <row r="551" spans="4:4" x14ac:dyDescent="0.3">
      <c r="D551" s="79"/>
    </row>
    <row r="552" spans="4:4" x14ac:dyDescent="0.3">
      <c r="D552" s="79"/>
    </row>
    <row r="553" spans="4:4" x14ac:dyDescent="0.3">
      <c r="D553" s="79"/>
    </row>
    <row r="554" spans="4:4" x14ac:dyDescent="0.3">
      <c r="D554" s="79"/>
    </row>
    <row r="555" spans="4:4" x14ac:dyDescent="0.3">
      <c r="D555" s="79"/>
    </row>
    <row r="556" spans="4:4" x14ac:dyDescent="0.3">
      <c r="D556" s="79"/>
    </row>
    <row r="557" spans="4:4" x14ac:dyDescent="0.3">
      <c r="D557" s="79"/>
    </row>
    <row r="558" spans="4:4" x14ac:dyDescent="0.3">
      <c r="D558" s="79"/>
    </row>
    <row r="559" spans="4:4" x14ac:dyDescent="0.3">
      <c r="D559" s="79"/>
    </row>
    <row r="560" spans="4:4" x14ac:dyDescent="0.3">
      <c r="D560" s="79"/>
    </row>
    <row r="561" spans="4:4" x14ac:dyDescent="0.3">
      <c r="D561" s="79"/>
    </row>
    <row r="562" spans="4:4" x14ac:dyDescent="0.3">
      <c r="D562" s="79"/>
    </row>
    <row r="563" spans="4:4" x14ac:dyDescent="0.3">
      <c r="D563" s="79"/>
    </row>
    <row r="564" spans="4:4" x14ac:dyDescent="0.3">
      <c r="D564" s="79"/>
    </row>
    <row r="565" spans="4:4" x14ac:dyDescent="0.3">
      <c r="D565" s="79"/>
    </row>
    <row r="566" spans="4:4" x14ac:dyDescent="0.3">
      <c r="D566" s="79"/>
    </row>
    <row r="567" spans="4:4" x14ac:dyDescent="0.3">
      <c r="D567" s="79"/>
    </row>
    <row r="568" spans="4:4" x14ac:dyDescent="0.3">
      <c r="D568" s="79"/>
    </row>
    <row r="569" spans="4:4" x14ac:dyDescent="0.3">
      <c r="D569" s="79"/>
    </row>
    <row r="570" spans="4:4" x14ac:dyDescent="0.3">
      <c r="D570" s="79"/>
    </row>
    <row r="571" spans="4:4" x14ac:dyDescent="0.3">
      <c r="D571" s="79"/>
    </row>
    <row r="572" spans="4:4" x14ac:dyDescent="0.3">
      <c r="D572" s="79"/>
    </row>
    <row r="573" spans="4:4" x14ac:dyDescent="0.3">
      <c r="D573" s="79"/>
    </row>
    <row r="574" spans="4:4" x14ac:dyDescent="0.3">
      <c r="D574" s="79"/>
    </row>
    <row r="575" spans="4:4" x14ac:dyDescent="0.3">
      <c r="D575" s="79"/>
    </row>
    <row r="576" spans="4:4" x14ac:dyDescent="0.3">
      <c r="D576" s="79"/>
    </row>
    <row r="577" spans="4:4" x14ac:dyDescent="0.3">
      <c r="D577" s="79"/>
    </row>
    <row r="578" spans="4:4" x14ac:dyDescent="0.3">
      <c r="D578" s="79"/>
    </row>
    <row r="579" spans="4:4" x14ac:dyDescent="0.3">
      <c r="D579" s="79"/>
    </row>
    <row r="580" spans="4:4" x14ac:dyDescent="0.3">
      <c r="D580" s="79"/>
    </row>
    <row r="581" spans="4:4" x14ac:dyDescent="0.3">
      <c r="D581" s="79"/>
    </row>
    <row r="582" spans="4:4" x14ac:dyDescent="0.3">
      <c r="D582" s="79"/>
    </row>
    <row r="583" spans="4:4" x14ac:dyDescent="0.3">
      <c r="D583" s="79"/>
    </row>
    <row r="584" spans="4:4" x14ac:dyDescent="0.3">
      <c r="D584" s="79"/>
    </row>
    <row r="585" spans="4:4" x14ac:dyDescent="0.3">
      <c r="D585" s="79"/>
    </row>
    <row r="586" spans="4:4" x14ac:dyDescent="0.3">
      <c r="D586" s="79"/>
    </row>
    <row r="587" spans="4:4" x14ac:dyDescent="0.3">
      <c r="D587" s="79"/>
    </row>
    <row r="588" spans="4:4" x14ac:dyDescent="0.3">
      <c r="D588" s="79"/>
    </row>
    <row r="589" spans="4:4" x14ac:dyDescent="0.3">
      <c r="D589" s="79"/>
    </row>
    <row r="590" spans="4:4" x14ac:dyDescent="0.3">
      <c r="D590" s="79"/>
    </row>
    <row r="591" spans="4:4" x14ac:dyDescent="0.3">
      <c r="D591" s="79"/>
    </row>
    <row r="592" spans="4:4" x14ac:dyDescent="0.3">
      <c r="D592" s="79"/>
    </row>
    <row r="593" spans="4:4" x14ac:dyDescent="0.3">
      <c r="D593" s="79"/>
    </row>
    <row r="594" spans="4:4" x14ac:dyDescent="0.3">
      <c r="D594" s="79"/>
    </row>
    <row r="595" spans="4:4" x14ac:dyDescent="0.3">
      <c r="D595" s="79"/>
    </row>
    <row r="596" spans="4:4" x14ac:dyDescent="0.3">
      <c r="D596" s="79"/>
    </row>
    <row r="597" spans="4:4" x14ac:dyDescent="0.3">
      <c r="D597" s="79"/>
    </row>
    <row r="598" spans="4:4" x14ac:dyDescent="0.3">
      <c r="D598" s="79"/>
    </row>
    <row r="599" spans="4:4" x14ac:dyDescent="0.3">
      <c r="D599" s="79"/>
    </row>
    <row r="600" spans="4:4" x14ac:dyDescent="0.3">
      <c r="D600" s="79"/>
    </row>
    <row r="601" spans="4:4" x14ac:dyDescent="0.3">
      <c r="D601" s="79"/>
    </row>
    <row r="602" spans="4:4" x14ac:dyDescent="0.3">
      <c r="D602" s="79"/>
    </row>
    <row r="603" spans="4:4" x14ac:dyDescent="0.3">
      <c r="D603" s="79"/>
    </row>
    <row r="604" spans="4:4" x14ac:dyDescent="0.3">
      <c r="D604" s="79"/>
    </row>
    <row r="605" spans="4:4" x14ac:dyDescent="0.3">
      <c r="D605" s="79"/>
    </row>
    <row r="606" spans="4:4" x14ac:dyDescent="0.3">
      <c r="D606" s="79"/>
    </row>
    <row r="607" spans="4:4" x14ac:dyDescent="0.3">
      <c r="D607" s="79"/>
    </row>
    <row r="608" spans="4:4" x14ac:dyDescent="0.3">
      <c r="D608" s="79"/>
    </row>
    <row r="609" spans="4:4" x14ac:dyDescent="0.3">
      <c r="D609" s="79"/>
    </row>
    <row r="610" spans="4:4" x14ac:dyDescent="0.3">
      <c r="D610" s="79"/>
    </row>
    <row r="611" spans="4:4" x14ac:dyDescent="0.3">
      <c r="D611" s="79"/>
    </row>
    <row r="612" spans="4:4" x14ac:dyDescent="0.3">
      <c r="D612" s="79"/>
    </row>
    <row r="613" spans="4:4" x14ac:dyDescent="0.3">
      <c r="D613" s="79"/>
    </row>
    <row r="614" spans="4:4" x14ac:dyDescent="0.3">
      <c r="D614" s="79"/>
    </row>
    <row r="615" spans="4:4" x14ac:dyDescent="0.3">
      <c r="D615" s="79"/>
    </row>
    <row r="616" spans="4:4" x14ac:dyDescent="0.3">
      <c r="D616" s="79"/>
    </row>
    <row r="617" spans="4:4" x14ac:dyDescent="0.3">
      <c r="D617" s="79"/>
    </row>
    <row r="618" spans="4:4" x14ac:dyDescent="0.3">
      <c r="D618" s="79"/>
    </row>
    <row r="619" spans="4:4" x14ac:dyDescent="0.3">
      <c r="D619" s="79"/>
    </row>
    <row r="620" spans="4:4" x14ac:dyDescent="0.3">
      <c r="D620" s="79"/>
    </row>
    <row r="621" spans="4:4" x14ac:dyDescent="0.3">
      <c r="D621" s="79"/>
    </row>
    <row r="622" spans="4:4" x14ac:dyDescent="0.3">
      <c r="D622" s="79"/>
    </row>
    <row r="623" spans="4:4" x14ac:dyDescent="0.3">
      <c r="D623" s="79"/>
    </row>
    <row r="624" spans="4:4" x14ac:dyDescent="0.3">
      <c r="D624" s="79"/>
    </row>
    <row r="625" spans="4:4" x14ac:dyDescent="0.3">
      <c r="D625" s="79"/>
    </row>
    <row r="626" spans="4:4" x14ac:dyDescent="0.3">
      <c r="D626" s="79"/>
    </row>
    <row r="627" spans="4:4" x14ac:dyDescent="0.3">
      <c r="D627" s="79"/>
    </row>
    <row r="628" spans="4:4" x14ac:dyDescent="0.3">
      <c r="D628" s="79"/>
    </row>
    <row r="629" spans="4:4" x14ac:dyDescent="0.3">
      <c r="D629" s="79"/>
    </row>
    <row r="630" spans="4:4" x14ac:dyDescent="0.3">
      <c r="D630" s="79"/>
    </row>
    <row r="631" spans="4:4" x14ac:dyDescent="0.3">
      <c r="D631" s="79"/>
    </row>
    <row r="632" spans="4:4" x14ac:dyDescent="0.3">
      <c r="D632" s="79"/>
    </row>
    <row r="633" spans="4:4" x14ac:dyDescent="0.3">
      <c r="D633" s="79"/>
    </row>
    <row r="634" spans="4:4" x14ac:dyDescent="0.3">
      <c r="D634" s="79"/>
    </row>
    <row r="635" spans="4:4" x14ac:dyDescent="0.3">
      <c r="D635" s="79"/>
    </row>
    <row r="636" spans="4:4" x14ac:dyDescent="0.3">
      <c r="D636" s="79"/>
    </row>
    <row r="637" spans="4:4" x14ac:dyDescent="0.3">
      <c r="D637" s="79"/>
    </row>
    <row r="638" spans="4:4" x14ac:dyDescent="0.3">
      <c r="D638" s="79"/>
    </row>
    <row r="639" spans="4:4" x14ac:dyDescent="0.3">
      <c r="D639" s="79"/>
    </row>
    <row r="640" spans="4:4" x14ac:dyDescent="0.3">
      <c r="D640" s="79"/>
    </row>
    <row r="641" spans="4:4" x14ac:dyDescent="0.3">
      <c r="D641" s="79"/>
    </row>
    <row r="642" spans="4:4" x14ac:dyDescent="0.3">
      <c r="D642" s="79"/>
    </row>
    <row r="643" spans="4:4" x14ac:dyDescent="0.3">
      <c r="D643" s="79"/>
    </row>
    <row r="644" spans="4:4" x14ac:dyDescent="0.3">
      <c r="D644" s="79"/>
    </row>
    <row r="645" spans="4:4" x14ac:dyDescent="0.3">
      <c r="D645" s="79"/>
    </row>
    <row r="646" spans="4:4" x14ac:dyDescent="0.3">
      <c r="D646" s="79"/>
    </row>
    <row r="647" spans="4:4" x14ac:dyDescent="0.3">
      <c r="D647" s="79"/>
    </row>
    <row r="648" spans="4:4" x14ac:dyDescent="0.3">
      <c r="D648" s="79"/>
    </row>
    <row r="649" spans="4:4" x14ac:dyDescent="0.3">
      <c r="D649" s="79"/>
    </row>
    <row r="650" spans="4:4" x14ac:dyDescent="0.3">
      <c r="D650" s="79"/>
    </row>
    <row r="651" spans="4:4" x14ac:dyDescent="0.3">
      <c r="D651" s="79"/>
    </row>
    <row r="652" spans="4:4" x14ac:dyDescent="0.3">
      <c r="D652" s="79"/>
    </row>
    <row r="653" spans="4:4" x14ac:dyDescent="0.3">
      <c r="D653" s="79"/>
    </row>
    <row r="654" spans="4:4" x14ac:dyDescent="0.3">
      <c r="D654" s="79"/>
    </row>
    <row r="655" spans="4:4" x14ac:dyDescent="0.3">
      <c r="D655" s="79"/>
    </row>
    <row r="656" spans="4:4" x14ac:dyDescent="0.3">
      <c r="D656" s="79"/>
    </row>
    <row r="657" spans="4:4" x14ac:dyDescent="0.3">
      <c r="D657" s="79"/>
    </row>
    <row r="658" spans="4:4" x14ac:dyDescent="0.3">
      <c r="D658" s="79"/>
    </row>
    <row r="659" spans="4:4" x14ac:dyDescent="0.3">
      <c r="D659" s="79"/>
    </row>
    <row r="660" spans="4:4" x14ac:dyDescent="0.3">
      <c r="D660" s="79"/>
    </row>
    <row r="661" spans="4:4" x14ac:dyDescent="0.3">
      <c r="D661" s="79"/>
    </row>
    <row r="662" spans="4:4" x14ac:dyDescent="0.3">
      <c r="D662" s="79"/>
    </row>
    <row r="663" spans="4:4" x14ac:dyDescent="0.3">
      <c r="D663" s="79"/>
    </row>
    <row r="664" spans="4:4" x14ac:dyDescent="0.3">
      <c r="D664" s="79"/>
    </row>
    <row r="665" spans="4:4" x14ac:dyDescent="0.3">
      <c r="D665" s="79"/>
    </row>
    <row r="666" spans="4:4" x14ac:dyDescent="0.3">
      <c r="D666" s="79"/>
    </row>
    <row r="667" spans="4:4" x14ac:dyDescent="0.3">
      <c r="D667" s="79"/>
    </row>
    <row r="668" spans="4:4" x14ac:dyDescent="0.3">
      <c r="D668" s="79"/>
    </row>
    <row r="669" spans="4:4" x14ac:dyDescent="0.3">
      <c r="D669" s="79"/>
    </row>
    <row r="670" spans="4:4" x14ac:dyDescent="0.3">
      <c r="D670" s="79"/>
    </row>
    <row r="671" spans="4:4" x14ac:dyDescent="0.3">
      <c r="D671" s="79"/>
    </row>
    <row r="672" spans="4:4" x14ac:dyDescent="0.3">
      <c r="D672" s="79"/>
    </row>
    <row r="673" spans="4:4" x14ac:dyDescent="0.3">
      <c r="D673" s="79"/>
    </row>
    <row r="674" spans="4:4" x14ac:dyDescent="0.3">
      <c r="D674" s="79"/>
    </row>
    <row r="675" spans="4:4" x14ac:dyDescent="0.3">
      <c r="D675" s="79"/>
    </row>
    <row r="676" spans="4:4" x14ac:dyDescent="0.3">
      <c r="D676" s="79"/>
    </row>
    <row r="677" spans="4:4" x14ac:dyDescent="0.3">
      <c r="D677" s="79"/>
    </row>
    <row r="678" spans="4:4" x14ac:dyDescent="0.3">
      <c r="D678" s="79"/>
    </row>
    <row r="679" spans="4:4" x14ac:dyDescent="0.3">
      <c r="D679" s="79"/>
    </row>
    <row r="680" spans="4:4" x14ac:dyDescent="0.3">
      <c r="D680" s="79"/>
    </row>
    <row r="681" spans="4:4" x14ac:dyDescent="0.3">
      <c r="D681" s="79"/>
    </row>
    <row r="682" spans="4:4" x14ac:dyDescent="0.3">
      <c r="D682" s="79"/>
    </row>
    <row r="683" spans="4:4" x14ac:dyDescent="0.3">
      <c r="D683" s="79"/>
    </row>
    <row r="684" spans="4:4" x14ac:dyDescent="0.3">
      <c r="D684" s="79"/>
    </row>
    <row r="685" spans="4:4" x14ac:dyDescent="0.3">
      <c r="D685" s="79"/>
    </row>
    <row r="686" spans="4:4" x14ac:dyDescent="0.3">
      <c r="D686" s="79"/>
    </row>
    <row r="687" spans="4:4" x14ac:dyDescent="0.3">
      <c r="D687" s="79"/>
    </row>
    <row r="688" spans="4:4" x14ac:dyDescent="0.3">
      <c r="D688" s="79"/>
    </row>
    <row r="689" spans="4:4" x14ac:dyDescent="0.3">
      <c r="D689" s="79"/>
    </row>
    <row r="690" spans="4:4" x14ac:dyDescent="0.3">
      <c r="D690" s="79"/>
    </row>
    <row r="691" spans="4:4" x14ac:dyDescent="0.3">
      <c r="D691" s="79"/>
    </row>
    <row r="692" spans="4:4" x14ac:dyDescent="0.3">
      <c r="D692" s="79"/>
    </row>
    <row r="693" spans="4:4" x14ac:dyDescent="0.3">
      <c r="D693" s="79"/>
    </row>
    <row r="694" spans="4:4" x14ac:dyDescent="0.3">
      <c r="D694" s="79"/>
    </row>
    <row r="695" spans="4:4" x14ac:dyDescent="0.3">
      <c r="D695" s="79"/>
    </row>
    <row r="696" spans="4:4" x14ac:dyDescent="0.3">
      <c r="D696" s="79"/>
    </row>
    <row r="697" spans="4:4" x14ac:dyDescent="0.3">
      <c r="D697" s="79"/>
    </row>
    <row r="698" spans="4:4" x14ac:dyDescent="0.3">
      <c r="D698" s="79"/>
    </row>
    <row r="699" spans="4:4" x14ac:dyDescent="0.3">
      <c r="D699" s="79"/>
    </row>
    <row r="700" spans="4:4" x14ac:dyDescent="0.3">
      <c r="D700" s="79"/>
    </row>
    <row r="701" spans="4:4" x14ac:dyDescent="0.3">
      <c r="D701" s="79"/>
    </row>
    <row r="702" spans="4:4" x14ac:dyDescent="0.3">
      <c r="D702" s="79"/>
    </row>
    <row r="703" spans="4:4" x14ac:dyDescent="0.3">
      <c r="D703" s="79"/>
    </row>
    <row r="704" spans="4:4" x14ac:dyDescent="0.3">
      <c r="D704" s="79"/>
    </row>
    <row r="705" spans="4:4" x14ac:dyDescent="0.3">
      <c r="D705" s="79"/>
    </row>
    <row r="706" spans="4:4" x14ac:dyDescent="0.3">
      <c r="D706" s="79"/>
    </row>
    <row r="707" spans="4:4" x14ac:dyDescent="0.3">
      <c r="D707" s="79"/>
    </row>
    <row r="708" spans="4:4" x14ac:dyDescent="0.3">
      <c r="D708" s="79"/>
    </row>
    <row r="709" spans="4:4" x14ac:dyDescent="0.3">
      <c r="D709" s="79"/>
    </row>
    <row r="710" spans="4:4" x14ac:dyDescent="0.3">
      <c r="D710" s="79"/>
    </row>
    <row r="711" spans="4:4" x14ac:dyDescent="0.3">
      <c r="D711" s="79"/>
    </row>
    <row r="712" spans="4:4" x14ac:dyDescent="0.3">
      <c r="D712" s="79"/>
    </row>
    <row r="713" spans="4:4" x14ac:dyDescent="0.3">
      <c r="D713" s="79"/>
    </row>
    <row r="714" spans="4:4" x14ac:dyDescent="0.3">
      <c r="D714" s="79"/>
    </row>
    <row r="715" spans="4:4" x14ac:dyDescent="0.3">
      <c r="D715" s="79"/>
    </row>
    <row r="716" spans="4:4" x14ac:dyDescent="0.3">
      <c r="D716" s="79"/>
    </row>
    <row r="717" spans="4:4" x14ac:dyDescent="0.3">
      <c r="D717" s="79"/>
    </row>
    <row r="718" spans="4:4" x14ac:dyDescent="0.3">
      <c r="D718" s="79"/>
    </row>
    <row r="719" spans="4:4" x14ac:dyDescent="0.3">
      <c r="D719" s="79"/>
    </row>
    <row r="720" spans="4:4" x14ac:dyDescent="0.3">
      <c r="D720" s="79"/>
    </row>
    <row r="721" spans="4:4" x14ac:dyDescent="0.3">
      <c r="D721" s="79"/>
    </row>
    <row r="722" spans="4:4" x14ac:dyDescent="0.3">
      <c r="D722" s="79"/>
    </row>
    <row r="723" spans="4:4" x14ac:dyDescent="0.3">
      <c r="D723" s="79"/>
    </row>
    <row r="724" spans="4:4" x14ac:dyDescent="0.3">
      <c r="D724" s="79"/>
    </row>
    <row r="725" spans="4:4" x14ac:dyDescent="0.3">
      <c r="D725" s="79"/>
    </row>
    <row r="726" spans="4:4" x14ac:dyDescent="0.3">
      <c r="D726" s="79"/>
    </row>
    <row r="727" spans="4:4" x14ac:dyDescent="0.3">
      <c r="D727" s="79"/>
    </row>
    <row r="728" spans="4:4" x14ac:dyDescent="0.3">
      <c r="D728" s="79"/>
    </row>
    <row r="729" spans="4:4" x14ac:dyDescent="0.3">
      <c r="D729" s="79"/>
    </row>
    <row r="730" spans="4:4" x14ac:dyDescent="0.3">
      <c r="D730" s="79"/>
    </row>
    <row r="731" spans="4:4" x14ac:dyDescent="0.3">
      <c r="D731" s="79"/>
    </row>
    <row r="732" spans="4:4" x14ac:dyDescent="0.3">
      <c r="D732" s="79"/>
    </row>
    <row r="733" spans="4:4" x14ac:dyDescent="0.3">
      <c r="D733" s="79"/>
    </row>
    <row r="734" spans="4:4" x14ac:dyDescent="0.3">
      <c r="D734" s="79"/>
    </row>
    <row r="735" spans="4:4" x14ac:dyDescent="0.3">
      <c r="D735" s="79"/>
    </row>
    <row r="736" spans="4:4" x14ac:dyDescent="0.3">
      <c r="D736" s="79"/>
    </row>
    <row r="737" spans="4:4" x14ac:dyDescent="0.3">
      <c r="D737" s="79"/>
    </row>
    <row r="738" spans="4:4" x14ac:dyDescent="0.3">
      <c r="D738" s="79"/>
    </row>
    <row r="739" spans="4:4" x14ac:dyDescent="0.3">
      <c r="D739" s="79"/>
    </row>
    <row r="740" spans="4:4" x14ac:dyDescent="0.3">
      <c r="D740" s="79"/>
    </row>
    <row r="741" spans="4:4" x14ac:dyDescent="0.3">
      <c r="D741" s="79"/>
    </row>
    <row r="742" spans="4:4" x14ac:dyDescent="0.3">
      <c r="D742" s="79"/>
    </row>
    <row r="743" spans="4:4" x14ac:dyDescent="0.3">
      <c r="D743" s="79"/>
    </row>
    <row r="744" spans="4:4" x14ac:dyDescent="0.3">
      <c r="D744" s="79"/>
    </row>
  </sheetData>
  <sheetProtection formatCells="0" formatColumns="0" formatRows="0"/>
  <conditionalFormatting sqref="G33">
    <cfRule type="cellIs" dxfId="73" priority="93" stopIfTrue="1" operator="notEqual">
      <formula>0</formula>
    </cfRule>
  </conditionalFormatting>
  <conditionalFormatting sqref="G34">
    <cfRule type="cellIs" dxfId="72" priority="92" stopIfTrue="1" operator="notEqual">
      <formula>0</formula>
    </cfRule>
  </conditionalFormatting>
  <conditionalFormatting sqref="G65">
    <cfRule type="cellIs" dxfId="71" priority="91" stopIfTrue="1" operator="notEqual">
      <formula>0</formula>
    </cfRule>
  </conditionalFormatting>
  <conditionalFormatting sqref="G79">
    <cfRule type="cellIs" dxfId="70" priority="90" stopIfTrue="1" operator="notEqual">
      <formula>0</formula>
    </cfRule>
  </conditionalFormatting>
  <conditionalFormatting sqref="G80:G90">
    <cfRule type="cellIs" dxfId="69" priority="89" stopIfTrue="1" operator="notEqual">
      <formula>0</formula>
    </cfRule>
  </conditionalFormatting>
  <conditionalFormatting sqref="G133">
    <cfRule type="cellIs" dxfId="68" priority="88" stopIfTrue="1" operator="notEqual">
      <formula>0</formula>
    </cfRule>
  </conditionalFormatting>
  <conditionalFormatting sqref="G151">
    <cfRule type="cellIs" dxfId="67" priority="87" stopIfTrue="1" operator="notEqual">
      <formula>0</formula>
    </cfRule>
  </conditionalFormatting>
  <conditionalFormatting sqref="G163">
    <cfRule type="cellIs" dxfId="66" priority="86" stopIfTrue="1" operator="notEqual">
      <formula>0</formula>
    </cfRule>
  </conditionalFormatting>
  <conditionalFormatting sqref="G164">
    <cfRule type="cellIs" dxfId="65" priority="85" stopIfTrue="1" operator="notEqual">
      <formula>0</formula>
    </cfRule>
  </conditionalFormatting>
  <conditionalFormatting sqref="G178">
    <cfRule type="cellIs" dxfId="64" priority="84" stopIfTrue="1" operator="notEqual">
      <formula>0</formula>
    </cfRule>
  </conditionalFormatting>
  <conditionalFormatting sqref="G179">
    <cfRule type="cellIs" dxfId="63" priority="83" stopIfTrue="1" operator="notEqual">
      <formula>0</formula>
    </cfRule>
  </conditionalFormatting>
  <conditionalFormatting sqref="H237:H239">
    <cfRule type="cellIs" priority="79" stopIfTrue="1" operator="equal">
      <formula>";;;"</formula>
    </cfRule>
  </conditionalFormatting>
  <conditionalFormatting sqref="H237">
    <cfRule type="cellIs" dxfId="62" priority="78" stopIfTrue="1" operator="equal">
      <formula>0</formula>
    </cfRule>
  </conditionalFormatting>
  <conditionalFormatting sqref="H238">
    <cfRule type="cellIs" dxfId="61" priority="77" stopIfTrue="1" operator="equal">
      <formula>0</formula>
    </cfRule>
  </conditionalFormatting>
  <conditionalFormatting sqref="H239">
    <cfRule type="cellIs" dxfId="60" priority="76" stopIfTrue="1" operator="equal">
      <formula>0</formula>
    </cfRule>
  </conditionalFormatting>
  <conditionalFormatting sqref="H239">
    <cfRule type="cellIs" dxfId="59" priority="75" stopIfTrue="1" operator="equal">
      <formula>0</formula>
    </cfRule>
  </conditionalFormatting>
  <conditionalFormatting sqref="H237">
    <cfRule type="cellIs" dxfId="58" priority="74" stopIfTrue="1" operator="equal">
      <formula>0</formula>
    </cfRule>
  </conditionalFormatting>
  <conditionalFormatting sqref="G21">
    <cfRule type="cellIs" dxfId="57" priority="73" stopIfTrue="1" operator="notEqual">
      <formula>0</formula>
    </cfRule>
  </conditionalFormatting>
  <conditionalFormatting sqref="G7">
    <cfRule type="containsText" dxfId="56" priority="71" stopIfTrue="1" operator="containsText" text="Included in error count">
      <formula>NOT(ISERROR(SEARCH("Included in error count",G7)))</formula>
    </cfRule>
    <cfRule type="cellIs" dxfId="55" priority="72" stopIfTrue="1" operator="equal">
      <formula>1</formula>
    </cfRule>
  </conditionalFormatting>
  <conditionalFormatting sqref="G55">
    <cfRule type="containsText" dxfId="54" priority="69" stopIfTrue="1" operator="containsText" text="Included in error count">
      <formula>NOT(ISERROR(SEARCH("Included in error count",G55)))</formula>
    </cfRule>
    <cfRule type="cellIs" dxfId="53" priority="70" stopIfTrue="1" operator="equal">
      <formula>1</formula>
    </cfRule>
  </conditionalFormatting>
  <conditionalFormatting sqref="G120:G121">
    <cfRule type="containsText" dxfId="52" priority="67" stopIfTrue="1" operator="containsText" text="Included in error count">
      <formula>NOT(ISERROR(SEARCH("Included in error count",G120)))</formula>
    </cfRule>
    <cfRule type="cellIs" dxfId="51" priority="68" stopIfTrue="1" operator="equal">
      <formula>1</formula>
    </cfRule>
  </conditionalFormatting>
  <conditionalFormatting sqref="G122">
    <cfRule type="containsText" dxfId="50" priority="65" stopIfTrue="1" operator="containsText" text="Included in error count">
      <formula>NOT(ISERROR(SEARCH("Included in error count",G122)))</formula>
    </cfRule>
    <cfRule type="cellIs" dxfId="49" priority="66" stopIfTrue="1" operator="equal">
      <formula>1</formula>
    </cfRule>
  </conditionalFormatting>
  <conditionalFormatting sqref="G131">
    <cfRule type="containsText" dxfId="48" priority="61" stopIfTrue="1" operator="containsText" text="Included in error count">
      <formula>NOT(ISERROR(SEARCH("Included in error count",G131)))</formula>
    </cfRule>
    <cfRule type="cellIs" dxfId="47" priority="62" stopIfTrue="1" operator="equal">
      <formula>1</formula>
    </cfRule>
  </conditionalFormatting>
  <conditionalFormatting sqref="G153">
    <cfRule type="containsText" dxfId="46" priority="57" stopIfTrue="1" operator="containsText" text="Included in error count">
      <formula>NOT(ISERROR(SEARCH("Included in error count",G153)))</formula>
    </cfRule>
    <cfRule type="cellIs" dxfId="45" priority="58" stopIfTrue="1" operator="equal">
      <formula>1</formula>
    </cfRule>
  </conditionalFormatting>
  <conditionalFormatting sqref="G237">
    <cfRule type="containsText" dxfId="44" priority="46" stopIfTrue="1" operator="containsText" text="Included in error count">
      <formula>NOT(ISERROR(SEARCH("Included in error count",G237)))</formula>
    </cfRule>
    <cfRule type="cellIs" dxfId="43" priority="47" stopIfTrue="1" operator="equal">
      <formula>1</formula>
    </cfRule>
  </conditionalFormatting>
  <conditionalFormatting sqref="G238">
    <cfRule type="containsText" dxfId="42" priority="44" stopIfTrue="1" operator="containsText" text="Included in error count">
      <formula>NOT(ISERROR(SEARCH("Included in error count",G238)))</formula>
    </cfRule>
    <cfRule type="cellIs" dxfId="41" priority="45" stopIfTrue="1" operator="equal">
      <formula>1</formula>
    </cfRule>
  </conditionalFormatting>
  <conditionalFormatting sqref="G239">
    <cfRule type="containsText" dxfId="40" priority="42" stopIfTrue="1" operator="containsText" text="Included in error count">
      <formula>NOT(ISERROR(SEARCH("Included in error count",G239)))</formula>
    </cfRule>
    <cfRule type="cellIs" dxfId="39" priority="43" stopIfTrue="1" operator="equal">
      <formula>1</formula>
    </cfRule>
  </conditionalFormatting>
  <conditionalFormatting sqref="G168">
    <cfRule type="containsText" dxfId="38" priority="40" stopIfTrue="1" operator="containsText" text="Included in error count">
      <formula>NOT(ISERROR(SEARCH("Included in error count",G168)))</formula>
    </cfRule>
    <cfRule type="cellIs" dxfId="37"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78EA5-77E1-4814-8728-4098B30437CB}">
  <sheetPr>
    <tabColor theme="3" tint="0.79998168889431442"/>
    <pageSetUpPr fitToPage="1"/>
  </sheetPr>
  <dimension ref="A1:CC52"/>
  <sheetViews>
    <sheetView showGridLines="0" topLeftCell="C13" zoomScale="70" zoomScaleNormal="70" workbookViewId="0">
      <selection activeCell="D18" sqref="D18"/>
    </sheetView>
  </sheetViews>
  <sheetFormatPr defaultColWidth="9.109375" defaultRowHeight="14.4" x14ac:dyDescent="0.3"/>
  <cols>
    <col min="1" max="1" width="44.5546875" style="971" customWidth="1"/>
    <col min="2" max="2" width="17.109375" style="971" customWidth="1"/>
    <col min="3" max="3" width="19" style="971" customWidth="1"/>
    <col min="4" max="4" width="19.109375" style="971" customWidth="1"/>
    <col min="5" max="5" width="15.109375" style="971" customWidth="1"/>
    <col min="6" max="6" width="12.88671875" style="971" customWidth="1"/>
    <col min="7" max="7" width="43.88671875" style="1054" hidden="1" customWidth="1"/>
    <col min="8" max="8" width="77.5546875" style="971" customWidth="1"/>
    <col min="9" max="9" width="91" style="972" customWidth="1"/>
    <col min="10" max="10" width="46.109375" style="972" customWidth="1"/>
    <col min="11" max="11" width="9.109375" style="972" hidden="1" customWidth="1"/>
    <col min="12" max="12" width="36.88671875" style="275" hidden="1" customWidth="1"/>
    <col min="13" max="14" width="15.6640625" style="275" hidden="1" customWidth="1"/>
    <col min="15" max="15" width="56.33203125" style="275" customWidth="1"/>
    <col min="16" max="16" width="11.109375" style="970" customWidth="1"/>
    <col min="17" max="18" width="9.109375" style="971" customWidth="1"/>
    <col min="19" max="16384" width="9.109375" style="971"/>
  </cols>
  <sheetData>
    <row r="1" spans="1:78" ht="40.5" customHeight="1" thickBot="1" x14ac:dyDescent="0.35">
      <c r="A1" s="1306" t="s">
        <v>1652</v>
      </c>
      <c r="B1" s="1307"/>
      <c r="C1" s="1307"/>
      <c r="D1" s="1307"/>
      <c r="E1" s="1307"/>
      <c r="F1" s="1307"/>
      <c r="G1" s="1307"/>
      <c r="H1" s="1308"/>
      <c r="I1" s="1263" t="s">
        <v>1690</v>
      </c>
      <c r="J1" s="1264"/>
      <c r="K1" s="1041"/>
    </row>
    <row r="2" spans="1:78" ht="72" customHeight="1" thickBot="1" x14ac:dyDescent="0.35">
      <c r="A2" s="1309" t="s">
        <v>1653</v>
      </c>
      <c r="B2" s="1310"/>
      <c r="C2" s="1310"/>
      <c r="D2" s="1310"/>
      <c r="E2" s="1310"/>
      <c r="F2" s="1310"/>
      <c r="G2" s="1310"/>
      <c r="H2" s="1311"/>
      <c r="I2" s="1266" t="s">
        <v>1689</v>
      </c>
      <c r="J2" s="1270" t="s">
        <v>1385</v>
      </c>
      <c r="K2" s="1068"/>
    </row>
    <row r="3" spans="1:78" ht="15" customHeight="1" x14ac:dyDescent="0.3">
      <c r="A3" s="1151" t="s">
        <v>1054</v>
      </c>
      <c r="B3" s="1032"/>
      <c r="C3" s="1032"/>
      <c r="D3" s="1032"/>
      <c r="E3" s="1148"/>
      <c r="F3" s="1149"/>
      <c r="G3" s="1312"/>
      <c r="H3" s="1312"/>
      <c r="I3" s="1267"/>
      <c r="J3" s="1271"/>
      <c r="K3" s="1068"/>
    </row>
    <row r="4" spans="1:78" ht="21.75" customHeight="1" x14ac:dyDescent="0.3">
      <c r="A4" s="1146" t="s">
        <v>1137</v>
      </c>
      <c r="B4" s="1313" t="str">
        <f>'Unit Data from Audit Worksheet'!D2</f>
        <v>Select Unit Name from Drop Down List</v>
      </c>
      <c r="C4" s="1313"/>
      <c r="D4" s="1313"/>
      <c r="E4" s="1314" t="s">
        <v>1654</v>
      </c>
      <c r="F4" s="1315"/>
      <c r="G4" s="1150"/>
      <c r="H4" s="1316" t="s">
        <v>1057</v>
      </c>
      <c r="I4" s="1268"/>
      <c r="J4" s="1271"/>
      <c r="K4" s="1069"/>
      <c r="L4" s="973"/>
    </row>
    <row r="5" spans="1:78" ht="21.6" thickBot="1" x14ac:dyDescent="0.35">
      <c r="A5" s="1147" t="s">
        <v>1056</v>
      </c>
      <c r="B5" s="1318" t="e">
        <f>'Unit Data from Audit Worksheet'!D3</f>
        <v>#N/A</v>
      </c>
      <c r="C5" s="1318"/>
      <c r="D5" s="1318"/>
      <c r="E5" s="1314"/>
      <c r="F5" s="1315"/>
      <c r="G5" s="974"/>
      <c r="H5" s="1317"/>
      <c r="I5" s="1269"/>
      <c r="J5" s="1272"/>
      <c r="K5" s="969"/>
      <c r="L5" s="170" t="s">
        <v>1095</v>
      </c>
    </row>
    <row r="6" spans="1:78" ht="185.1" customHeight="1" thickBot="1" x14ac:dyDescent="0.35">
      <c r="A6" s="1290"/>
      <c r="B6" s="1291"/>
      <c r="C6" s="1291"/>
      <c r="D6" s="1291"/>
      <c r="E6" s="1291"/>
      <c r="F6" s="1292"/>
      <c r="G6" s="1036"/>
      <c r="H6" s="1296" t="s">
        <v>1655</v>
      </c>
      <c r="I6" s="1058"/>
      <c r="J6" s="1273"/>
      <c r="K6" s="969"/>
      <c r="L6" s="975"/>
    </row>
    <row r="7" spans="1:78" ht="132" customHeight="1" thickBot="1" x14ac:dyDescent="0.35">
      <c r="A7" s="1293"/>
      <c r="B7" s="1294"/>
      <c r="C7" s="1294"/>
      <c r="D7" s="1294"/>
      <c r="E7" s="1294"/>
      <c r="F7" s="1295"/>
      <c r="G7" s="1036"/>
      <c r="H7" s="1297"/>
      <c r="I7" s="976"/>
      <c r="J7" s="1274"/>
      <c r="K7" s="969"/>
      <c r="L7" s="975">
        <f>+(Import!$L$72+Import!$L$77+Import!$L$74-Import!$L$75-Import!$L$76)</f>
        <v>0</v>
      </c>
    </row>
    <row r="8" spans="1:78" ht="27.75" customHeight="1" thickBot="1" x14ac:dyDescent="0.35">
      <c r="A8" s="1299" t="s">
        <v>1656</v>
      </c>
      <c r="B8" s="1299"/>
      <c r="C8" s="1299"/>
      <c r="D8" s="1299"/>
      <c r="E8" s="977" t="s">
        <v>1346</v>
      </c>
      <c r="F8" s="977" t="s">
        <v>1657</v>
      </c>
      <c r="G8" s="978" t="s">
        <v>1062</v>
      </c>
      <c r="H8" s="1298"/>
      <c r="I8" s="979"/>
      <c r="J8" s="1275"/>
      <c r="K8" s="969"/>
      <c r="L8" s="974" t="b">
        <f>IF($L$7&gt;10000000,"25%",IF($L$7&gt;999999,"34%",IF($L$7&gt;99999,"71%",IF($L$7&gt;1,"100%"))))</f>
        <v>0</v>
      </c>
      <c r="M8" s="980"/>
      <c r="O8" s="981"/>
      <c r="P8" s="982"/>
    </row>
    <row r="9" spans="1:78" ht="202.5" customHeight="1" thickBot="1" x14ac:dyDescent="0.35">
      <c r="A9" s="1300"/>
      <c r="B9" s="1301"/>
      <c r="C9" s="1301"/>
      <c r="D9" s="1302"/>
      <c r="E9" s="983" t="b">
        <f>IF($L$7&gt;10000000,"25% -- Average of similar units is 46%",IF($L$7&gt;999999,"34% -- Average of similar units is 63%",IF($L$7&gt;99999,"71% -- Average of similar units is 132%",IF($L$7&gt;1,"100 %-- Average of similar units is 260%"))))</f>
        <v>0</v>
      </c>
      <c r="F9" s="984" t="str">
        <f>'PI series #'!D6</f>
        <v/>
      </c>
      <c r="G9" s="985"/>
      <c r="H9" s="1061" t="s">
        <v>1658</v>
      </c>
      <c r="I9" s="1073" t="s">
        <v>1547</v>
      </c>
      <c r="J9" s="1076"/>
      <c r="K9" s="969"/>
      <c r="L9" s="1088" t="e">
        <f>+'PI series #'!L6</f>
        <v>#VALUE!</v>
      </c>
      <c r="M9" s="980"/>
      <c r="O9" s="981"/>
      <c r="P9" s="982"/>
    </row>
    <row r="10" spans="1:78" ht="202.5" hidden="1" customHeight="1" thickBot="1" x14ac:dyDescent="0.35">
      <c r="A10" s="1300"/>
      <c r="B10" s="1301"/>
      <c r="C10" s="1301"/>
      <c r="D10" s="1302"/>
      <c r="E10" s="983" t="str">
        <f>IF($K$5&gt;99999999,"16%--Median of simiar units is 32%","20%--Median of similar units is 39%")</f>
        <v>20%--Median of similar units is 39%</v>
      </c>
      <c r="F10" s="984"/>
      <c r="G10" s="985"/>
      <c r="H10" s="1061" t="s">
        <v>1691</v>
      </c>
      <c r="I10" s="1073" t="s">
        <v>1547</v>
      </c>
      <c r="J10" s="1076"/>
      <c r="K10" s="1089">
        <f>IF($K$5&gt;99999999,16%,20%)</f>
        <v>0.2</v>
      </c>
      <c r="L10" s="1088" t="e">
        <f>+'PI series #'!L8</f>
        <v>#VALUE!</v>
      </c>
      <c r="M10" s="980"/>
      <c r="O10" s="981"/>
      <c r="P10" s="982"/>
    </row>
    <row r="11" spans="1:78" ht="202.5" hidden="1" customHeight="1" thickBot="1" x14ac:dyDescent="0.35">
      <c r="A11" s="1300"/>
      <c r="B11" s="1301"/>
      <c r="C11" s="1301"/>
      <c r="D11" s="1302"/>
      <c r="E11" s="1090">
        <v>0.08</v>
      </c>
      <c r="F11" s="984"/>
      <c r="G11" s="985"/>
      <c r="H11" s="1061" t="s">
        <v>1590</v>
      </c>
      <c r="I11" s="1073" t="s">
        <v>1547</v>
      </c>
      <c r="J11" s="1076"/>
      <c r="K11" s="969"/>
      <c r="L11" s="1087" t="str">
        <f>++'PI series #'!D9</f>
        <v/>
      </c>
      <c r="M11" s="980"/>
      <c r="O11" s="981"/>
      <c r="P11" s="982"/>
    </row>
    <row r="12" spans="1:78" ht="152.25" hidden="1" customHeight="1" thickBot="1" x14ac:dyDescent="0.35">
      <c r="A12" s="940" t="s">
        <v>1089</v>
      </c>
      <c r="B12" s="1092"/>
      <c r="C12" s="1092"/>
      <c r="D12" s="1093">
        <f>+Import!L65</f>
        <v>0</v>
      </c>
      <c r="E12" s="1094"/>
      <c r="F12" s="1093">
        <f>+D12</f>
        <v>0</v>
      </c>
      <c r="G12" s="1095"/>
      <c r="H12" s="1095" t="s">
        <v>1315</v>
      </c>
      <c r="I12" s="1098" t="s">
        <v>1090</v>
      </c>
      <c r="J12" s="1099"/>
      <c r="K12" s="970"/>
      <c r="L12" s="971"/>
      <c r="M12" s="971"/>
      <c r="N12" s="971"/>
      <c r="O12" s="971"/>
      <c r="P12" s="971"/>
      <c r="Y12" s="275"/>
      <c r="Z12" s="174" t="s">
        <v>1549</v>
      </c>
    </row>
    <row r="13" spans="1:78" ht="51.75" customHeight="1" thickBot="1" x14ac:dyDescent="0.35">
      <c r="A13" s="987" t="s">
        <v>1692</v>
      </c>
      <c r="B13" s="988"/>
      <c r="C13" s="988"/>
      <c r="D13" s="988"/>
      <c r="E13" s="977" t="s">
        <v>1346</v>
      </c>
      <c r="F13" s="977" t="s">
        <v>1657</v>
      </c>
      <c r="G13" s="989"/>
      <c r="H13" s="1096" t="s">
        <v>1659</v>
      </c>
      <c r="I13" s="1059"/>
      <c r="J13" s="1059"/>
      <c r="K13" s="969"/>
      <c r="L13" s="991" t="e">
        <f>HLOOKUP($B$5,'2019 Data(H)'!$E$2:$BS$305,244,FALSE)</f>
        <v>#N/A</v>
      </c>
      <c r="M13" s="991" t="e">
        <f>HLOOKUP(B5,'2020 Data(H)'!E2:CR350,244,FALSE)</f>
        <v>#N/A</v>
      </c>
      <c r="N13" s="991" t="e">
        <f>Import!L268</f>
        <v>#N/A</v>
      </c>
      <c r="O13" s="992"/>
      <c r="P13" s="993"/>
      <c r="Q13" s="994"/>
      <c r="R13" s="994"/>
      <c r="S13" s="994"/>
      <c r="T13" s="994"/>
      <c r="U13" s="994"/>
      <c r="V13" s="994"/>
      <c r="W13" s="994"/>
      <c r="X13" s="994"/>
      <c r="Y13" s="994"/>
      <c r="Z13" s="994"/>
      <c r="AA13" s="994"/>
      <c r="AB13" s="994"/>
      <c r="AC13" s="994"/>
      <c r="AD13" s="994"/>
      <c r="AE13" s="994"/>
      <c r="AF13" s="994"/>
      <c r="AG13" s="994"/>
      <c r="AH13" s="994"/>
      <c r="AI13" s="994"/>
      <c r="AJ13" s="994"/>
      <c r="AK13" s="994"/>
      <c r="AL13" s="994"/>
      <c r="AM13" s="994"/>
      <c r="AN13" s="994"/>
      <c r="AO13" s="994"/>
      <c r="AP13" s="994"/>
      <c r="AQ13" s="994"/>
      <c r="AR13" s="994"/>
      <c r="AS13" s="994"/>
      <c r="AT13" s="994"/>
      <c r="AU13" s="994"/>
      <c r="AV13" s="994"/>
      <c r="AW13" s="994"/>
      <c r="AX13" s="994"/>
      <c r="AY13" s="994"/>
      <c r="AZ13" s="994"/>
      <c r="BA13" s="994"/>
      <c r="BB13" s="994"/>
      <c r="BC13" s="994"/>
      <c r="BD13" s="994"/>
      <c r="BE13" s="994"/>
      <c r="BF13" s="994"/>
      <c r="BG13" s="994"/>
      <c r="BH13" s="994"/>
      <c r="BI13" s="994"/>
      <c r="BJ13" s="994"/>
      <c r="BK13" s="994"/>
      <c r="BL13" s="994"/>
      <c r="BM13" s="994"/>
      <c r="BN13" s="994"/>
      <c r="BO13" s="994"/>
      <c r="BP13" s="994"/>
      <c r="BQ13" s="994"/>
      <c r="BR13" s="994"/>
      <c r="BS13" s="994"/>
      <c r="BT13" s="994"/>
      <c r="BU13" s="994"/>
      <c r="BV13" s="994"/>
      <c r="BW13" s="994"/>
      <c r="BX13" s="994"/>
      <c r="BY13" s="994"/>
      <c r="BZ13" s="994"/>
    </row>
    <row r="14" spans="1:78" ht="202.5" customHeight="1" thickBot="1" x14ac:dyDescent="0.35">
      <c r="A14" s="995"/>
      <c r="B14" s="996"/>
      <c r="C14" s="996"/>
      <c r="D14" s="997"/>
      <c r="E14" s="998" t="s">
        <v>1058</v>
      </c>
      <c r="F14" s="999" t="str">
        <f>'PI series #'!F12</f>
        <v/>
      </c>
      <c r="G14" s="1000"/>
      <c r="H14" s="1061" t="s">
        <v>1660</v>
      </c>
      <c r="I14" s="1074" t="s">
        <v>1063</v>
      </c>
      <c r="J14" s="1076"/>
      <c r="K14" s="969"/>
      <c r="L14" s="991" t="e">
        <f>HLOOKUP($B$5,'2019 Data(H)'!$E$2:$BS$305,299,FALSE)</f>
        <v>#N/A</v>
      </c>
      <c r="M14" s="991" t="e">
        <f>HLOOKUP(B4,'2020 Data(H)'!E1:BT397,347,FALSE)</f>
        <v>#N/A</v>
      </c>
      <c r="N14" s="991" t="e">
        <f>+(Import!$L$120-Import!$L$121-Import!$L$118-Import!$L$119)/(Import!$L$124-Import!$L$125-Import!$L$126-Import!$L$127-Import!$L$128-Import!$L$129-Import!$L$123)</f>
        <v>#DIV/0!</v>
      </c>
    </row>
    <row r="15" spans="1:78" ht="27.75" customHeight="1" thickBot="1" x14ac:dyDescent="0.35">
      <c r="A15" s="1001"/>
      <c r="B15" s="1002" t="s">
        <v>1661</v>
      </c>
      <c r="C15" s="1002" t="s">
        <v>1662</v>
      </c>
      <c r="D15" s="1002" t="s">
        <v>1663</v>
      </c>
      <c r="E15" s="977" t="s">
        <v>1346</v>
      </c>
      <c r="F15" s="977" t="s">
        <v>1657</v>
      </c>
      <c r="G15" s="1003"/>
      <c r="H15" s="990"/>
      <c r="I15" s="1059"/>
      <c r="J15" s="1059"/>
      <c r="K15" s="969"/>
      <c r="L15" s="991"/>
      <c r="M15" s="991"/>
      <c r="N15" s="991"/>
    </row>
    <row r="16" spans="1:78" ht="69.599999999999994" customHeight="1" thickBot="1" x14ac:dyDescent="0.35">
      <c r="A16" s="1004" t="s">
        <v>1100</v>
      </c>
      <c r="B16" s="1005" t="e">
        <f>IF(L13=0,"Not Applicable",L16)</f>
        <v>#N/A</v>
      </c>
      <c r="C16" s="1005" t="e">
        <f>IF(M13=0,"Not Applicable",M16)</f>
        <v>#N/A</v>
      </c>
      <c r="D16" s="1005" t="e">
        <f>IF(N13=0,"Not Applicable",N16)</f>
        <v>#N/A</v>
      </c>
      <c r="E16" s="1006" t="s">
        <v>1664</v>
      </c>
      <c r="F16" s="1005" t="e">
        <f>D16</f>
        <v>#N/A</v>
      </c>
      <c r="G16" s="1007" t="s">
        <v>1103</v>
      </c>
      <c r="H16" s="1061" t="s">
        <v>1665</v>
      </c>
      <c r="I16" s="1074" t="s">
        <v>1696</v>
      </c>
      <c r="J16" s="1077"/>
      <c r="K16" s="969"/>
      <c r="L16" s="1009" t="e">
        <f>HLOOKUP(B5,'2019 Data(H)'!E2:BS305,300,FALSE)</f>
        <v>#N/A</v>
      </c>
      <c r="M16" s="1009" t="e">
        <f>HLOOKUP(B4,'2020 Data(H)'!F1:BU397,348,FALSE)</f>
        <v>#N/A</v>
      </c>
      <c r="N16" s="975">
        <f>+Import!$L$153-Import!$L$155+Import!$L$154-Import!$L$182</f>
        <v>0</v>
      </c>
    </row>
    <row r="17" spans="1:81" ht="109.95" customHeight="1" thickBot="1" x14ac:dyDescent="0.35">
      <c r="A17" s="1004" t="s">
        <v>1127</v>
      </c>
      <c r="B17" s="1010" t="e">
        <f>IF(L13=0,"Not Applicable",L17)</f>
        <v>#N/A</v>
      </c>
      <c r="C17" s="1010" t="e">
        <f t="shared" ref="C17:D17" si="0">IF(M13=0,"Not Applicable",M17)</f>
        <v>#N/A</v>
      </c>
      <c r="D17" s="1010" t="e">
        <f t="shared" si="0"/>
        <v>#N/A</v>
      </c>
      <c r="E17" s="1006" t="s">
        <v>1582</v>
      </c>
      <c r="F17" s="1011" t="e">
        <f>D17</f>
        <v>#N/A</v>
      </c>
      <c r="G17" s="1007" t="s">
        <v>1104</v>
      </c>
      <c r="H17" s="1061" t="s">
        <v>1666</v>
      </c>
      <c r="I17" s="1074" t="s">
        <v>1104</v>
      </c>
      <c r="J17" s="1076"/>
      <c r="K17" s="969"/>
      <c r="L17" s="1012" t="e">
        <f>HLOOKUP(B5,'2019 Data(H)'!E2:BS305,301,FALSE)</f>
        <v>#N/A</v>
      </c>
      <c r="M17" s="1012" t="e">
        <f>HLOOKUP(B4,'2020 Data(H)'!F1:BU397,349,FALSE)</f>
        <v>#N/A</v>
      </c>
      <c r="N17" s="1012" t="e">
        <f>+Import!L116/(Import!L155+Import!L158-Import!L154+Import!L182)</f>
        <v>#DIV/0!</v>
      </c>
      <c r="O17" s="967"/>
    </row>
    <row r="18" spans="1:81" ht="75" customHeight="1" thickBot="1" x14ac:dyDescent="0.4">
      <c r="A18" s="1276" t="s">
        <v>1583</v>
      </c>
      <c r="B18" s="1277"/>
      <c r="C18" s="1278"/>
      <c r="D18" s="1013" t="str">
        <f>IF(M18&lt;0,"Yes","No")</f>
        <v>No</v>
      </c>
      <c r="E18" s="1014"/>
      <c r="F18" s="1136"/>
      <c r="G18" s="1008" t="s">
        <v>1667</v>
      </c>
      <c r="H18" s="1061" t="s">
        <v>1668</v>
      </c>
      <c r="I18" s="1075" t="s">
        <v>1584</v>
      </c>
      <c r="J18" s="1077"/>
      <c r="K18" s="969"/>
      <c r="L18" s="1015"/>
      <c r="M18" s="1015">
        <f>((Import!L158+Import!L155)*0.03)-Import!L161</f>
        <v>0</v>
      </c>
      <c r="N18" s="275">
        <f>L18*0.03</f>
        <v>0</v>
      </c>
    </row>
    <row r="19" spans="1:81" ht="15" thickBot="1" x14ac:dyDescent="0.35">
      <c r="A19" s="1016"/>
      <c r="B19" s="1017"/>
      <c r="C19" s="1017"/>
      <c r="D19" s="1017"/>
      <c r="E19" s="1018"/>
      <c r="F19" s="1017"/>
      <c r="G19" s="1019"/>
      <c r="H19" s="1017"/>
      <c r="I19" s="1056"/>
      <c r="J19" s="1056"/>
    </row>
    <row r="20" spans="1:81" ht="27.75" customHeight="1" thickBot="1" x14ac:dyDescent="0.35">
      <c r="A20" s="1286" t="s">
        <v>1669</v>
      </c>
      <c r="B20" s="1287"/>
      <c r="C20" s="1287"/>
      <c r="D20" s="1287"/>
      <c r="E20" s="977" t="s">
        <v>1346</v>
      </c>
      <c r="F20" s="977" t="s">
        <v>1657</v>
      </c>
      <c r="G20" s="1020" t="s">
        <v>1126</v>
      </c>
      <c r="H20" s="1021"/>
      <c r="I20" s="1060"/>
      <c r="J20" s="1060"/>
      <c r="K20" s="969"/>
      <c r="L20" s="991" t="e">
        <f>HLOOKUP(B5,'2019 Data(H)'!E2:BS310,243,FALSE)</f>
        <v>#N/A</v>
      </c>
      <c r="M20" s="1022" t="e">
        <f>HLOOKUP(B5,'2020 Data(H)'!E2:CR350,243,FALSE)</f>
        <v>#N/A</v>
      </c>
      <c r="N20" s="1023" t="e">
        <f>+Import!L267</f>
        <v>#N/A</v>
      </c>
    </row>
    <row r="21" spans="1:81" ht="202.5" customHeight="1" thickBot="1" x14ac:dyDescent="0.35">
      <c r="A21" s="1303"/>
      <c r="B21" s="1304"/>
      <c r="C21" s="1304"/>
      <c r="D21" s="1305"/>
      <c r="E21" s="1006" t="s">
        <v>1058</v>
      </c>
      <c r="F21" s="1055" t="str">
        <f>'PI series #'!F18</f>
        <v/>
      </c>
      <c r="G21" s="1008"/>
      <c r="H21" s="1071" t="s">
        <v>1670</v>
      </c>
      <c r="I21" s="1062" t="s">
        <v>1111</v>
      </c>
      <c r="J21" s="1078"/>
      <c r="K21" s="969"/>
      <c r="L21" s="1022" t="e">
        <f>HLOOKUP(B5,'2019 Data(H)'!E2:BS310,302,FALSE)</f>
        <v>#N/A</v>
      </c>
      <c r="M21" s="991" t="e">
        <f>HLOOKUP(B4,'2020 Data(H)'!F1:BU397,350,FALSE)</f>
        <v>#N/A</v>
      </c>
      <c r="N21" s="991" t="e">
        <f>+(Import!L138-Import!L139-Import!L137-Import!L136)/(Import!L143-Import!L144-Import!L145-Import!L146-Import!L147-Import!L148-Import!L142)</f>
        <v>#DIV/0!</v>
      </c>
    </row>
    <row r="22" spans="1:81" ht="27.75" customHeight="1" thickBot="1" x14ac:dyDescent="0.35">
      <c r="A22" s="1025"/>
      <c r="B22" s="1026" t="s">
        <v>1661</v>
      </c>
      <c r="C22" s="1026" t="s">
        <v>1662</v>
      </c>
      <c r="D22" s="1026" t="s">
        <v>1663</v>
      </c>
      <c r="E22" s="977" t="s">
        <v>1346</v>
      </c>
      <c r="F22" s="977" t="s">
        <v>1657</v>
      </c>
      <c r="G22" s="1008"/>
      <c r="H22" s="986"/>
      <c r="I22" s="1062"/>
      <c r="J22" s="986"/>
      <c r="K22" s="969"/>
      <c r="L22" s="1022"/>
      <c r="M22" s="991"/>
      <c r="N22" s="991"/>
    </row>
    <row r="23" spans="1:81" ht="71.25" customHeight="1" thickBot="1" x14ac:dyDescent="0.35">
      <c r="A23" s="1004" t="s">
        <v>1100</v>
      </c>
      <c r="B23" s="1027" t="e">
        <f>IF(L20=0,"N/A",L23)</f>
        <v>#N/A</v>
      </c>
      <c r="C23" s="1027" t="e">
        <f>IF(M20=0,"N/A",M23)</f>
        <v>#N/A</v>
      </c>
      <c r="D23" s="1027" t="e">
        <f>IF(N20=0,"N/A",N23)</f>
        <v>#N/A</v>
      </c>
      <c r="E23" s="1006" t="s">
        <v>1351</v>
      </c>
      <c r="F23" s="1035" t="e">
        <f>D23</f>
        <v>#N/A</v>
      </c>
      <c r="G23" s="1008"/>
      <c r="H23" s="1071" t="s">
        <v>1671</v>
      </c>
      <c r="I23" s="1079" t="s">
        <v>1697</v>
      </c>
      <c r="J23" s="1077"/>
      <c r="K23" s="969"/>
      <c r="L23" s="1009" t="e">
        <f>HLOOKUP(B5,'2019 Data(H)'!E2:BS310,303,FALSE)</f>
        <v>#N/A</v>
      </c>
      <c r="M23" s="1009" t="e">
        <f>HLOOKUP(B4,'2020 Data(H)'!F1:BU397,351,FALSE)</f>
        <v>#N/A</v>
      </c>
      <c r="N23" s="1009">
        <f>+Import!L168-Import!L171+Import!L170-Import!L185</f>
        <v>0</v>
      </c>
    </row>
    <row r="24" spans="1:81" s="275" customFormat="1" ht="102.75" customHeight="1" thickBot="1" x14ac:dyDescent="0.35">
      <c r="A24" s="1004" t="s">
        <v>1127</v>
      </c>
      <c r="B24" s="1010" t="e">
        <f>IF(L20=0,"N/A",L24)</f>
        <v>#N/A</v>
      </c>
      <c r="C24" s="1010" t="e">
        <f>IF(M20=0,"N/A",M24)</f>
        <v>#N/A</v>
      </c>
      <c r="D24" s="1010" t="e">
        <f>IF(N20=0,"N/A",N24)</f>
        <v>#N/A</v>
      </c>
      <c r="E24" s="1006" t="s">
        <v>1582</v>
      </c>
      <c r="F24" s="1011" t="e">
        <f>D24</f>
        <v>#N/A</v>
      </c>
      <c r="G24" s="1008"/>
      <c r="H24" s="1061" t="s">
        <v>1666</v>
      </c>
      <c r="I24" s="1079" t="s">
        <v>1116</v>
      </c>
      <c r="J24" s="1076"/>
      <c r="K24" s="969"/>
      <c r="L24" s="1012" t="e">
        <f>HLOOKUP(B5,'2019 Data(H)'!E2:BS310,304,FALSE)</f>
        <v>#N/A</v>
      </c>
      <c r="M24" s="1012" t="e">
        <f>HLOOKUP(B4,'2020 Data(H)'!F1:BU397,352,FALSE)</f>
        <v>#N/A</v>
      </c>
      <c r="N24" s="1012" t="e">
        <f>+Import!L134/(Import!L174+Import!L171-Import!L170+Import!L185)</f>
        <v>#DIV/0!</v>
      </c>
      <c r="P24" s="970"/>
      <c r="Q24" s="971"/>
      <c r="R24" s="971"/>
      <c r="S24" s="971"/>
      <c r="T24" s="971"/>
      <c r="U24" s="971"/>
      <c r="V24" s="971"/>
      <c r="W24" s="971"/>
      <c r="X24" s="971"/>
      <c r="Y24" s="971"/>
      <c r="Z24" s="971"/>
      <c r="AA24" s="971"/>
      <c r="AB24" s="971"/>
      <c r="AC24" s="971"/>
      <c r="AD24" s="971"/>
      <c r="AE24" s="971"/>
      <c r="AF24" s="971"/>
      <c r="AG24" s="971"/>
      <c r="AH24" s="971"/>
      <c r="AI24" s="971"/>
      <c r="AJ24" s="971"/>
      <c r="AK24" s="971"/>
      <c r="AL24" s="971"/>
      <c r="AM24" s="971"/>
      <c r="AN24" s="971"/>
      <c r="AO24" s="971"/>
      <c r="AP24" s="971"/>
      <c r="AQ24" s="971"/>
      <c r="AR24" s="971"/>
      <c r="AS24" s="971"/>
      <c r="AT24" s="971"/>
      <c r="AU24" s="971"/>
      <c r="AV24" s="971"/>
      <c r="AW24" s="971"/>
      <c r="AX24" s="971"/>
      <c r="AY24" s="971"/>
      <c r="AZ24" s="971"/>
      <c r="BA24" s="971"/>
      <c r="BB24" s="971"/>
      <c r="BC24" s="971"/>
      <c r="BD24" s="971"/>
      <c r="BE24" s="971"/>
      <c r="BF24" s="971"/>
      <c r="BG24" s="971"/>
      <c r="BH24" s="971"/>
      <c r="BI24" s="971"/>
      <c r="BJ24" s="971"/>
      <c r="BK24" s="971"/>
      <c r="BL24" s="971"/>
      <c r="BM24" s="971"/>
      <c r="BN24" s="971"/>
      <c r="BO24" s="971"/>
      <c r="BP24" s="971"/>
      <c r="BQ24" s="971"/>
      <c r="BR24" s="971"/>
      <c r="BS24" s="971"/>
      <c r="BT24" s="971"/>
      <c r="BU24" s="971"/>
      <c r="BV24" s="971"/>
      <c r="BW24" s="971"/>
      <c r="BX24" s="971"/>
      <c r="BY24" s="971"/>
      <c r="BZ24" s="971"/>
      <c r="CA24" s="971"/>
      <c r="CB24" s="971"/>
      <c r="CC24" s="971"/>
    </row>
    <row r="25" spans="1:81" s="275" customFormat="1" ht="25.5" hidden="1" customHeight="1" thickBot="1" x14ac:dyDescent="0.35">
      <c r="A25" s="1063" t="s">
        <v>1349</v>
      </c>
      <c r="B25" s="1065"/>
      <c r="C25" s="1065"/>
      <c r="D25" s="1065"/>
      <c r="E25" s="1066"/>
      <c r="F25" s="1067"/>
      <c r="G25" s="1064"/>
      <c r="H25" s="1101"/>
      <c r="I25" s="1100"/>
      <c r="J25" s="1101"/>
      <c r="K25" s="969"/>
      <c r="L25" s="1012"/>
      <c r="M25" s="1012"/>
      <c r="N25" s="1012"/>
      <c r="P25" s="970"/>
      <c r="Q25" s="971"/>
      <c r="R25" s="971"/>
      <c r="S25" s="971"/>
      <c r="T25" s="971"/>
      <c r="U25" s="971"/>
      <c r="V25" s="971"/>
      <c r="W25" s="971"/>
      <c r="X25" s="971"/>
      <c r="Y25" s="971"/>
      <c r="Z25" s="971"/>
      <c r="AA25" s="971"/>
      <c r="AB25" s="971"/>
      <c r="AC25" s="971"/>
      <c r="AD25" s="971"/>
      <c r="AE25" s="971"/>
      <c r="AF25" s="971"/>
      <c r="AG25" s="971"/>
      <c r="AH25" s="971"/>
      <c r="AI25" s="971"/>
      <c r="AJ25" s="971"/>
      <c r="AK25" s="971"/>
      <c r="AL25" s="971"/>
      <c r="AM25" s="971"/>
      <c r="AN25" s="971"/>
      <c r="AO25" s="971"/>
      <c r="AP25" s="971"/>
      <c r="AQ25" s="971"/>
      <c r="AR25" s="971"/>
      <c r="AS25" s="971"/>
      <c r="AT25" s="971"/>
      <c r="AU25" s="971"/>
      <c r="AV25" s="971"/>
      <c r="AW25" s="971"/>
      <c r="AX25" s="971"/>
      <c r="AY25" s="971"/>
      <c r="AZ25" s="971"/>
      <c r="BA25" s="971"/>
      <c r="BB25" s="971"/>
      <c r="BC25" s="971"/>
      <c r="BD25" s="971"/>
      <c r="BE25" s="971"/>
      <c r="BF25" s="971"/>
      <c r="BG25" s="971"/>
      <c r="BH25" s="971"/>
      <c r="BI25" s="971"/>
      <c r="BJ25" s="971"/>
      <c r="BK25" s="971"/>
      <c r="BL25" s="971"/>
      <c r="BM25" s="971"/>
      <c r="BN25" s="971"/>
      <c r="BO25" s="971"/>
      <c r="BP25" s="971"/>
      <c r="BQ25" s="971"/>
      <c r="BR25" s="971"/>
      <c r="BS25" s="971"/>
      <c r="BT25" s="971"/>
      <c r="BU25" s="971"/>
      <c r="BV25" s="971"/>
      <c r="BW25" s="971"/>
      <c r="BX25" s="971"/>
      <c r="BY25" s="971"/>
      <c r="BZ25" s="971"/>
      <c r="CA25" s="971"/>
      <c r="CB25" s="971"/>
      <c r="CC25" s="971"/>
    </row>
    <row r="26" spans="1:81" s="275" customFormat="1" ht="88.5" hidden="1" customHeight="1" thickBot="1" x14ac:dyDescent="0.35">
      <c r="A26" s="1063" t="s">
        <v>729</v>
      </c>
      <c r="B26" s="1065"/>
      <c r="C26" s="1065"/>
      <c r="D26" s="1102" t="str">
        <f>+N26</f>
        <v/>
      </c>
      <c r="E26" s="1006" t="s">
        <v>1058</v>
      </c>
      <c r="F26" s="1103" t="str">
        <f>+N26</f>
        <v/>
      </c>
      <c r="G26" s="1064"/>
      <c r="H26" s="1071" t="s">
        <v>1670</v>
      </c>
      <c r="I26" s="1062" t="s">
        <v>1591</v>
      </c>
      <c r="J26" s="1076"/>
      <c r="K26" s="969"/>
      <c r="L26" s="1012"/>
      <c r="M26" s="1012"/>
      <c r="N26" s="1091" t="str">
        <f>IFERROR((+Import!L94-Import!L93)/Import!L95,"")</f>
        <v/>
      </c>
      <c r="P26" s="970"/>
      <c r="Q26" s="971"/>
      <c r="R26" s="971"/>
      <c r="S26" s="971"/>
      <c r="T26" s="971"/>
      <c r="U26" s="971"/>
      <c r="V26" s="971"/>
      <c r="W26" s="971"/>
      <c r="X26" s="971"/>
      <c r="Y26" s="971"/>
      <c r="Z26" s="971"/>
      <c r="AA26" s="971"/>
      <c r="AB26" s="971"/>
      <c r="AC26" s="971"/>
      <c r="AD26" s="971"/>
      <c r="AE26" s="971"/>
      <c r="AF26" s="971"/>
      <c r="AG26" s="971"/>
      <c r="AH26" s="971"/>
      <c r="AI26" s="971"/>
      <c r="AJ26" s="971"/>
      <c r="AK26" s="971"/>
      <c r="AL26" s="971"/>
      <c r="AM26" s="971"/>
      <c r="AN26" s="971"/>
      <c r="AO26" s="971"/>
      <c r="AP26" s="971"/>
      <c r="AQ26" s="971"/>
      <c r="AR26" s="971"/>
      <c r="AS26" s="971"/>
      <c r="AT26" s="971"/>
      <c r="AU26" s="971"/>
      <c r="AV26" s="971"/>
      <c r="AW26" s="971"/>
      <c r="AX26" s="971"/>
      <c r="AY26" s="971"/>
      <c r="AZ26" s="971"/>
      <c r="BA26" s="971"/>
      <c r="BB26" s="971"/>
      <c r="BC26" s="971"/>
      <c r="BD26" s="971"/>
      <c r="BE26" s="971"/>
      <c r="BF26" s="971"/>
      <c r="BG26" s="971"/>
      <c r="BH26" s="971"/>
      <c r="BI26" s="971"/>
      <c r="BJ26" s="971"/>
      <c r="BK26" s="971"/>
      <c r="BL26" s="971"/>
      <c r="BM26" s="971"/>
      <c r="BN26" s="971"/>
      <c r="BO26" s="971"/>
      <c r="BP26" s="971"/>
      <c r="BQ26" s="971"/>
      <c r="BR26" s="971"/>
      <c r="BS26" s="971"/>
      <c r="BT26" s="971"/>
      <c r="BU26" s="971"/>
      <c r="BV26" s="971"/>
      <c r="BW26" s="971"/>
      <c r="BX26" s="971"/>
      <c r="BY26" s="971"/>
      <c r="BZ26" s="971"/>
      <c r="CA26" s="971"/>
      <c r="CB26" s="971"/>
      <c r="CC26" s="971"/>
    </row>
    <row r="27" spans="1:81" s="275" customFormat="1" ht="18.600000000000001" thickBot="1" x14ac:dyDescent="0.35">
      <c r="A27" s="1028"/>
      <c r="B27" s="1029"/>
      <c r="C27" s="1029"/>
      <c r="D27" s="1029"/>
      <c r="E27" s="1030"/>
      <c r="F27" s="1029"/>
      <c r="G27" s="1031"/>
      <c r="H27" s="1029"/>
      <c r="I27" s="1080"/>
      <c r="J27" s="1056"/>
      <c r="K27" s="972"/>
      <c r="N27" s="981"/>
      <c r="P27" s="970"/>
      <c r="Q27" s="971"/>
      <c r="R27" s="971"/>
      <c r="S27" s="971"/>
      <c r="T27" s="971"/>
      <c r="U27" s="971"/>
      <c r="V27" s="971"/>
      <c r="W27" s="971"/>
      <c r="X27" s="971"/>
      <c r="Y27" s="971"/>
      <c r="Z27" s="971"/>
      <c r="AA27" s="971"/>
      <c r="AB27" s="971"/>
      <c r="AC27" s="971"/>
      <c r="AD27" s="971"/>
      <c r="AE27" s="971"/>
      <c r="AF27" s="971"/>
      <c r="AG27" s="971"/>
      <c r="AH27" s="971"/>
      <c r="AI27" s="971"/>
      <c r="AJ27" s="971"/>
      <c r="AK27" s="971"/>
      <c r="AL27" s="971"/>
      <c r="AM27" s="971"/>
      <c r="AN27" s="971"/>
      <c r="AO27" s="971"/>
      <c r="AP27" s="971"/>
      <c r="AQ27" s="971"/>
      <c r="AR27" s="971"/>
      <c r="AS27" s="971"/>
      <c r="AT27" s="971"/>
      <c r="AU27" s="971"/>
      <c r="AV27" s="971"/>
      <c r="AW27" s="971"/>
      <c r="AX27" s="971"/>
      <c r="AY27" s="971"/>
      <c r="AZ27" s="971"/>
      <c r="BA27" s="971"/>
      <c r="BB27" s="971"/>
      <c r="BC27" s="971"/>
      <c r="BD27" s="971"/>
      <c r="BE27" s="971"/>
      <c r="BF27" s="971"/>
      <c r="BG27" s="971"/>
      <c r="BH27" s="971"/>
      <c r="BI27" s="971"/>
      <c r="BJ27" s="971"/>
      <c r="BK27" s="971"/>
      <c r="BL27" s="971"/>
      <c r="BM27" s="971"/>
      <c r="BN27" s="971"/>
      <c r="BO27" s="971"/>
      <c r="BP27" s="971"/>
      <c r="BQ27" s="971"/>
      <c r="BR27" s="971"/>
      <c r="BS27" s="971"/>
      <c r="BT27" s="971"/>
      <c r="BU27" s="971"/>
      <c r="BV27" s="971"/>
      <c r="BW27" s="971"/>
      <c r="BX27" s="971"/>
      <c r="BY27" s="971"/>
      <c r="BZ27" s="971"/>
      <c r="CA27" s="971"/>
      <c r="CB27" s="971"/>
      <c r="CC27" s="971"/>
    </row>
    <row r="28" spans="1:81" s="275" customFormat="1" ht="18.600000000000001" thickBot="1" x14ac:dyDescent="0.35">
      <c r="A28" s="1286" t="s">
        <v>1672</v>
      </c>
      <c r="B28" s="1287"/>
      <c r="C28" s="1289"/>
      <c r="D28" s="288" t="s">
        <v>1663</v>
      </c>
      <c r="E28" s="289" t="s">
        <v>1673</v>
      </c>
      <c r="F28" s="1032"/>
      <c r="G28" s="1033"/>
      <c r="H28" s="1034"/>
      <c r="I28" s="1082"/>
      <c r="J28" s="1034"/>
      <c r="K28" s="969"/>
      <c r="P28" s="970"/>
      <c r="Q28" s="971"/>
      <c r="R28" s="971"/>
      <c r="S28" s="971"/>
      <c r="T28" s="971"/>
      <c r="U28" s="971"/>
      <c r="V28" s="971"/>
      <c r="W28" s="971"/>
      <c r="X28" s="971"/>
      <c r="Y28" s="971"/>
      <c r="Z28" s="971"/>
      <c r="AA28" s="971"/>
      <c r="AB28" s="971"/>
      <c r="AC28" s="971"/>
      <c r="AD28" s="971"/>
      <c r="AE28" s="971"/>
      <c r="AF28" s="971"/>
      <c r="AG28" s="971"/>
      <c r="AH28" s="971"/>
      <c r="AI28" s="971"/>
      <c r="AJ28" s="971"/>
      <c r="AK28" s="971"/>
      <c r="AL28" s="971"/>
      <c r="AM28" s="971"/>
      <c r="AN28" s="971"/>
      <c r="AO28" s="971"/>
      <c r="AP28" s="971"/>
      <c r="AQ28" s="971"/>
      <c r="AR28" s="971"/>
      <c r="AS28" s="971"/>
      <c r="AT28" s="971"/>
      <c r="AU28" s="971"/>
      <c r="AV28" s="971"/>
      <c r="AW28" s="971"/>
      <c r="AX28" s="971"/>
      <c r="AY28" s="971"/>
      <c r="AZ28" s="971"/>
      <c r="BA28" s="971"/>
      <c r="BB28" s="971"/>
      <c r="BC28" s="971"/>
      <c r="BD28" s="971"/>
      <c r="BE28" s="971"/>
      <c r="BF28" s="971"/>
      <c r="BG28" s="971"/>
      <c r="BH28" s="971"/>
      <c r="BI28" s="971"/>
      <c r="BJ28" s="971"/>
      <c r="BK28" s="971"/>
      <c r="BL28" s="971"/>
      <c r="BM28" s="971"/>
      <c r="BN28" s="971"/>
      <c r="BO28" s="971"/>
      <c r="BP28" s="971"/>
      <c r="BQ28" s="971"/>
      <c r="BR28" s="971"/>
      <c r="BS28" s="971"/>
      <c r="BT28" s="971"/>
      <c r="BU28" s="971"/>
      <c r="BV28" s="971"/>
      <c r="BW28" s="971"/>
      <c r="BX28" s="971"/>
      <c r="BY28" s="971"/>
      <c r="BZ28" s="971"/>
      <c r="CA28" s="971"/>
      <c r="CB28" s="971"/>
      <c r="CC28" s="971"/>
    </row>
    <row r="29" spans="1:81" s="275" customFormat="1" ht="92.25" customHeight="1" thickBot="1" x14ac:dyDescent="0.35">
      <c r="A29" s="1265" t="s">
        <v>1694</v>
      </c>
      <c r="B29" s="1265"/>
      <c r="C29" s="1265"/>
      <c r="D29" s="1035" t="b">
        <f>IF(Import!L258=1,"Yes",IF(Import!L258=2,"No"))</f>
        <v>0</v>
      </c>
      <c r="E29" s="1006" t="s">
        <v>1695</v>
      </c>
      <c r="F29" s="1035" t="b">
        <f>D29</f>
        <v>0</v>
      </c>
      <c r="G29" s="1008"/>
      <c r="H29" s="1072" t="s">
        <v>1674</v>
      </c>
      <c r="I29" s="1079" t="s">
        <v>1078</v>
      </c>
      <c r="J29" s="1081"/>
      <c r="K29" s="969"/>
      <c r="P29" s="970"/>
      <c r="Q29" s="971"/>
      <c r="R29" s="971"/>
      <c r="S29" s="971"/>
      <c r="T29" s="971"/>
      <c r="U29" s="971"/>
      <c r="V29" s="971"/>
      <c r="W29" s="971"/>
      <c r="X29" s="971"/>
      <c r="Y29" s="971"/>
      <c r="Z29" s="971"/>
      <c r="AA29" s="971"/>
      <c r="AB29" s="971"/>
      <c r="AC29" s="971"/>
      <c r="AD29" s="971"/>
      <c r="AE29" s="971"/>
      <c r="AF29" s="971"/>
      <c r="AG29" s="971"/>
      <c r="AH29" s="971"/>
      <c r="AI29" s="971"/>
      <c r="AJ29" s="971"/>
      <c r="AK29" s="971"/>
      <c r="AL29" s="971"/>
      <c r="AM29" s="971"/>
      <c r="AN29" s="971"/>
      <c r="AO29" s="971"/>
      <c r="AP29" s="971"/>
      <c r="AQ29" s="971"/>
      <c r="AR29" s="971"/>
      <c r="AS29" s="971"/>
      <c r="AT29" s="971"/>
      <c r="AU29" s="971"/>
      <c r="AV29" s="971"/>
      <c r="AW29" s="971"/>
      <c r="AX29" s="971"/>
      <c r="AY29" s="971"/>
      <c r="AZ29" s="971"/>
      <c r="BA29" s="971"/>
      <c r="BB29" s="971"/>
      <c r="BC29" s="971"/>
      <c r="BD29" s="971"/>
      <c r="BE29" s="971"/>
      <c r="BF29" s="971"/>
      <c r="BG29" s="971"/>
      <c r="BH29" s="971"/>
      <c r="BI29" s="971"/>
      <c r="BJ29" s="971"/>
      <c r="BK29" s="971"/>
      <c r="BL29" s="971"/>
      <c r="BM29" s="971"/>
      <c r="BN29" s="971"/>
      <c r="BO29" s="971"/>
      <c r="BP29" s="971"/>
      <c r="BQ29" s="971"/>
      <c r="BR29" s="971"/>
      <c r="BS29" s="971"/>
      <c r="BT29" s="971"/>
      <c r="BU29" s="971"/>
      <c r="BV29" s="971"/>
      <c r="BW29" s="971"/>
      <c r="BX29" s="971"/>
      <c r="BY29" s="971"/>
      <c r="BZ29" s="971"/>
      <c r="CA29" s="971"/>
      <c r="CB29" s="971"/>
      <c r="CC29" s="971"/>
    </row>
    <row r="30" spans="1:81" s="275" customFormat="1" ht="18" customHeight="1" thickBot="1" x14ac:dyDescent="0.35">
      <c r="A30" s="1279"/>
      <c r="B30" s="1280"/>
      <c r="C30" s="1281"/>
      <c r="D30" s="1037" t="s">
        <v>1663</v>
      </c>
      <c r="E30" s="289" t="s">
        <v>1673</v>
      </c>
      <c r="F30" s="1038"/>
      <c r="G30" s="1008"/>
      <c r="H30" s="1038"/>
      <c r="I30" s="1083"/>
      <c r="J30" s="1086"/>
      <c r="K30" s="969"/>
      <c r="P30" s="970"/>
      <c r="Q30" s="971"/>
      <c r="R30" s="971"/>
      <c r="S30" s="971"/>
      <c r="T30" s="971"/>
      <c r="U30" s="971"/>
      <c r="V30" s="971"/>
      <c r="W30" s="971"/>
      <c r="X30" s="971"/>
      <c r="Y30" s="971"/>
      <c r="Z30" s="971"/>
      <c r="AA30" s="971"/>
      <c r="AB30" s="971"/>
      <c r="AC30" s="971"/>
      <c r="AD30" s="971"/>
      <c r="AE30" s="971"/>
      <c r="AF30" s="971"/>
      <c r="AG30" s="971"/>
      <c r="AH30" s="971"/>
      <c r="AI30" s="971"/>
      <c r="AJ30" s="971"/>
      <c r="AK30" s="971"/>
      <c r="AL30" s="971"/>
      <c r="AM30" s="971"/>
      <c r="AN30" s="971"/>
      <c r="AO30" s="971"/>
      <c r="AP30" s="971"/>
      <c r="AQ30" s="971"/>
      <c r="AR30" s="971"/>
      <c r="AS30" s="971"/>
      <c r="AT30" s="971"/>
      <c r="AU30" s="971"/>
      <c r="AV30" s="971"/>
      <c r="AW30" s="971"/>
      <c r="AX30" s="971"/>
      <c r="AY30" s="971"/>
      <c r="AZ30" s="971"/>
      <c r="BA30" s="971"/>
      <c r="BB30" s="971"/>
      <c r="BC30" s="971"/>
      <c r="BD30" s="971"/>
      <c r="BE30" s="971"/>
      <c r="BF30" s="971"/>
      <c r="BG30" s="971"/>
      <c r="BH30" s="971"/>
      <c r="BI30" s="971"/>
      <c r="BJ30" s="971"/>
      <c r="BK30" s="971"/>
      <c r="BL30" s="971"/>
      <c r="BM30" s="971"/>
      <c r="BN30" s="971"/>
      <c r="BO30" s="971"/>
      <c r="BP30" s="971"/>
      <c r="BQ30" s="971"/>
      <c r="BR30" s="971"/>
      <c r="BS30" s="971"/>
      <c r="BT30" s="971"/>
      <c r="BU30" s="971"/>
      <c r="BV30" s="971"/>
      <c r="BW30" s="971"/>
      <c r="BX30" s="971"/>
      <c r="BY30" s="971"/>
      <c r="BZ30" s="971"/>
      <c r="CA30" s="971"/>
      <c r="CB30" s="971"/>
      <c r="CC30" s="971"/>
    </row>
    <row r="31" spans="1:81" s="275" customFormat="1" ht="69.75" customHeight="1" thickBot="1" x14ac:dyDescent="0.35">
      <c r="A31" s="1265" t="s">
        <v>1265</v>
      </c>
      <c r="B31" s="1265"/>
      <c r="C31" s="1265"/>
      <c r="D31" s="1039" t="str">
        <f>IFERROR((Import!L67-Import!L68)/Import!L68,"")</f>
        <v/>
      </c>
      <c r="E31" s="1006" t="s">
        <v>1060</v>
      </c>
      <c r="F31" s="1040" t="str">
        <f>+D31</f>
        <v/>
      </c>
      <c r="G31" s="1008"/>
      <c r="H31" s="1061" t="s">
        <v>1675</v>
      </c>
      <c r="I31" s="1079" t="s">
        <v>1083</v>
      </c>
      <c r="J31" s="1081"/>
      <c r="K31" s="969"/>
      <c r="P31" s="970"/>
      <c r="Q31" s="971"/>
      <c r="R31" s="971"/>
      <c r="S31" s="971"/>
      <c r="T31" s="971"/>
      <c r="U31" s="971"/>
      <c r="V31" s="971"/>
      <c r="W31" s="971"/>
      <c r="X31" s="971"/>
      <c r="Y31" s="971"/>
      <c r="Z31" s="971"/>
      <c r="AA31" s="971"/>
      <c r="AB31" s="971"/>
      <c r="AC31" s="971"/>
      <c r="AD31" s="971"/>
      <c r="AE31" s="971"/>
      <c r="AF31" s="971"/>
      <c r="AG31" s="971"/>
      <c r="AH31" s="971"/>
      <c r="AI31" s="971"/>
      <c r="AJ31" s="971"/>
      <c r="AK31" s="971"/>
      <c r="AL31" s="971"/>
      <c r="AM31" s="971"/>
      <c r="AN31" s="971"/>
      <c r="AO31" s="971"/>
      <c r="AP31" s="971"/>
      <c r="AQ31" s="971"/>
      <c r="AR31" s="971"/>
      <c r="AS31" s="971"/>
      <c r="AT31" s="971"/>
      <c r="AU31" s="971"/>
      <c r="AV31" s="971"/>
      <c r="AW31" s="971"/>
      <c r="AX31" s="971"/>
      <c r="AY31" s="971"/>
      <c r="AZ31" s="971"/>
      <c r="BA31" s="971"/>
      <c r="BB31" s="971"/>
      <c r="BC31" s="971"/>
      <c r="BD31" s="971"/>
      <c r="BE31" s="971"/>
      <c r="BF31" s="971"/>
      <c r="BG31" s="971"/>
      <c r="BH31" s="971"/>
      <c r="BI31" s="971"/>
      <c r="BJ31" s="971"/>
      <c r="BK31" s="971"/>
      <c r="BL31" s="971"/>
      <c r="BM31" s="971"/>
      <c r="BN31" s="971"/>
      <c r="BO31" s="971"/>
      <c r="BP31" s="971"/>
      <c r="BQ31" s="971"/>
      <c r="BR31" s="971"/>
      <c r="BS31" s="971"/>
      <c r="BT31" s="971"/>
      <c r="BU31" s="971"/>
      <c r="BV31" s="971"/>
      <c r="BW31" s="971"/>
      <c r="BX31" s="971"/>
      <c r="BY31" s="971"/>
      <c r="BZ31" s="971"/>
      <c r="CA31" s="971"/>
      <c r="CB31" s="971"/>
      <c r="CC31" s="971"/>
    </row>
    <row r="32" spans="1:81" s="275" customFormat="1" ht="18" customHeight="1" thickBot="1" x14ac:dyDescent="0.35">
      <c r="A32" s="1279"/>
      <c r="B32" s="1280"/>
      <c r="C32" s="1281"/>
      <c r="D32" s="1037" t="s">
        <v>1663</v>
      </c>
      <c r="E32" s="289" t="s">
        <v>1673</v>
      </c>
      <c r="F32" s="1038"/>
      <c r="G32" s="1008"/>
      <c r="H32" s="1038"/>
      <c r="I32" s="1083"/>
      <c r="J32" s="1086"/>
      <c r="K32" s="1041"/>
      <c r="P32" s="970"/>
      <c r="Q32" s="971"/>
      <c r="R32" s="971"/>
      <c r="S32" s="971"/>
      <c r="T32" s="971"/>
      <c r="U32" s="971"/>
      <c r="V32" s="971"/>
      <c r="W32" s="971"/>
      <c r="X32" s="971"/>
      <c r="Y32" s="971"/>
      <c r="Z32" s="971"/>
      <c r="AA32" s="971"/>
      <c r="AB32" s="971"/>
      <c r="AC32" s="971"/>
      <c r="AD32" s="971"/>
      <c r="AE32" s="971"/>
      <c r="AF32" s="971"/>
      <c r="AG32" s="971"/>
      <c r="AH32" s="971"/>
      <c r="AI32" s="971"/>
      <c r="AJ32" s="971"/>
      <c r="AK32" s="971"/>
      <c r="AL32" s="971"/>
      <c r="AM32" s="971"/>
      <c r="AN32" s="971"/>
      <c r="AO32" s="971"/>
      <c r="AP32" s="971"/>
      <c r="AQ32" s="971"/>
      <c r="AR32" s="971"/>
      <c r="AS32" s="971"/>
      <c r="AT32" s="971"/>
      <c r="AU32" s="971"/>
      <c r="AV32" s="971"/>
      <c r="AW32" s="971"/>
      <c r="AX32" s="971"/>
      <c r="AY32" s="971"/>
      <c r="AZ32" s="971"/>
      <c r="BA32" s="971"/>
      <c r="BB32" s="971"/>
      <c r="BC32" s="971"/>
      <c r="BD32" s="971"/>
      <c r="BE32" s="971"/>
      <c r="BF32" s="971"/>
      <c r="BG32" s="971"/>
      <c r="BH32" s="971"/>
      <c r="BI32" s="971"/>
      <c r="BJ32" s="971"/>
      <c r="BK32" s="971"/>
      <c r="BL32" s="971"/>
      <c r="BM32" s="971"/>
      <c r="BN32" s="971"/>
      <c r="BO32" s="971"/>
      <c r="BP32" s="971"/>
      <c r="BQ32" s="971"/>
      <c r="BR32" s="971"/>
      <c r="BS32" s="971"/>
      <c r="BT32" s="971"/>
      <c r="BU32" s="971"/>
      <c r="BV32" s="971"/>
      <c r="BW32" s="971"/>
      <c r="BX32" s="971"/>
      <c r="BY32" s="971"/>
      <c r="BZ32" s="971"/>
      <c r="CA32" s="971"/>
      <c r="CB32" s="971"/>
      <c r="CC32" s="971"/>
    </row>
    <row r="33" spans="1:81" s="275" customFormat="1" ht="74.25" customHeight="1" thickBot="1" x14ac:dyDescent="0.35">
      <c r="A33" s="1265" t="s">
        <v>1676</v>
      </c>
      <c r="B33" s="1265"/>
      <c r="C33" s="1265"/>
      <c r="D33" s="1035" t="b">
        <f>IF(Import!L244=20,"Increase",IF(Import!L244=21,"Decrease",IF(Import!L244=22,"No Change",IF(Import!L244=23,"N/A"))))</f>
        <v>0</v>
      </c>
      <c r="E33" s="1006" t="s">
        <v>1677</v>
      </c>
      <c r="F33" s="1035" t="b">
        <f>D33</f>
        <v>0</v>
      </c>
      <c r="G33" s="1008"/>
      <c r="H33" s="1061" t="s">
        <v>1678</v>
      </c>
      <c r="I33" s="1079" t="s">
        <v>1084</v>
      </c>
      <c r="J33" s="1081"/>
      <c r="K33" s="1042"/>
      <c r="P33" s="970"/>
      <c r="Q33" s="971"/>
      <c r="R33" s="971"/>
      <c r="S33" s="971"/>
      <c r="T33" s="971"/>
      <c r="U33" s="971"/>
      <c r="V33" s="971"/>
      <c r="W33" s="971"/>
      <c r="X33" s="971"/>
      <c r="Y33" s="971"/>
      <c r="Z33" s="971"/>
      <c r="AA33" s="971"/>
      <c r="AB33" s="971"/>
      <c r="AC33" s="971"/>
      <c r="AD33" s="971"/>
      <c r="AE33" s="971"/>
      <c r="AF33" s="971"/>
      <c r="AG33" s="971"/>
      <c r="AH33" s="971"/>
      <c r="AI33" s="971"/>
      <c r="AJ33" s="971"/>
      <c r="AK33" s="971"/>
      <c r="AL33" s="971"/>
      <c r="AM33" s="971"/>
      <c r="AN33" s="971"/>
      <c r="AO33" s="971"/>
      <c r="AP33" s="971"/>
      <c r="AQ33" s="971"/>
      <c r="AR33" s="971"/>
      <c r="AS33" s="971"/>
      <c r="AT33" s="971"/>
      <c r="AU33" s="971"/>
      <c r="AV33" s="971"/>
      <c r="AW33" s="971"/>
      <c r="AX33" s="971"/>
      <c r="AY33" s="971"/>
      <c r="AZ33" s="971"/>
      <c r="BA33" s="971"/>
      <c r="BB33" s="971"/>
      <c r="BC33" s="971"/>
      <c r="BD33" s="971"/>
      <c r="BE33" s="971"/>
      <c r="BF33" s="971"/>
      <c r="BG33" s="971"/>
      <c r="BH33" s="971"/>
      <c r="BI33" s="971"/>
      <c r="BJ33" s="971"/>
      <c r="BK33" s="971"/>
      <c r="BL33" s="971"/>
      <c r="BM33" s="971"/>
      <c r="BN33" s="971"/>
      <c r="BO33" s="971"/>
      <c r="BP33" s="971"/>
      <c r="BQ33" s="971"/>
      <c r="BR33" s="971"/>
      <c r="BS33" s="971"/>
      <c r="BT33" s="971"/>
      <c r="BU33" s="971"/>
      <c r="BV33" s="971"/>
      <c r="BW33" s="971"/>
      <c r="BX33" s="971"/>
      <c r="BY33" s="971"/>
      <c r="BZ33" s="971"/>
      <c r="CA33" s="971"/>
      <c r="CB33" s="971"/>
      <c r="CC33" s="971"/>
    </row>
    <row r="34" spans="1:81" s="275" customFormat="1" ht="18" customHeight="1" thickBot="1" x14ac:dyDescent="0.35">
      <c r="A34" s="1279"/>
      <c r="B34" s="1280"/>
      <c r="C34" s="1281"/>
      <c r="D34" s="1037" t="s">
        <v>1663</v>
      </c>
      <c r="E34" s="289" t="s">
        <v>1673</v>
      </c>
      <c r="F34" s="1038"/>
      <c r="G34" s="1008"/>
      <c r="H34" s="1070"/>
      <c r="I34" s="1083"/>
      <c r="J34" s="1086"/>
      <c r="K34" s="1043"/>
      <c r="P34" s="970"/>
      <c r="Q34" s="971"/>
      <c r="R34" s="971"/>
      <c r="S34" s="971"/>
      <c r="T34" s="971"/>
      <c r="U34" s="971"/>
      <c r="V34" s="971"/>
      <c r="W34" s="971"/>
      <c r="X34" s="971"/>
      <c r="Y34" s="971"/>
      <c r="Z34" s="971"/>
      <c r="AA34" s="971"/>
      <c r="AB34" s="971"/>
      <c r="AC34" s="971"/>
      <c r="AD34" s="971"/>
      <c r="AE34" s="971"/>
      <c r="AF34" s="971"/>
      <c r="AG34" s="971"/>
      <c r="AH34" s="971"/>
      <c r="AI34" s="971"/>
      <c r="AJ34" s="971"/>
      <c r="AK34" s="971"/>
      <c r="AL34" s="971"/>
      <c r="AM34" s="971"/>
      <c r="AN34" s="971"/>
      <c r="AO34" s="971"/>
      <c r="AP34" s="971"/>
      <c r="AQ34" s="971"/>
      <c r="AR34" s="971"/>
      <c r="AS34" s="971"/>
      <c r="AT34" s="971"/>
      <c r="AU34" s="971"/>
      <c r="AV34" s="971"/>
      <c r="AW34" s="971"/>
      <c r="AX34" s="971"/>
      <c r="AY34" s="971"/>
      <c r="AZ34" s="971"/>
      <c r="BA34" s="971"/>
      <c r="BB34" s="971"/>
      <c r="BC34" s="971"/>
      <c r="BD34" s="971"/>
      <c r="BE34" s="971"/>
      <c r="BF34" s="971"/>
      <c r="BG34" s="971"/>
      <c r="BH34" s="971"/>
      <c r="BI34" s="971"/>
      <c r="BJ34" s="971"/>
      <c r="BK34" s="971"/>
      <c r="BL34" s="971"/>
      <c r="BM34" s="971"/>
      <c r="BN34" s="971"/>
      <c r="BO34" s="971"/>
      <c r="BP34" s="971"/>
      <c r="BQ34" s="971"/>
      <c r="BR34" s="971"/>
      <c r="BS34" s="971"/>
      <c r="BT34" s="971"/>
      <c r="BU34" s="971"/>
      <c r="BV34" s="971"/>
      <c r="BW34" s="971"/>
      <c r="BX34" s="971"/>
      <c r="BY34" s="971"/>
      <c r="BZ34" s="971"/>
      <c r="CA34" s="971"/>
      <c r="CB34" s="971"/>
      <c r="CC34" s="971"/>
    </row>
    <row r="35" spans="1:81" s="275" customFormat="1" ht="71.25" customHeight="1" thickBot="1" x14ac:dyDescent="0.35">
      <c r="A35" s="1276" t="s">
        <v>1318</v>
      </c>
      <c r="B35" s="1277"/>
      <c r="C35" s="1278"/>
      <c r="D35" s="1044" t="str">
        <f>IF(Import!L256=1,"Yes",IF(Import!L256=2,"No",IF(Import!L256=0,"This question must be answered")))</f>
        <v>This question must be answered</v>
      </c>
      <c r="E35" s="1006" t="s">
        <v>1088</v>
      </c>
      <c r="F35" s="1006" t="str">
        <f>+D35</f>
        <v>This question must be answered</v>
      </c>
      <c r="G35" s="1008"/>
      <c r="H35" s="1061" t="s">
        <v>1679</v>
      </c>
      <c r="I35" s="1079" t="s">
        <v>1079</v>
      </c>
      <c r="J35" s="1081"/>
      <c r="K35" s="969"/>
      <c r="P35" s="970"/>
      <c r="Q35" s="971"/>
      <c r="R35" s="971"/>
      <c r="S35" s="971"/>
      <c r="T35" s="971"/>
      <c r="U35" s="971"/>
      <c r="V35" s="971"/>
      <c r="W35" s="971"/>
      <c r="X35" s="971"/>
      <c r="Y35" s="971"/>
      <c r="Z35" s="971"/>
      <c r="AA35" s="971"/>
      <c r="AB35" s="971"/>
      <c r="AC35" s="971"/>
      <c r="AD35" s="971"/>
      <c r="AE35" s="971"/>
      <c r="AF35" s="971"/>
      <c r="AG35" s="971"/>
      <c r="AH35" s="971"/>
      <c r="AI35" s="971"/>
      <c r="AJ35" s="971"/>
      <c r="AK35" s="971"/>
      <c r="AL35" s="971"/>
      <c r="AM35" s="971"/>
      <c r="AN35" s="971"/>
      <c r="AO35" s="971"/>
      <c r="AP35" s="971"/>
      <c r="AQ35" s="971"/>
      <c r="AR35" s="971"/>
      <c r="AS35" s="971"/>
      <c r="AT35" s="971"/>
      <c r="AU35" s="971"/>
      <c r="AV35" s="971"/>
      <c r="AW35" s="971"/>
      <c r="AX35" s="971"/>
      <c r="AY35" s="971"/>
      <c r="AZ35" s="971"/>
      <c r="BA35" s="971"/>
      <c r="BB35" s="971"/>
      <c r="BC35" s="971"/>
      <c r="BD35" s="971"/>
      <c r="BE35" s="971"/>
      <c r="BF35" s="971"/>
      <c r="BG35" s="971"/>
      <c r="BH35" s="971"/>
      <c r="BI35" s="971"/>
      <c r="BJ35" s="971"/>
      <c r="BK35" s="971"/>
      <c r="BL35" s="971"/>
      <c r="BM35" s="971"/>
      <c r="BN35" s="971"/>
      <c r="BO35" s="971"/>
      <c r="BP35" s="971"/>
      <c r="BQ35" s="971"/>
      <c r="BR35" s="971"/>
      <c r="BS35" s="971"/>
      <c r="BT35" s="971"/>
      <c r="BU35" s="971"/>
      <c r="BV35" s="971"/>
      <c r="BW35" s="971"/>
      <c r="BX35" s="971"/>
      <c r="BY35" s="971"/>
      <c r="BZ35" s="971"/>
      <c r="CA35" s="971"/>
      <c r="CB35" s="971"/>
      <c r="CC35" s="971"/>
    </row>
    <row r="36" spans="1:81" s="275" customFormat="1" ht="18" customHeight="1" thickBot="1" x14ac:dyDescent="0.35">
      <c r="A36" s="1279"/>
      <c r="B36" s="1280"/>
      <c r="C36" s="1281"/>
      <c r="D36" s="1037" t="s">
        <v>1663</v>
      </c>
      <c r="E36" s="289" t="s">
        <v>1673</v>
      </c>
      <c r="F36" s="1046"/>
      <c r="G36" s="1008"/>
      <c r="H36" s="1070"/>
      <c r="I36" s="1083"/>
      <c r="J36" s="1086"/>
      <c r="K36" s="969"/>
      <c r="P36" s="970"/>
      <c r="Q36" s="971"/>
      <c r="R36" s="971"/>
      <c r="S36" s="971"/>
      <c r="T36" s="971"/>
      <c r="U36" s="971"/>
      <c r="V36" s="971"/>
      <c r="W36" s="971"/>
      <c r="X36" s="971"/>
      <c r="Y36" s="971"/>
      <c r="Z36" s="971"/>
      <c r="AA36" s="971"/>
      <c r="AB36" s="971"/>
      <c r="AC36" s="971"/>
      <c r="AD36" s="971"/>
      <c r="AE36" s="971"/>
      <c r="AF36" s="971"/>
      <c r="AG36" s="971"/>
      <c r="AH36" s="971"/>
      <c r="AI36" s="971"/>
      <c r="AJ36" s="971"/>
      <c r="AK36" s="971"/>
      <c r="AL36" s="971"/>
      <c r="AM36" s="971"/>
      <c r="AN36" s="971"/>
      <c r="AO36" s="971"/>
      <c r="AP36" s="971"/>
      <c r="AQ36" s="971"/>
      <c r="AR36" s="971"/>
      <c r="AS36" s="971"/>
      <c r="AT36" s="971"/>
      <c r="AU36" s="971"/>
      <c r="AV36" s="971"/>
      <c r="AW36" s="971"/>
      <c r="AX36" s="971"/>
      <c r="AY36" s="971"/>
      <c r="AZ36" s="971"/>
      <c r="BA36" s="971"/>
      <c r="BB36" s="971"/>
      <c r="BC36" s="971"/>
      <c r="BD36" s="971"/>
      <c r="BE36" s="971"/>
      <c r="BF36" s="971"/>
      <c r="BG36" s="971"/>
      <c r="BH36" s="971"/>
      <c r="BI36" s="971"/>
      <c r="BJ36" s="971"/>
      <c r="BK36" s="971"/>
      <c r="BL36" s="971"/>
      <c r="BM36" s="971"/>
      <c r="BN36" s="971"/>
      <c r="BO36" s="971"/>
      <c r="BP36" s="971"/>
      <c r="BQ36" s="971"/>
      <c r="BR36" s="971"/>
      <c r="BS36" s="971"/>
      <c r="BT36" s="971"/>
      <c r="BU36" s="971"/>
      <c r="BV36" s="971"/>
      <c r="BW36" s="971"/>
      <c r="BX36" s="971"/>
      <c r="BY36" s="971"/>
      <c r="BZ36" s="971"/>
      <c r="CA36" s="971"/>
      <c r="CB36" s="971"/>
      <c r="CC36" s="971"/>
    </row>
    <row r="37" spans="1:81" s="275" customFormat="1" ht="81" customHeight="1" thickBot="1" x14ac:dyDescent="0.35">
      <c r="A37" s="1276" t="s">
        <v>1266</v>
      </c>
      <c r="B37" s="1277"/>
      <c r="C37" s="1278"/>
      <c r="D37" s="1039" t="str">
        <f>IF(Import!L191&gt;(Import!L155+Import!L158)*0.03,"Yes","No")</f>
        <v>No</v>
      </c>
      <c r="E37" s="1047"/>
      <c r="F37" s="1039" t="str">
        <f>+D37</f>
        <v>No</v>
      </c>
      <c r="G37" s="1008"/>
      <c r="H37" s="986" t="s">
        <v>1680</v>
      </c>
      <c r="I37" s="1079" t="s">
        <v>1085</v>
      </c>
      <c r="J37" s="1081"/>
      <c r="K37" s="969"/>
      <c r="P37" s="970"/>
      <c r="Q37" s="971"/>
      <c r="R37" s="971"/>
      <c r="S37" s="971"/>
      <c r="T37" s="971"/>
      <c r="U37" s="971"/>
      <c r="V37" s="971"/>
      <c r="W37" s="971"/>
      <c r="X37" s="971"/>
      <c r="Y37" s="971"/>
      <c r="Z37" s="971"/>
      <c r="AA37" s="971"/>
      <c r="AB37" s="971"/>
      <c r="AC37" s="971"/>
      <c r="AD37" s="971"/>
      <c r="AE37" s="971"/>
      <c r="AF37" s="971"/>
      <c r="AG37" s="971"/>
      <c r="AH37" s="971"/>
      <c r="AI37" s="971"/>
      <c r="AJ37" s="971"/>
      <c r="AK37" s="971"/>
      <c r="AL37" s="971"/>
      <c r="AM37" s="971"/>
      <c r="AN37" s="971"/>
      <c r="AO37" s="971"/>
      <c r="AP37" s="971"/>
      <c r="AQ37" s="971"/>
      <c r="AR37" s="971"/>
      <c r="AS37" s="971"/>
      <c r="AT37" s="971"/>
      <c r="AU37" s="971"/>
      <c r="AV37" s="971"/>
      <c r="AW37" s="971"/>
      <c r="AX37" s="971"/>
      <c r="AY37" s="971"/>
      <c r="AZ37" s="971"/>
      <c r="BA37" s="971"/>
      <c r="BB37" s="971"/>
      <c r="BC37" s="971"/>
      <c r="BD37" s="971"/>
      <c r="BE37" s="971"/>
      <c r="BF37" s="971"/>
      <c r="BG37" s="971"/>
      <c r="BH37" s="971"/>
      <c r="BI37" s="971"/>
      <c r="BJ37" s="971"/>
      <c r="BK37" s="971"/>
      <c r="BL37" s="971"/>
      <c r="BM37" s="971"/>
      <c r="BN37" s="971"/>
      <c r="BO37" s="971"/>
      <c r="BP37" s="971"/>
      <c r="BQ37" s="971"/>
      <c r="BR37" s="971"/>
      <c r="BS37" s="971"/>
      <c r="BT37" s="971"/>
      <c r="BU37" s="971"/>
      <c r="BV37" s="971"/>
      <c r="BW37" s="971"/>
      <c r="BX37" s="971"/>
      <c r="BY37" s="971"/>
      <c r="BZ37" s="971"/>
      <c r="CA37" s="971"/>
      <c r="CB37" s="971"/>
      <c r="CC37" s="971"/>
    </row>
    <row r="38" spans="1:81" s="275" customFormat="1" ht="18" customHeight="1" thickBot="1" x14ac:dyDescent="0.35">
      <c r="A38" s="1279"/>
      <c r="B38" s="1280"/>
      <c r="C38" s="1281"/>
      <c r="D38" s="1037" t="s">
        <v>1663</v>
      </c>
      <c r="E38" s="289" t="s">
        <v>1673</v>
      </c>
      <c r="F38" s="1038"/>
      <c r="G38" s="1008"/>
      <c r="H38" s="1038"/>
      <c r="I38" s="1083"/>
      <c r="J38" s="1086"/>
      <c r="K38" s="969"/>
      <c r="P38" s="970"/>
      <c r="Q38" s="971"/>
      <c r="R38" s="971"/>
      <c r="S38" s="971"/>
      <c r="T38" s="971"/>
      <c r="U38" s="971"/>
      <c r="V38" s="971"/>
      <c r="W38" s="971"/>
      <c r="X38" s="971"/>
      <c r="Y38" s="971"/>
      <c r="Z38" s="971"/>
      <c r="AA38" s="971"/>
      <c r="AB38" s="971"/>
      <c r="AC38" s="971"/>
      <c r="AD38" s="971"/>
      <c r="AE38" s="971"/>
      <c r="AF38" s="971"/>
      <c r="AG38" s="971"/>
      <c r="AH38" s="971"/>
      <c r="AI38" s="971"/>
      <c r="AJ38" s="971"/>
      <c r="AK38" s="971"/>
      <c r="AL38" s="971"/>
      <c r="AM38" s="971"/>
      <c r="AN38" s="971"/>
      <c r="AO38" s="971"/>
      <c r="AP38" s="971"/>
      <c r="AQ38" s="971"/>
      <c r="AR38" s="971"/>
      <c r="AS38" s="971"/>
      <c r="AT38" s="971"/>
      <c r="AU38" s="971"/>
      <c r="AV38" s="971"/>
      <c r="AW38" s="971"/>
      <c r="AX38" s="971"/>
      <c r="AY38" s="971"/>
      <c r="AZ38" s="971"/>
      <c r="BA38" s="971"/>
      <c r="BB38" s="971"/>
      <c r="BC38" s="971"/>
      <c r="BD38" s="971"/>
      <c r="BE38" s="971"/>
      <c r="BF38" s="971"/>
      <c r="BG38" s="971"/>
      <c r="BH38" s="971"/>
      <c r="BI38" s="971"/>
      <c r="BJ38" s="971"/>
      <c r="BK38" s="971"/>
      <c r="BL38" s="971"/>
      <c r="BM38" s="971"/>
      <c r="BN38" s="971"/>
      <c r="BO38" s="971"/>
      <c r="BP38" s="971"/>
      <c r="BQ38" s="971"/>
      <c r="BR38" s="971"/>
      <c r="BS38" s="971"/>
      <c r="BT38" s="971"/>
      <c r="BU38" s="971"/>
      <c r="BV38" s="971"/>
      <c r="BW38" s="971"/>
      <c r="BX38" s="971"/>
      <c r="BY38" s="971"/>
      <c r="BZ38" s="971"/>
      <c r="CA38" s="971"/>
      <c r="CB38" s="971"/>
      <c r="CC38" s="971"/>
    </row>
    <row r="39" spans="1:81" s="275" customFormat="1" ht="128.25" customHeight="1" thickBot="1" x14ac:dyDescent="0.35">
      <c r="A39" s="1285" t="s">
        <v>1681</v>
      </c>
      <c r="B39" s="1285"/>
      <c r="C39" s="1285"/>
      <c r="D39" s="1006" t="str">
        <f>IFERROR(VLOOKUP(B5,UAL!A3:D141,4,FALSE),"Unit is not on the Unit Assistance List at this time")</f>
        <v>Unit is not on the Unit Assistance List at this time</v>
      </c>
      <c r="E39" s="1006" t="s">
        <v>1587</v>
      </c>
      <c r="F39" s="1006" t="str">
        <f>D39</f>
        <v>Unit is not on the Unit Assistance List at this time</v>
      </c>
      <c r="G39" s="1024"/>
      <c r="H39" s="1071" t="str">
        <f>IF(D39="Unit is not on the Unit Assistance List at this time","N/A-Unit is not on the Unit Assistance List.",L39)</f>
        <v>N/A-Unit is not on the Unit Assistance List.</v>
      </c>
      <c r="I39" s="1084"/>
      <c r="J39" s="1081"/>
      <c r="K39" s="969"/>
      <c r="L39" s="275" t="s">
        <v>1345</v>
      </c>
      <c r="P39" s="970"/>
      <c r="Q39" s="971"/>
      <c r="R39" s="971"/>
      <c r="S39" s="971"/>
      <c r="T39" s="971"/>
      <c r="U39" s="971"/>
      <c r="V39" s="971"/>
      <c r="W39" s="971"/>
      <c r="X39" s="971"/>
      <c r="Y39" s="971"/>
      <c r="Z39" s="971"/>
      <c r="AA39" s="971"/>
      <c r="AB39" s="971"/>
      <c r="AC39" s="971"/>
      <c r="AD39" s="971"/>
      <c r="AE39" s="971"/>
      <c r="AF39" s="971"/>
      <c r="AG39" s="971"/>
      <c r="AH39" s="971"/>
      <c r="AI39" s="971"/>
      <c r="AJ39" s="971"/>
      <c r="AK39" s="971"/>
      <c r="AL39" s="971"/>
      <c r="AM39" s="971"/>
      <c r="AN39" s="971"/>
      <c r="AO39" s="971"/>
      <c r="AP39" s="971"/>
      <c r="AQ39" s="971"/>
      <c r="AR39" s="971"/>
      <c r="AS39" s="971"/>
      <c r="AT39" s="971"/>
      <c r="AU39" s="971"/>
      <c r="AV39" s="971"/>
      <c r="AW39" s="971"/>
      <c r="AX39" s="971"/>
      <c r="AY39" s="971"/>
      <c r="AZ39" s="971"/>
      <c r="BA39" s="971"/>
      <c r="BB39" s="971"/>
      <c r="BC39" s="971"/>
      <c r="BD39" s="971"/>
      <c r="BE39" s="971"/>
      <c r="BF39" s="971"/>
      <c r="BG39" s="971"/>
      <c r="BH39" s="971"/>
      <c r="BI39" s="971"/>
      <c r="BJ39" s="971"/>
      <c r="BK39" s="971"/>
      <c r="BL39" s="971"/>
      <c r="BM39" s="971"/>
      <c r="BN39" s="971"/>
      <c r="BO39" s="971"/>
      <c r="BP39" s="971"/>
      <c r="BQ39" s="971"/>
      <c r="BR39" s="971"/>
      <c r="BS39" s="971"/>
      <c r="BT39" s="971"/>
      <c r="BU39" s="971"/>
      <c r="BV39" s="971"/>
      <c r="BW39" s="971"/>
      <c r="BX39" s="971"/>
      <c r="BY39" s="971"/>
      <c r="BZ39" s="971"/>
      <c r="CA39" s="971"/>
      <c r="CB39" s="971"/>
      <c r="CC39" s="971"/>
    </row>
    <row r="40" spans="1:81" s="275" customFormat="1" ht="18" customHeight="1" thickBot="1" x14ac:dyDescent="0.35">
      <c r="A40" s="1279"/>
      <c r="B40" s="1280"/>
      <c r="C40" s="1281"/>
      <c r="D40" s="1037" t="s">
        <v>1663</v>
      </c>
      <c r="E40" s="289" t="s">
        <v>1673</v>
      </c>
      <c r="F40" s="1038"/>
      <c r="G40" s="1008"/>
      <c r="H40" s="1070"/>
      <c r="I40" s="1083"/>
      <c r="J40" s="1086"/>
      <c r="K40" s="969"/>
      <c r="P40" s="970"/>
      <c r="Q40" s="971"/>
      <c r="R40" s="971"/>
      <c r="S40" s="971"/>
      <c r="T40" s="971"/>
      <c r="U40" s="971"/>
      <c r="V40" s="971"/>
      <c r="W40" s="971"/>
      <c r="X40" s="971"/>
      <c r="Y40" s="971"/>
      <c r="Z40" s="971"/>
      <c r="AA40" s="971"/>
      <c r="AB40" s="971"/>
      <c r="AC40" s="971"/>
      <c r="AD40" s="971"/>
      <c r="AE40" s="971"/>
      <c r="AF40" s="971"/>
      <c r="AG40" s="971"/>
      <c r="AH40" s="971"/>
      <c r="AI40" s="971"/>
      <c r="AJ40" s="971"/>
      <c r="AK40" s="971"/>
      <c r="AL40" s="971"/>
      <c r="AM40" s="971"/>
      <c r="AN40" s="971"/>
      <c r="AO40" s="971"/>
      <c r="AP40" s="971"/>
      <c r="AQ40" s="971"/>
      <c r="AR40" s="971"/>
      <c r="AS40" s="971"/>
      <c r="AT40" s="971"/>
      <c r="AU40" s="971"/>
      <c r="AV40" s="971"/>
      <c r="AW40" s="971"/>
      <c r="AX40" s="971"/>
      <c r="AY40" s="971"/>
      <c r="AZ40" s="971"/>
      <c r="BA40" s="971"/>
      <c r="BB40" s="971"/>
      <c r="BC40" s="971"/>
      <c r="BD40" s="971"/>
      <c r="BE40" s="971"/>
      <c r="BF40" s="971"/>
      <c r="BG40" s="971"/>
      <c r="BH40" s="971"/>
      <c r="BI40" s="971"/>
      <c r="BJ40" s="971"/>
      <c r="BK40" s="971"/>
      <c r="BL40" s="971"/>
      <c r="BM40" s="971"/>
      <c r="BN40" s="971"/>
      <c r="BO40" s="971"/>
      <c r="BP40" s="971"/>
      <c r="BQ40" s="971"/>
      <c r="BR40" s="971"/>
      <c r="BS40" s="971"/>
      <c r="BT40" s="971"/>
      <c r="BU40" s="971"/>
      <c r="BV40" s="971"/>
      <c r="BW40" s="971"/>
      <c r="BX40" s="971"/>
      <c r="BY40" s="971"/>
      <c r="BZ40" s="971"/>
      <c r="CA40" s="971"/>
      <c r="CB40" s="971"/>
      <c r="CC40" s="971"/>
    </row>
    <row r="41" spans="1:81" s="275" customFormat="1" ht="59.25" customHeight="1" thickBot="1" x14ac:dyDescent="0.35">
      <c r="A41" s="1286" t="s">
        <v>1320</v>
      </c>
      <c r="B41" s="1287"/>
      <c r="C41" s="1288"/>
      <c r="D41" s="1013" t="str">
        <f>IF(Import!L257=1,"Yes",IF(Import!L257=2,"No",IF(Import!L257="0","This question must be answered")))</f>
        <v>This question must be answered</v>
      </c>
      <c r="E41" s="1048"/>
      <c r="F41" s="1013" t="str">
        <f>+D41</f>
        <v>This question must be answered</v>
      </c>
      <c r="G41" s="1008"/>
      <c r="H41" s="1061" t="s">
        <v>1682</v>
      </c>
      <c r="I41" s="1085" t="s">
        <v>1086</v>
      </c>
      <c r="J41" s="1081"/>
      <c r="K41" s="969"/>
      <c r="P41" s="970"/>
      <c r="Q41" s="971"/>
      <c r="R41" s="971"/>
      <c r="S41" s="971"/>
      <c r="T41" s="971"/>
      <c r="U41" s="971"/>
      <c r="V41" s="971"/>
      <c r="W41" s="971"/>
      <c r="X41" s="971"/>
      <c r="Y41" s="971"/>
      <c r="Z41" s="971"/>
      <c r="AA41" s="971"/>
      <c r="AB41" s="971"/>
      <c r="AC41" s="971"/>
      <c r="AD41" s="971"/>
      <c r="AE41" s="971"/>
      <c r="AF41" s="971"/>
      <c r="AG41" s="971"/>
      <c r="AH41" s="971"/>
      <c r="AI41" s="971"/>
      <c r="AJ41" s="971"/>
      <c r="AK41" s="971"/>
      <c r="AL41" s="971"/>
      <c r="AM41" s="971"/>
      <c r="AN41" s="971"/>
      <c r="AO41" s="971"/>
      <c r="AP41" s="971"/>
      <c r="AQ41" s="971"/>
      <c r="AR41" s="971"/>
      <c r="AS41" s="971"/>
      <c r="AT41" s="971"/>
      <c r="AU41" s="971"/>
      <c r="AV41" s="971"/>
      <c r="AW41" s="971"/>
      <c r="AX41" s="971"/>
      <c r="AY41" s="971"/>
      <c r="AZ41" s="971"/>
      <c r="BA41" s="971"/>
      <c r="BB41" s="971"/>
      <c r="BC41" s="971"/>
      <c r="BD41" s="971"/>
      <c r="BE41" s="971"/>
      <c r="BF41" s="971"/>
      <c r="BG41" s="971"/>
      <c r="BH41" s="971"/>
      <c r="BI41" s="971"/>
      <c r="BJ41" s="971"/>
      <c r="BK41" s="971"/>
      <c r="BL41" s="971"/>
      <c r="BM41" s="971"/>
      <c r="BN41" s="971"/>
      <c r="BO41" s="971"/>
      <c r="BP41" s="971"/>
      <c r="BQ41" s="971"/>
      <c r="BR41" s="971"/>
      <c r="BS41" s="971"/>
      <c r="BT41" s="971"/>
      <c r="BU41" s="971"/>
      <c r="BV41" s="971"/>
      <c r="BW41" s="971"/>
      <c r="BX41" s="971"/>
      <c r="BY41" s="971"/>
      <c r="BZ41" s="971"/>
      <c r="CA41" s="971"/>
      <c r="CB41" s="971"/>
      <c r="CC41" s="971"/>
    </row>
    <row r="42" spans="1:81" s="275" customFormat="1" ht="18" customHeight="1" thickBot="1" x14ac:dyDescent="0.35">
      <c r="A42" s="1286" t="s">
        <v>1672</v>
      </c>
      <c r="B42" s="1287"/>
      <c r="C42" s="1289"/>
      <c r="D42" s="1037" t="s">
        <v>1663</v>
      </c>
      <c r="E42" s="289" t="s">
        <v>1673</v>
      </c>
      <c r="F42" s="1046"/>
      <c r="G42" s="1008"/>
      <c r="H42" s="1038"/>
      <c r="I42" s="1079"/>
      <c r="J42" s="1086"/>
      <c r="K42" s="969"/>
      <c r="P42" s="970"/>
      <c r="Q42" s="971"/>
      <c r="R42" s="971"/>
      <c r="S42" s="971"/>
      <c r="T42" s="971"/>
      <c r="U42" s="971"/>
      <c r="V42" s="971"/>
      <c r="W42" s="971"/>
      <c r="X42" s="971"/>
      <c r="Y42" s="971"/>
      <c r="Z42" s="971"/>
      <c r="AA42" s="971"/>
      <c r="AB42" s="971"/>
      <c r="AC42" s="971"/>
      <c r="AD42" s="971"/>
      <c r="AE42" s="971"/>
      <c r="AF42" s="971"/>
      <c r="AG42" s="971"/>
      <c r="AH42" s="971"/>
      <c r="AI42" s="971"/>
      <c r="AJ42" s="971"/>
      <c r="AK42" s="971"/>
      <c r="AL42" s="971"/>
      <c r="AM42" s="971"/>
      <c r="AN42" s="971"/>
      <c r="AO42" s="971"/>
      <c r="AP42" s="971"/>
      <c r="AQ42" s="971"/>
      <c r="AR42" s="971"/>
      <c r="AS42" s="971"/>
      <c r="AT42" s="971"/>
      <c r="AU42" s="971"/>
      <c r="AV42" s="971"/>
      <c r="AW42" s="971"/>
      <c r="AX42" s="971"/>
      <c r="AY42" s="971"/>
      <c r="AZ42" s="971"/>
      <c r="BA42" s="971"/>
      <c r="BB42" s="971"/>
      <c r="BC42" s="971"/>
      <c r="BD42" s="971"/>
      <c r="BE42" s="971"/>
      <c r="BF42" s="971"/>
      <c r="BG42" s="971"/>
      <c r="BH42" s="971"/>
      <c r="BI42" s="971"/>
      <c r="BJ42" s="971"/>
      <c r="BK42" s="971"/>
      <c r="BL42" s="971"/>
      <c r="BM42" s="971"/>
      <c r="BN42" s="971"/>
      <c r="BO42" s="971"/>
      <c r="BP42" s="971"/>
      <c r="BQ42" s="971"/>
      <c r="BR42" s="971"/>
      <c r="BS42" s="971"/>
      <c r="BT42" s="971"/>
      <c r="BU42" s="971"/>
      <c r="BV42" s="971"/>
      <c r="BW42" s="971"/>
      <c r="BX42" s="971"/>
      <c r="BY42" s="971"/>
      <c r="BZ42" s="971"/>
      <c r="CA42" s="971"/>
      <c r="CB42" s="971"/>
      <c r="CC42" s="971"/>
    </row>
    <row r="43" spans="1:81" s="275" customFormat="1" ht="63" customHeight="1" thickBot="1" x14ac:dyDescent="0.35">
      <c r="A43" s="1276" t="s">
        <v>1337</v>
      </c>
      <c r="B43" s="1277"/>
      <c r="C43" s="1278"/>
      <c r="D43" s="1013" t="str">
        <f>IF(Import!L253=1,"Yes",IF(Import!L253=2,"No",IF(Import!L253=3,"N/A",IF(Import!L253=0,"This question must be answered"))))</f>
        <v>This question must be answered</v>
      </c>
      <c r="E43" s="1048"/>
      <c r="F43" s="1013" t="str">
        <f>D43</f>
        <v>This question must be answered</v>
      </c>
      <c r="G43" s="1008"/>
      <c r="H43" s="1061" t="s">
        <v>1683</v>
      </c>
      <c r="I43" s="1079" t="s">
        <v>1338</v>
      </c>
      <c r="J43" s="1081"/>
      <c r="K43" s="969"/>
      <c r="P43" s="970"/>
      <c r="Q43" s="971"/>
      <c r="R43" s="971"/>
      <c r="S43" s="971"/>
      <c r="T43" s="971"/>
      <c r="U43" s="971"/>
      <c r="V43" s="971"/>
      <c r="W43" s="971"/>
      <c r="X43" s="971"/>
      <c r="Y43" s="971"/>
      <c r="Z43" s="971"/>
      <c r="AA43" s="971"/>
      <c r="AB43" s="971"/>
      <c r="AC43" s="971"/>
      <c r="AD43" s="971"/>
      <c r="AE43" s="971"/>
      <c r="AF43" s="971"/>
      <c r="AG43" s="971"/>
      <c r="AH43" s="971"/>
      <c r="AI43" s="971"/>
      <c r="AJ43" s="971"/>
      <c r="AK43" s="971"/>
      <c r="AL43" s="971"/>
      <c r="AM43" s="971"/>
      <c r="AN43" s="971"/>
      <c r="AO43" s="971"/>
      <c r="AP43" s="971"/>
      <c r="AQ43" s="971"/>
      <c r="AR43" s="971"/>
      <c r="AS43" s="971"/>
      <c r="AT43" s="971"/>
      <c r="AU43" s="971"/>
      <c r="AV43" s="971"/>
      <c r="AW43" s="971"/>
      <c r="AX43" s="971"/>
      <c r="AY43" s="971"/>
      <c r="AZ43" s="971"/>
      <c r="BA43" s="971"/>
      <c r="BB43" s="971"/>
      <c r="BC43" s="971"/>
      <c r="BD43" s="971"/>
      <c r="BE43" s="971"/>
      <c r="BF43" s="971"/>
      <c r="BG43" s="971"/>
      <c r="BH43" s="971"/>
      <c r="BI43" s="971"/>
      <c r="BJ43" s="971"/>
      <c r="BK43" s="971"/>
      <c r="BL43" s="971"/>
      <c r="BM43" s="971"/>
      <c r="BN43" s="971"/>
      <c r="BO43" s="971"/>
      <c r="BP43" s="971"/>
      <c r="BQ43" s="971"/>
      <c r="BR43" s="971"/>
      <c r="BS43" s="971"/>
      <c r="BT43" s="971"/>
      <c r="BU43" s="971"/>
      <c r="BV43" s="971"/>
      <c r="BW43" s="971"/>
      <c r="BX43" s="971"/>
      <c r="BY43" s="971"/>
      <c r="BZ43" s="971"/>
      <c r="CA43" s="971"/>
      <c r="CB43" s="971"/>
      <c r="CC43" s="971"/>
    </row>
    <row r="44" spans="1:81" s="275" customFormat="1" ht="18" customHeight="1" thickBot="1" x14ac:dyDescent="0.35">
      <c r="A44" s="1279"/>
      <c r="B44" s="1280"/>
      <c r="C44" s="1281"/>
      <c r="D44" s="1037" t="s">
        <v>1663</v>
      </c>
      <c r="E44" s="289" t="s">
        <v>1673</v>
      </c>
      <c r="F44" s="1038"/>
      <c r="G44" s="1008"/>
      <c r="H44" s="1070"/>
      <c r="I44" s="1079"/>
      <c r="J44" s="1086"/>
      <c r="K44" s="969"/>
      <c r="P44" s="970"/>
      <c r="Q44" s="971"/>
      <c r="R44" s="971"/>
      <c r="S44" s="971"/>
      <c r="T44" s="971"/>
      <c r="U44" s="971"/>
      <c r="V44" s="971"/>
      <c r="W44" s="971"/>
      <c r="X44" s="971"/>
      <c r="Y44" s="971"/>
      <c r="Z44" s="971"/>
      <c r="AA44" s="971"/>
      <c r="AB44" s="971"/>
      <c r="AC44" s="971"/>
      <c r="AD44" s="971"/>
      <c r="AE44" s="971"/>
      <c r="AF44" s="971"/>
      <c r="AG44" s="971"/>
      <c r="AH44" s="971"/>
      <c r="AI44" s="971"/>
      <c r="AJ44" s="971"/>
      <c r="AK44" s="971"/>
      <c r="AL44" s="971"/>
      <c r="AM44" s="971"/>
      <c r="AN44" s="971"/>
      <c r="AO44" s="971"/>
      <c r="AP44" s="971"/>
      <c r="AQ44" s="971"/>
      <c r="AR44" s="971"/>
      <c r="AS44" s="971"/>
      <c r="AT44" s="971"/>
      <c r="AU44" s="971"/>
      <c r="AV44" s="971"/>
      <c r="AW44" s="971"/>
      <c r="AX44" s="971"/>
      <c r="AY44" s="971"/>
      <c r="AZ44" s="971"/>
      <c r="BA44" s="971"/>
      <c r="BB44" s="971"/>
      <c r="BC44" s="971"/>
      <c r="BD44" s="971"/>
      <c r="BE44" s="971"/>
      <c r="BF44" s="971"/>
      <c r="BG44" s="971"/>
      <c r="BH44" s="971"/>
      <c r="BI44" s="971"/>
      <c r="BJ44" s="971"/>
      <c r="BK44" s="971"/>
      <c r="BL44" s="971"/>
      <c r="BM44" s="971"/>
      <c r="BN44" s="971"/>
      <c r="BO44" s="971"/>
      <c r="BP44" s="971"/>
      <c r="BQ44" s="971"/>
      <c r="BR44" s="971"/>
      <c r="BS44" s="971"/>
      <c r="BT44" s="971"/>
      <c r="BU44" s="971"/>
      <c r="BV44" s="971"/>
      <c r="BW44" s="971"/>
      <c r="BX44" s="971"/>
      <c r="BY44" s="971"/>
      <c r="BZ44" s="971"/>
      <c r="CA44" s="971"/>
      <c r="CB44" s="971"/>
      <c r="CC44" s="971"/>
    </row>
    <row r="45" spans="1:81" s="275" customFormat="1" ht="67.5" customHeight="1" thickBot="1" x14ac:dyDescent="0.35">
      <c r="A45" s="1276" t="s">
        <v>1588</v>
      </c>
      <c r="B45" s="1277"/>
      <c r="C45" s="1278"/>
      <c r="D45" s="1035" t="b">
        <f>IF(Import!L193=1,"Yes",IF(Import!L193=2,"No",IF(Import!L193=3,"N/A")))</f>
        <v>0</v>
      </c>
      <c r="E45" s="1048"/>
      <c r="F45" s="1035" t="b">
        <f>+D45</f>
        <v>0</v>
      </c>
      <c r="G45" s="1008"/>
      <c r="H45" s="1061" t="s">
        <v>1684</v>
      </c>
      <c r="I45" s="1079" t="s">
        <v>1125</v>
      </c>
      <c r="J45" s="1081"/>
      <c r="K45" s="969"/>
      <c r="P45" s="970"/>
      <c r="Q45" s="971"/>
      <c r="R45" s="971"/>
      <c r="S45" s="971"/>
      <c r="T45" s="971"/>
      <c r="U45" s="971"/>
      <c r="V45" s="971"/>
      <c r="W45" s="971"/>
      <c r="X45" s="971"/>
      <c r="Y45" s="971"/>
      <c r="Z45" s="971"/>
      <c r="AA45" s="971"/>
      <c r="AB45" s="971"/>
      <c r="AC45" s="971"/>
      <c r="AD45" s="971"/>
      <c r="AE45" s="971"/>
      <c r="AF45" s="971"/>
      <c r="AG45" s="971"/>
      <c r="AH45" s="971"/>
      <c r="AI45" s="971"/>
      <c r="AJ45" s="971"/>
      <c r="AK45" s="971"/>
      <c r="AL45" s="971"/>
      <c r="AM45" s="971"/>
      <c r="AN45" s="971"/>
      <c r="AO45" s="971"/>
      <c r="AP45" s="971"/>
      <c r="AQ45" s="971"/>
      <c r="AR45" s="971"/>
      <c r="AS45" s="971"/>
      <c r="AT45" s="971"/>
      <c r="AU45" s="971"/>
      <c r="AV45" s="971"/>
      <c r="AW45" s="971"/>
      <c r="AX45" s="971"/>
      <c r="AY45" s="971"/>
      <c r="AZ45" s="971"/>
      <c r="BA45" s="971"/>
      <c r="BB45" s="971"/>
      <c r="BC45" s="971"/>
      <c r="BD45" s="971"/>
      <c r="BE45" s="971"/>
      <c r="BF45" s="971"/>
      <c r="BG45" s="971"/>
      <c r="BH45" s="971"/>
      <c r="BI45" s="971"/>
      <c r="BJ45" s="971"/>
      <c r="BK45" s="971"/>
      <c r="BL45" s="971"/>
      <c r="BM45" s="971"/>
      <c r="BN45" s="971"/>
      <c r="BO45" s="971"/>
      <c r="BP45" s="971"/>
      <c r="BQ45" s="971"/>
      <c r="BR45" s="971"/>
      <c r="BS45" s="971"/>
      <c r="BT45" s="971"/>
      <c r="BU45" s="971"/>
      <c r="BV45" s="971"/>
      <c r="BW45" s="971"/>
      <c r="BX45" s="971"/>
      <c r="BY45" s="971"/>
      <c r="BZ45" s="971"/>
      <c r="CA45" s="971"/>
      <c r="CB45" s="971"/>
      <c r="CC45" s="971"/>
    </row>
    <row r="46" spans="1:81" s="275" customFormat="1" ht="18" customHeight="1" thickBot="1" x14ac:dyDescent="0.35">
      <c r="A46" s="1279"/>
      <c r="B46" s="1280"/>
      <c r="C46" s="1281"/>
      <c r="D46" s="1037" t="s">
        <v>1663</v>
      </c>
      <c r="E46" s="289" t="s">
        <v>1673</v>
      </c>
      <c r="F46" s="1038"/>
      <c r="G46" s="1008"/>
      <c r="H46" s="1070"/>
      <c r="I46" s="1083"/>
      <c r="J46" s="1086"/>
      <c r="K46" s="969"/>
      <c r="P46" s="970"/>
      <c r="Q46" s="971"/>
      <c r="R46" s="971"/>
      <c r="S46" s="971"/>
      <c r="T46" s="971"/>
      <c r="U46" s="971"/>
      <c r="V46" s="971"/>
      <c r="W46" s="971"/>
      <c r="X46" s="971"/>
      <c r="Y46" s="971"/>
      <c r="Z46" s="971"/>
      <c r="AA46" s="971"/>
      <c r="AB46" s="971"/>
      <c r="AC46" s="971"/>
      <c r="AD46" s="971"/>
      <c r="AE46" s="971"/>
      <c r="AF46" s="971"/>
      <c r="AG46" s="971"/>
      <c r="AH46" s="971"/>
      <c r="AI46" s="971"/>
      <c r="AJ46" s="971"/>
      <c r="AK46" s="971"/>
      <c r="AL46" s="971"/>
      <c r="AM46" s="971"/>
      <c r="AN46" s="971"/>
      <c r="AO46" s="971"/>
      <c r="AP46" s="971"/>
      <c r="AQ46" s="971"/>
      <c r="AR46" s="971"/>
      <c r="AS46" s="971"/>
      <c r="AT46" s="971"/>
      <c r="AU46" s="971"/>
      <c r="AV46" s="971"/>
      <c r="AW46" s="971"/>
      <c r="AX46" s="971"/>
      <c r="AY46" s="971"/>
      <c r="AZ46" s="971"/>
      <c r="BA46" s="971"/>
      <c r="BB46" s="971"/>
      <c r="BC46" s="971"/>
      <c r="BD46" s="971"/>
      <c r="BE46" s="971"/>
      <c r="BF46" s="971"/>
      <c r="BG46" s="971"/>
      <c r="BH46" s="971"/>
      <c r="BI46" s="971"/>
      <c r="BJ46" s="971"/>
      <c r="BK46" s="971"/>
      <c r="BL46" s="971"/>
      <c r="BM46" s="971"/>
      <c r="BN46" s="971"/>
      <c r="BO46" s="971"/>
      <c r="BP46" s="971"/>
      <c r="BQ46" s="971"/>
      <c r="BR46" s="971"/>
      <c r="BS46" s="971"/>
      <c r="BT46" s="971"/>
      <c r="BU46" s="971"/>
      <c r="BV46" s="971"/>
      <c r="BW46" s="971"/>
      <c r="BX46" s="971"/>
      <c r="BY46" s="971"/>
      <c r="BZ46" s="971"/>
      <c r="CA46" s="971"/>
      <c r="CB46" s="971"/>
      <c r="CC46" s="971"/>
    </row>
    <row r="47" spans="1:81" s="275" customFormat="1" ht="68.25" customHeight="1" thickBot="1" x14ac:dyDescent="0.35">
      <c r="A47" s="1276" t="s">
        <v>1059</v>
      </c>
      <c r="B47" s="1277"/>
      <c r="C47" s="1278"/>
      <c r="D47" s="1049" t="e">
        <f>+L47+M47+N47+Import!L250+Import!L251+Import!L254</f>
        <v>#VALUE!</v>
      </c>
      <c r="E47" s="1048"/>
      <c r="F47" s="1050"/>
      <c r="G47" s="1008"/>
      <c r="H47" s="1061" t="s">
        <v>1685</v>
      </c>
      <c r="I47" s="1079" t="s">
        <v>1080</v>
      </c>
      <c r="J47" s="1081"/>
      <c r="K47" s="969"/>
      <c r="L47" s="991">
        <f>IF(Import!L247=1,1,0)</f>
        <v>0</v>
      </c>
      <c r="M47" s="991">
        <f>IF(Import!L248=1,1,0)</f>
        <v>0</v>
      </c>
      <c r="N47" s="991">
        <f>IF(Import!L249=1,1,0)</f>
        <v>0</v>
      </c>
      <c r="P47" s="970"/>
      <c r="Q47" s="971"/>
      <c r="R47" s="971"/>
      <c r="S47" s="971"/>
      <c r="T47" s="971"/>
      <c r="U47" s="971"/>
      <c r="V47" s="971"/>
      <c r="W47" s="971"/>
      <c r="X47" s="971"/>
      <c r="Y47" s="971"/>
      <c r="Z47" s="971"/>
      <c r="AA47" s="971"/>
      <c r="AB47" s="971"/>
      <c r="AC47" s="971"/>
      <c r="AD47" s="971"/>
      <c r="AE47" s="971"/>
      <c r="AF47" s="971"/>
      <c r="AG47" s="971"/>
      <c r="AH47" s="971"/>
      <c r="AI47" s="971"/>
      <c r="AJ47" s="971"/>
      <c r="AK47" s="971"/>
      <c r="AL47" s="971"/>
      <c r="AM47" s="971"/>
      <c r="AN47" s="971"/>
      <c r="AO47" s="971"/>
      <c r="AP47" s="971"/>
      <c r="AQ47" s="971"/>
      <c r="AR47" s="971"/>
      <c r="AS47" s="971"/>
      <c r="AT47" s="971"/>
      <c r="AU47" s="971"/>
      <c r="AV47" s="971"/>
      <c r="AW47" s="971"/>
      <c r="AX47" s="971"/>
      <c r="AY47" s="971"/>
      <c r="AZ47" s="971"/>
      <c r="BA47" s="971"/>
      <c r="BB47" s="971"/>
      <c r="BC47" s="971"/>
      <c r="BD47" s="971"/>
      <c r="BE47" s="971"/>
      <c r="BF47" s="971"/>
      <c r="BG47" s="971"/>
      <c r="BH47" s="971"/>
      <c r="BI47" s="971"/>
      <c r="BJ47" s="971"/>
      <c r="BK47" s="971"/>
      <c r="BL47" s="971"/>
      <c r="BM47" s="971"/>
      <c r="BN47" s="971"/>
      <c r="BO47" s="971"/>
      <c r="BP47" s="971"/>
      <c r="BQ47" s="971"/>
      <c r="BR47" s="971"/>
      <c r="BS47" s="971"/>
      <c r="BT47" s="971"/>
      <c r="BU47" s="971"/>
      <c r="BV47" s="971"/>
      <c r="BW47" s="971"/>
      <c r="BX47" s="971"/>
      <c r="BY47" s="971"/>
      <c r="BZ47" s="971"/>
      <c r="CA47" s="971"/>
      <c r="CB47" s="971"/>
      <c r="CC47" s="971"/>
    </row>
    <row r="48" spans="1:81" s="275" customFormat="1" ht="18" customHeight="1" thickBot="1" x14ac:dyDescent="0.35">
      <c r="A48" s="1279"/>
      <c r="B48" s="1280"/>
      <c r="C48" s="1281"/>
      <c r="D48" s="1037" t="s">
        <v>1663</v>
      </c>
      <c r="E48" s="289" t="s">
        <v>1673</v>
      </c>
      <c r="F48" s="1038"/>
      <c r="G48" s="1008"/>
      <c r="H48" s="1070"/>
      <c r="I48" s="1079"/>
      <c r="J48" s="1086"/>
      <c r="K48" s="969"/>
      <c r="P48" s="970"/>
      <c r="Q48" s="971"/>
      <c r="R48" s="971"/>
      <c r="S48" s="971"/>
      <c r="T48" s="971"/>
      <c r="U48" s="971"/>
      <c r="V48" s="971"/>
      <c r="W48" s="971"/>
      <c r="X48" s="971"/>
      <c r="Y48" s="971"/>
      <c r="Z48" s="971"/>
      <c r="AA48" s="971"/>
      <c r="AB48" s="971"/>
      <c r="AC48" s="971"/>
      <c r="AD48" s="971"/>
      <c r="AE48" s="971"/>
      <c r="AF48" s="971"/>
      <c r="AG48" s="971"/>
      <c r="AH48" s="971"/>
      <c r="AI48" s="971"/>
      <c r="AJ48" s="971"/>
      <c r="AK48" s="971"/>
      <c r="AL48" s="971"/>
      <c r="AM48" s="971"/>
      <c r="AN48" s="971"/>
      <c r="AO48" s="971"/>
      <c r="AP48" s="971"/>
      <c r="AQ48" s="971"/>
      <c r="AR48" s="971"/>
      <c r="AS48" s="971"/>
      <c r="AT48" s="971"/>
      <c r="AU48" s="971"/>
      <c r="AV48" s="971"/>
      <c r="AW48" s="971"/>
      <c r="AX48" s="971"/>
      <c r="AY48" s="971"/>
      <c r="AZ48" s="971"/>
      <c r="BA48" s="971"/>
      <c r="BB48" s="971"/>
      <c r="BC48" s="971"/>
      <c r="BD48" s="971"/>
      <c r="BE48" s="971"/>
      <c r="BF48" s="971"/>
      <c r="BG48" s="971"/>
      <c r="BH48" s="971"/>
      <c r="BI48" s="971"/>
      <c r="BJ48" s="971"/>
      <c r="BK48" s="971"/>
      <c r="BL48" s="971"/>
      <c r="BM48" s="971"/>
      <c r="BN48" s="971"/>
      <c r="BO48" s="971"/>
      <c r="BP48" s="971"/>
      <c r="BQ48" s="971"/>
      <c r="BR48" s="971"/>
      <c r="BS48" s="971"/>
      <c r="BT48" s="971"/>
      <c r="BU48" s="971"/>
      <c r="BV48" s="971"/>
      <c r="BW48" s="971"/>
      <c r="BX48" s="971"/>
      <c r="BY48" s="971"/>
      <c r="BZ48" s="971"/>
      <c r="CA48" s="971"/>
      <c r="CB48" s="971"/>
      <c r="CC48" s="971"/>
    </row>
    <row r="49" spans="1:81" s="275" customFormat="1" ht="114.75" customHeight="1" thickBot="1" x14ac:dyDescent="0.35">
      <c r="A49" s="1265" t="s">
        <v>1087</v>
      </c>
      <c r="B49" s="1265"/>
      <c r="C49" s="1265"/>
      <c r="D49" s="1045" t="e">
        <f>IF('Electric trans'!F29="No, unit exceeds limit by:","Yes","No")</f>
        <v>#N/A</v>
      </c>
      <c r="E49" s="1048"/>
      <c r="F49" s="1045" t="e">
        <f>+D49</f>
        <v>#N/A</v>
      </c>
      <c r="G49" s="1008"/>
      <c r="H49" s="1061" t="s">
        <v>1686</v>
      </c>
      <c r="I49" s="1079" t="s">
        <v>1134</v>
      </c>
      <c r="J49" s="1081"/>
      <c r="K49" s="969"/>
      <c r="P49" s="970"/>
      <c r="Q49" s="971"/>
      <c r="R49" s="971"/>
      <c r="S49" s="971"/>
      <c r="T49" s="971"/>
      <c r="U49" s="971"/>
      <c r="V49" s="971"/>
      <c r="W49" s="971"/>
      <c r="X49" s="971"/>
      <c r="Y49" s="971"/>
      <c r="Z49" s="971"/>
      <c r="AA49" s="971"/>
      <c r="AB49" s="971"/>
      <c r="AC49" s="971"/>
      <c r="AD49" s="971"/>
      <c r="AE49" s="971"/>
      <c r="AF49" s="971"/>
      <c r="AG49" s="971"/>
      <c r="AH49" s="971"/>
      <c r="AI49" s="971"/>
      <c r="AJ49" s="971"/>
      <c r="AK49" s="971"/>
      <c r="AL49" s="971"/>
      <c r="AM49" s="971"/>
      <c r="AN49" s="971"/>
      <c r="AO49" s="971"/>
      <c r="AP49" s="971"/>
      <c r="AQ49" s="971"/>
      <c r="AR49" s="971"/>
      <c r="AS49" s="971"/>
      <c r="AT49" s="971"/>
      <c r="AU49" s="971"/>
      <c r="AV49" s="971"/>
      <c r="AW49" s="971"/>
      <c r="AX49" s="971"/>
      <c r="AY49" s="971"/>
      <c r="AZ49" s="971"/>
      <c r="BA49" s="971"/>
      <c r="BB49" s="971"/>
      <c r="BC49" s="971"/>
      <c r="BD49" s="971"/>
      <c r="BE49" s="971"/>
      <c r="BF49" s="971"/>
      <c r="BG49" s="971"/>
      <c r="BH49" s="971"/>
      <c r="BI49" s="971"/>
      <c r="BJ49" s="971"/>
      <c r="BK49" s="971"/>
      <c r="BL49" s="971"/>
      <c r="BM49" s="971"/>
      <c r="BN49" s="971"/>
      <c r="BO49" s="971"/>
      <c r="BP49" s="971"/>
      <c r="BQ49" s="971"/>
      <c r="BR49" s="971"/>
      <c r="BS49" s="971"/>
      <c r="BT49" s="971"/>
      <c r="BU49" s="971"/>
      <c r="BV49" s="971"/>
      <c r="BW49" s="971"/>
      <c r="BX49" s="971"/>
      <c r="BY49" s="971"/>
      <c r="BZ49" s="971"/>
      <c r="CA49" s="971"/>
      <c r="CB49" s="971"/>
      <c r="CC49" s="971"/>
    </row>
    <row r="50" spans="1:81" s="275" customFormat="1" ht="18" customHeight="1" thickBot="1" x14ac:dyDescent="0.35">
      <c r="A50" s="1282"/>
      <c r="B50" s="1283"/>
      <c r="C50" s="1284"/>
      <c r="D50" s="1037" t="s">
        <v>1663</v>
      </c>
      <c r="E50" s="289" t="s">
        <v>1673</v>
      </c>
      <c r="F50" s="1046"/>
      <c r="G50" s="1008"/>
      <c r="H50" s="1038"/>
      <c r="I50" s="1083"/>
      <c r="J50" s="1086"/>
      <c r="K50" s="969"/>
      <c r="P50" s="970"/>
      <c r="Q50" s="971"/>
      <c r="R50" s="971"/>
      <c r="S50" s="971"/>
      <c r="T50" s="971"/>
      <c r="U50" s="971"/>
      <c r="V50" s="971"/>
      <c r="W50" s="971"/>
      <c r="X50" s="971"/>
      <c r="Y50" s="971"/>
      <c r="Z50" s="971"/>
      <c r="AA50" s="971"/>
      <c r="AB50" s="971"/>
      <c r="AC50" s="971"/>
      <c r="AD50" s="971"/>
      <c r="AE50" s="971"/>
      <c r="AF50" s="971"/>
      <c r="AG50" s="971"/>
      <c r="AH50" s="971"/>
      <c r="AI50" s="971"/>
      <c r="AJ50" s="971"/>
      <c r="AK50" s="971"/>
      <c r="AL50" s="971"/>
      <c r="AM50" s="971"/>
      <c r="AN50" s="971"/>
      <c r="AO50" s="971"/>
      <c r="AP50" s="971"/>
      <c r="AQ50" s="971"/>
      <c r="AR50" s="971"/>
      <c r="AS50" s="971"/>
      <c r="AT50" s="971"/>
      <c r="AU50" s="971"/>
      <c r="AV50" s="971"/>
      <c r="AW50" s="971"/>
      <c r="AX50" s="971"/>
      <c r="AY50" s="971"/>
      <c r="AZ50" s="971"/>
      <c r="BA50" s="971"/>
      <c r="BB50" s="971"/>
      <c r="BC50" s="971"/>
      <c r="BD50" s="971"/>
      <c r="BE50" s="971"/>
      <c r="BF50" s="971"/>
      <c r="BG50" s="971"/>
      <c r="BH50" s="971"/>
      <c r="BI50" s="971"/>
      <c r="BJ50" s="971"/>
      <c r="BK50" s="971"/>
      <c r="BL50" s="971"/>
      <c r="BM50" s="971"/>
      <c r="BN50" s="971"/>
      <c r="BO50" s="971"/>
      <c r="BP50" s="971"/>
      <c r="BQ50" s="971"/>
      <c r="BR50" s="971"/>
      <c r="BS50" s="971"/>
      <c r="BT50" s="971"/>
      <c r="BU50" s="971"/>
      <c r="BV50" s="971"/>
      <c r="BW50" s="971"/>
      <c r="BX50" s="971"/>
      <c r="BY50" s="971"/>
      <c r="BZ50" s="971"/>
      <c r="CA50" s="971"/>
      <c r="CB50" s="971"/>
      <c r="CC50" s="971"/>
    </row>
    <row r="51" spans="1:81" s="275" customFormat="1" ht="114.75" customHeight="1" thickBot="1" x14ac:dyDescent="0.4">
      <c r="A51" s="1265" t="s">
        <v>1133</v>
      </c>
      <c r="B51" s="1265"/>
      <c r="C51" s="1265"/>
      <c r="D51" s="1035">
        <f>+Import!L254</f>
        <v>0</v>
      </c>
      <c r="E51" s="1048"/>
      <c r="F51" s="1050">
        <f>D51</f>
        <v>0</v>
      </c>
      <c r="G51" s="1008"/>
      <c r="H51" s="1061" t="s">
        <v>1688</v>
      </c>
      <c r="I51" s="1097" t="s">
        <v>1687</v>
      </c>
      <c r="J51" s="1081"/>
      <c r="K51" s="969"/>
      <c r="M51" s="1051" t="e">
        <f>'PI series #'!#REF!</f>
        <v>#REF!</v>
      </c>
      <c r="P51" s="970"/>
      <c r="Q51" s="971"/>
      <c r="R51" s="971"/>
      <c r="S51" s="971"/>
      <c r="T51" s="971"/>
      <c r="U51" s="971"/>
      <c r="V51" s="971"/>
      <c r="W51" s="971"/>
      <c r="X51" s="971"/>
      <c r="Y51" s="971"/>
      <c r="Z51" s="971"/>
      <c r="AA51" s="971"/>
      <c r="AB51" s="971"/>
      <c r="AC51" s="971"/>
      <c r="AD51" s="971"/>
      <c r="AE51" s="971"/>
      <c r="AF51" s="971"/>
      <c r="AG51" s="971"/>
      <c r="AH51" s="971"/>
      <c r="AI51" s="971"/>
      <c r="AJ51" s="971"/>
      <c r="AK51" s="971"/>
      <c r="AL51" s="971"/>
      <c r="AM51" s="971"/>
      <c r="AN51" s="971"/>
      <c r="AO51" s="971"/>
      <c r="AP51" s="971"/>
      <c r="AQ51" s="971"/>
      <c r="AR51" s="971"/>
      <c r="AS51" s="971"/>
      <c r="AT51" s="971"/>
      <c r="AU51" s="971"/>
      <c r="AV51" s="971"/>
      <c r="AW51" s="971"/>
      <c r="AX51" s="971"/>
      <c r="AY51" s="971"/>
      <c r="AZ51" s="971"/>
      <c r="BA51" s="971"/>
      <c r="BB51" s="971"/>
      <c r="BC51" s="971"/>
      <c r="BD51" s="971"/>
      <c r="BE51" s="971"/>
      <c r="BF51" s="971"/>
      <c r="BG51" s="971"/>
      <c r="BH51" s="971"/>
      <c r="BI51" s="971"/>
      <c r="BJ51" s="971"/>
      <c r="BK51" s="971"/>
      <c r="BL51" s="971"/>
      <c r="BM51" s="971"/>
      <c r="BN51" s="971"/>
      <c r="BO51" s="971"/>
      <c r="BP51" s="971"/>
      <c r="BQ51" s="971"/>
      <c r="BR51" s="971"/>
      <c r="BS51" s="971"/>
      <c r="BT51" s="971"/>
      <c r="BU51" s="971"/>
      <c r="BV51" s="971"/>
      <c r="BW51" s="971"/>
      <c r="BX51" s="971"/>
      <c r="BY51" s="971"/>
      <c r="BZ51" s="971"/>
      <c r="CA51" s="971"/>
      <c r="CB51" s="971"/>
      <c r="CC51" s="971"/>
    </row>
    <row r="52" spans="1:81" s="972" customFormat="1" x14ac:dyDescent="0.3">
      <c r="A52" s="1052"/>
      <c r="B52" s="1052"/>
      <c r="C52" s="1052"/>
      <c r="D52" s="1052"/>
      <c r="E52" s="1052"/>
      <c r="F52" s="1052"/>
      <c r="G52" s="1053"/>
      <c r="H52" s="1052"/>
      <c r="I52" s="1057"/>
      <c r="J52" s="1057"/>
      <c r="L52" s="275"/>
      <c r="M52" s="275"/>
      <c r="N52" s="275"/>
      <c r="O52" s="275"/>
      <c r="P52" s="970"/>
      <c r="Q52" s="971"/>
      <c r="R52" s="971"/>
      <c r="S52" s="971"/>
      <c r="T52" s="971"/>
      <c r="U52" s="971"/>
      <c r="V52" s="971"/>
      <c r="W52" s="971"/>
      <c r="X52" s="971"/>
      <c r="Y52" s="971"/>
      <c r="Z52" s="971"/>
      <c r="AA52" s="971"/>
      <c r="AB52" s="971"/>
      <c r="AC52" s="971"/>
      <c r="AD52" s="971"/>
      <c r="AE52" s="971"/>
      <c r="AF52" s="971"/>
      <c r="AG52" s="971"/>
      <c r="AH52" s="971"/>
      <c r="AI52" s="971"/>
      <c r="AJ52" s="971"/>
      <c r="AK52" s="971"/>
      <c r="AL52" s="971"/>
      <c r="AM52" s="971"/>
      <c r="AN52" s="971"/>
      <c r="AO52" s="971"/>
      <c r="AP52" s="971"/>
      <c r="AQ52" s="971"/>
      <c r="AR52" s="971"/>
      <c r="AS52" s="971"/>
      <c r="AT52" s="971"/>
      <c r="AU52" s="971"/>
      <c r="AV52" s="971"/>
      <c r="AW52" s="971"/>
      <c r="AX52" s="971"/>
      <c r="AY52" s="971"/>
      <c r="AZ52" s="971"/>
      <c r="BA52" s="971"/>
      <c r="BB52" s="971"/>
      <c r="BC52" s="971"/>
      <c r="BD52" s="971"/>
      <c r="BE52" s="971"/>
      <c r="BF52" s="971"/>
      <c r="BG52" s="971"/>
      <c r="BH52" s="971"/>
      <c r="BI52" s="971"/>
      <c r="BJ52" s="971"/>
      <c r="BK52" s="971"/>
      <c r="BL52" s="971"/>
      <c r="BM52" s="971"/>
      <c r="BN52" s="971"/>
      <c r="BO52" s="971"/>
      <c r="BP52" s="971"/>
      <c r="BQ52" s="971"/>
      <c r="BR52" s="971"/>
      <c r="BS52" s="971"/>
      <c r="BT52" s="971"/>
      <c r="BU52" s="971"/>
      <c r="BV52" s="971"/>
      <c r="BW52" s="971"/>
      <c r="BX52" s="971"/>
      <c r="BY52" s="971"/>
      <c r="BZ52" s="971"/>
      <c r="CA52" s="971"/>
      <c r="CB52" s="971"/>
      <c r="CC52" s="971"/>
    </row>
  </sheetData>
  <mergeCells count="44">
    <mergeCell ref="A1:H1"/>
    <mergeCell ref="A2:H2"/>
    <mergeCell ref="G3:H3"/>
    <mergeCell ref="B4:D4"/>
    <mergeCell ref="E4:F5"/>
    <mergeCell ref="H4:H5"/>
    <mergeCell ref="B5:D5"/>
    <mergeCell ref="A32:C32"/>
    <mergeCell ref="A6:F7"/>
    <mergeCell ref="H6:H8"/>
    <mergeCell ref="A8:D8"/>
    <mergeCell ref="A9:D9"/>
    <mergeCell ref="A18:C18"/>
    <mergeCell ref="A20:D20"/>
    <mergeCell ref="A10:D10"/>
    <mergeCell ref="A11:D11"/>
    <mergeCell ref="A21:D21"/>
    <mergeCell ref="A28:C28"/>
    <mergeCell ref="A29:C29"/>
    <mergeCell ref="A30:C30"/>
    <mergeCell ref="A31:C31"/>
    <mergeCell ref="A44:C44"/>
    <mergeCell ref="A33:C33"/>
    <mergeCell ref="A34:C34"/>
    <mergeCell ref="A35:C35"/>
    <mergeCell ref="A36:C36"/>
    <mergeCell ref="A37:C37"/>
    <mergeCell ref="A38:C38"/>
    <mergeCell ref="I1:J1"/>
    <mergeCell ref="A51:C51"/>
    <mergeCell ref="I2:I5"/>
    <mergeCell ref="J2:J5"/>
    <mergeCell ref="J6:J8"/>
    <mergeCell ref="A45:C45"/>
    <mergeCell ref="A46:C46"/>
    <mergeCell ref="A47:C47"/>
    <mergeCell ref="A48:C48"/>
    <mergeCell ref="A49:C49"/>
    <mergeCell ref="A50:C50"/>
    <mergeCell ref="A39:C39"/>
    <mergeCell ref="A40:C40"/>
    <mergeCell ref="A41:C41"/>
    <mergeCell ref="A42:C42"/>
    <mergeCell ref="A43:C43"/>
  </mergeCells>
  <conditionalFormatting sqref="F14">
    <cfRule type="cellIs" dxfId="36" priority="30" operator="lessThan">
      <formula>1</formula>
    </cfRule>
  </conditionalFormatting>
  <conditionalFormatting sqref="F16">
    <cfRule type="cellIs" dxfId="35" priority="29" operator="lessThan">
      <formula>0</formula>
    </cfRule>
  </conditionalFormatting>
  <conditionalFormatting sqref="F17">
    <cfRule type="cellIs" dxfId="34" priority="28" operator="lessThan">
      <formula>0.16</formula>
    </cfRule>
  </conditionalFormatting>
  <conditionalFormatting sqref="F21">
    <cfRule type="cellIs" dxfId="33" priority="27" operator="lessThan">
      <formula>1</formula>
    </cfRule>
  </conditionalFormatting>
  <conditionalFormatting sqref="F23">
    <cfRule type="cellIs" dxfId="32" priority="26" operator="lessThan">
      <formula>0</formula>
    </cfRule>
  </conditionalFormatting>
  <conditionalFormatting sqref="F24">
    <cfRule type="cellIs" dxfId="31" priority="25" operator="lessThan">
      <formula>0.16</formula>
    </cfRule>
  </conditionalFormatting>
  <conditionalFormatting sqref="F29">
    <cfRule type="cellIs" dxfId="30" priority="24" operator="equal">
      <formula>"No"</formula>
    </cfRule>
  </conditionalFormatting>
  <conditionalFormatting sqref="F31">
    <cfRule type="cellIs" dxfId="29" priority="23" operator="lessThan">
      <formula>-0.03</formula>
    </cfRule>
  </conditionalFormatting>
  <conditionalFormatting sqref="F37">
    <cfRule type="cellIs" dxfId="28" priority="15" operator="equal">
      <formula>"Yes"</formula>
    </cfRule>
  </conditionalFormatting>
  <conditionalFormatting sqref="F39">
    <cfRule type="cellIs" dxfId="27" priority="22" operator="equal">
      <formula>"Yes"</formula>
    </cfRule>
  </conditionalFormatting>
  <conditionalFormatting sqref="F41">
    <cfRule type="cellIs" dxfId="26" priority="21" operator="equal">
      <formula>"Yes"</formula>
    </cfRule>
  </conditionalFormatting>
  <conditionalFormatting sqref="F43">
    <cfRule type="cellIs" dxfId="25" priority="20" operator="equal">
      <formula>"Yes"</formula>
    </cfRule>
  </conditionalFormatting>
  <conditionalFormatting sqref="F35">
    <cfRule type="cellIs" dxfId="24" priority="19" operator="equal">
      <formula>"No"</formula>
    </cfRule>
  </conditionalFormatting>
  <conditionalFormatting sqref="F50">
    <cfRule type="cellIs" dxfId="23" priority="17" operator="equal">
      <formula>"Yes"</formula>
    </cfRule>
  </conditionalFormatting>
  <conditionalFormatting sqref="F49">
    <cfRule type="cellIs" dxfId="22" priority="16" operator="equal">
      <formula>"Yes"</formula>
    </cfRule>
  </conditionalFormatting>
  <conditionalFormatting sqref="F45">
    <cfRule type="cellIs" dxfId="21" priority="14" operator="equal">
      <formula>"No"</formula>
    </cfRule>
  </conditionalFormatting>
  <conditionalFormatting sqref="F33">
    <cfRule type="cellIs" dxfId="20" priority="13" operator="equal">
      <formula>"Decrease"</formula>
    </cfRule>
  </conditionalFormatting>
  <conditionalFormatting sqref="F47">
    <cfRule type="expression" dxfId="19" priority="12">
      <formula>$D$47&gt;0</formula>
    </cfRule>
  </conditionalFormatting>
  <conditionalFormatting sqref="F51">
    <cfRule type="expression" dxfId="18" priority="11">
      <formula>M51&gt;0</formula>
    </cfRule>
  </conditionalFormatting>
  <conditionalFormatting sqref="F9">
    <cfRule type="expression" dxfId="17" priority="5">
      <formula>F9-L8&lt;0</formula>
    </cfRule>
  </conditionalFormatting>
  <conditionalFormatting sqref="F26">
    <cfRule type="cellIs" dxfId="16" priority="10" operator="lessThan">
      <formula>1</formula>
    </cfRule>
  </conditionalFormatting>
  <conditionalFormatting sqref="F10">
    <cfRule type="expression" dxfId="15" priority="9">
      <formula>$L$10&lt;0%</formula>
    </cfRule>
  </conditionalFormatting>
  <conditionalFormatting sqref="F11">
    <cfRule type="expression" dxfId="14" priority="7">
      <formula>$L$11&lt;8%</formula>
    </cfRule>
  </conditionalFormatting>
  <conditionalFormatting sqref="F12">
    <cfRule type="cellIs" dxfId="13" priority="4" operator="lessThan">
      <formula>0</formula>
    </cfRule>
  </conditionalFormatting>
  <conditionalFormatting sqref="F18">
    <cfRule type="expression" dxfId="12" priority="1">
      <formula>D18="Yes"</formula>
    </cfRule>
  </conditionalFormatting>
  <pageMargins left="0.25" right="0.25" top="0.05" bottom="0.05" header="0.3" footer="0.3"/>
  <pageSetup scale="65" fitToHeight="0" orientation="landscape" r:id="rId1"/>
  <rowBreaks count="4" manualBreakCount="4">
    <brk id="12" max="7" man="1"/>
    <brk id="18" max="7" man="1"/>
    <brk id="26" max="7" man="1"/>
    <brk id="41" max="7" man="1"/>
  </rowBreaks>
  <drawing r:id="rId2"/>
  <legacyDrawing r:id="rId3"/>
  <oleObjects>
    <mc:AlternateContent xmlns:mc="http://schemas.openxmlformats.org/markup-compatibility/2006">
      <mc:Choice Requires="x14">
        <oleObject progId="Excel.Sheet.12" shapeId="17409" r:id="rId4">
          <objectPr defaultSize="0" autoPict="0" r:id="rId5">
            <anchor moveWithCells="1">
              <from>
                <xdr:col>0</xdr:col>
                <xdr:colOff>289560</xdr:colOff>
                <xdr:row>5</xdr:row>
                <xdr:rowOff>251460</xdr:rowOff>
              </from>
              <to>
                <xdr:col>5</xdr:col>
                <xdr:colOff>480060</xdr:colOff>
                <xdr:row>6</xdr:row>
                <xdr:rowOff>1203960</xdr:rowOff>
              </to>
            </anchor>
          </objectPr>
        </oleObject>
      </mc:Choice>
      <mc:Fallback>
        <oleObject progId="Excel.Sheet.12" shapeId="1740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D8F8-0789-47C5-8DBB-AB7B88D9B55C}">
  <sheetPr codeName="Sheet6">
    <tabColor theme="3" tint="0.79998168889431442"/>
    <pageSetUpPr fitToPage="1"/>
  </sheetPr>
  <dimension ref="A1:BZ24"/>
  <sheetViews>
    <sheetView showGridLines="0" zoomScale="80" zoomScaleNormal="80" workbookViewId="0">
      <pane ySplit="4" topLeftCell="A5" activePane="bottomLeft" state="frozen"/>
      <selection pane="bottomLeft" activeCell="D6" sqref="D6"/>
    </sheetView>
  </sheetViews>
  <sheetFormatPr defaultColWidth="9.109375" defaultRowHeight="14.4" x14ac:dyDescent="0.3"/>
  <cols>
    <col min="1" max="1" width="44.5546875" style="507" customWidth="1"/>
    <col min="2" max="2" width="17.33203125" style="507" customWidth="1"/>
    <col min="3" max="3" width="17.88671875" style="507" customWidth="1"/>
    <col min="4" max="4" width="20.88671875" style="507" customWidth="1"/>
    <col min="5" max="5" width="16.109375" style="507" customWidth="1"/>
    <col min="6" max="6" width="14.88671875" style="507" customWidth="1"/>
    <col min="7" max="7" width="46.109375" style="514" customWidth="1"/>
    <col min="8" max="8" width="77.5546875" style="507" customWidth="1"/>
    <col min="9" max="9" width="34" style="507" customWidth="1"/>
    <col min="10" max="10" width="9.109375" style="507" customWidth="1"/>
    <col min="11" max="11" width="36.88671875" style="507" customWidth="1"/>
    <col min="12" max="12" width="15" style="507" customWidth="1"/>
    <col min="13" max="13" width="11.88671875" style="507" customWidth="1"/>
    <col min="14" max="24" width="9.109375" style="507" customWidth="1"/>
    <col min="25" max="25" width="9.109375" style="301" customWidth="1"/>
    <col min="26" max="26" width="36.88671875" style="565" hidden="1" customWidth="1"/>
    <col min="27" max="16384" width="9.109375" style="507"/>
  </cols>
  <sheetData>
    <row r="1" spans="1:78" x14ac:dyDescent="0.3">
      <c r="A1" s="508" t="s">
        <v>1054</v>
      </c>
      <c r="B1" s="509"/>
      <c r="C1" s="509"/>
      <c r="D1" s="509"/>
      <c r="E1" s="510" t="s">
        <v>1055</v>
      </c>
      <c r="F1" s="510">
        <v>2021</v>
      </c>
      <c r="G1" s="1321"/>
      <c r="H1" s="1322"/>
      <c r="I1" s="511"/>
      <c r="Z1" s="558" t="s">
        <v>1341</v>
      </c>
    </row>
    <row r="2" spans="1:78" ht="98.25" customHeight="1" x14ac:dyDescent="0.3">
      <c r="A2" s="512" t="s">
        <v>1137</v>
      </c>
      <c r="B2" s="1323" t="str">
        <f>'Unit Data from Audit Worksheet'!D2</f>
        <v>Select Unit Name from Drop Down List</v>
      </c>
      <c r="C2" s="1323"/>
      <c r="D2" s="1323"/>
      <c r="E2" s="1327" t="s">
        <v>1585</v>
      </c>
      <c r="F2" s="1327"/>
      <c r="G2" s="1327"/>
      <c r="H2" s="1324" t="s">
        <v>1348</v>
      </c>
      <c r="I2" s="513"/>
      <c r="J2" s="514"/>
      <c r="K2" s="515"/>
      <c r="Z2" s="162"/>
    </row>
    <row r="3" spans="1:78" ht="38.25" customHeight="1" x14ac:dyDescent="0.3">
      <c r="A3" s="516" t="s">
        <v>1056</v>
      </c>
      <c r="B3" s="1326" t="e">
        <f>'Unit Data from Audit Worksheet'!D3</f>
        <v>#N/A</v>
      </c>
      <c r="C3" s="1326"/>
      <c r="D3" s="1326"/>
      <c r="E3" s="1328"/>
      <c r="F3" s="1328"/>
      <c r="G3" s="1328"/>
      <c r="H3" s="1325"/>
      <c r="I3" s="511"/>
      <c r="K3" s="517" t="s">
        <v>1095</v>
      </c>
      <c r="Z3" s="162"/>
    </row>
    <row r="4" spans="1:78" ht="106.5" customHeight="1" x14ac:dyDescent="0.3">
      <c r="A4" s="572"/>
      <c r="B4" s="573">
        <v>2019</v>
      </c>
      <c r="C4" s="573">
        <v>2020</v>
      </c>
      <c r="D4" s="573">
        <v>2021</v>
      </c>
      <c r="E4" s="574" t="s">
        <v>1346</v>
      </c>
      <c r="F4" s="573" t="s">
        <v>1061</v>
      </c>
      <c r="G4" s="575"/>
      <c r="H4" s="573" t="s">
        <v>1057</v>
      </c>
      <c r="I4" s="574" t="s">
        <v>1385</v>
      </c>
      <c r="J4" s="518"/>
      <c r="Z4" s="162"/>
    </row>
    <row r="5" spans="1:78" x14ac:dyDescent="0.3">
      <c r="A5" s="568" t="s">
        <v>730</v>
      </c>
      <c r="B5" s="569"/>
      <c r="C5" s="569"/>
      <c r="D5" s="569"/>
      <c r="E5" s="570"/>
      <c r="F5" s="567"/>
      <c r="G5" s="570"/>
      <c r="H5" s="569"/>
      <c r="I5" s="571"/>
      <c r="J5" s="518"/>
      <c r="K5" s="520">
        <f>+(Import!$L$72+Import!$L$77+Import!$L$74-Import!$L$75-Import!$L$76)</f>
        <v>0</v>
      </c>
      <c r="L5" s="507" t="s">
        <v>1146</v>
      </c>
      <c r="Z5" s="560"/>
    </row>
    <row r="6" spans="1:78" ht="143.25" customHeight="1" x14ac:dyDescent="0.3">
      <c r="A6" s="399" t="s">
        <v>877</v>
      </c>
      <c r="B6" s="395" t="e">
        <f>HLOOKUP($B$3,'2019 Data(H)'!$E$2:$CQ$299,291,FALSE)</f>
        <v>#N/A</v>
      </c>
      <c r="C6" s="395" t="e">
        <f>HLOOKUP($B$2,'2020 Data(H)'!$E$1:$CR$397,339,FALSE)</f>
        <v>#N/A</v>
      </c>
      <c r="D6" s="395" t="str">
        <f>IFERROR((Import!$L$52+Import!$L$53-Import!$L$57-Import!$L$58-Import!$L$230-Import!$L$62+Import!$L$89)/(Import!$L$72+Import!$L$77+Import!$L$74-Import!$L$75-Import!$L$76),"")</f>
        <v/>
      </c>
      <c r="E6" s="545" t="b">
        <f>IF(K5&gt;10000000,"25% -- Average of similar units is 46%",IF(K5&gt;999999,"34% -- Average of similar units is 63%",IF(K5&gt;99999,"71% -- Average of similar units is 132%",IF(K5&gt;1,"100 %-- Average of similar units is 260%"))))</f>
        <v>0</v>
      </c>
      <c r="F6" s="943"/>
      <c r="G6" s="952" t="s">
        <v>1547</v>
      </c>
      <c r="H6" s="932" t="s">
        <v>1586</v>
      </c>
      <c r="I6" s="544"/>
      <c r="J6" s="518"/>
      <c r="K6" s="521" t="b">
        <f>IF($K$5&gt;10000000,"25%",IF($K$5&gt;999999,"34%",IF($K$5&gt;99999,"71%",IF($K$5&gt;1,"100%"))))</f>
        <v>0</v>
      </c>
      <c r="L6" s="522" t="e">
        <f>+D6-K6</f>
        <v>#VALUE!</v>
      </c>
      <c r="Z6" s="162" t="s">
        <v>1342</v>
      </c>
    </row>
    <row r="7" spans="1:78" ht="22.5" customHeight="1" x14ac:dyDescent="0.3">
      <c r="A7" s="399"/>
      <c r="B7" s="397"/>
      <c r="C7" s="397"/>
      <c r="D7" s="397"/>
      <c r="E7" s="545"/>
      <c r="F7" s="398"/>
      <c r="G7" s="543"/>
      <c r="H7" s="541"/>
      <c r="I7" s="961"/>
      <c r="J7" s="518"/>
      <c r="K7" s="546"/>
      <c r="L7" s="522"/>
      <c r="Z7" s="162"/>
    </row>
    <row r="8" spans="1:78" ht="137.25" customHeight="1" x14ac:dyDescent="0.3">
      <c r="A8" s="941" t="s">
        <v>1592</v>
      </c>
      <c r="B8" s="942" t="e">
        <f>HLOOKUP($B$3,'2019 Data(H)'!$E$2:$CQ$299,291,FALSE)</f>
        <v>#N/A</v>
      </c>
      <c r="C8" s="942" t="e">
        <f>HLOOKUP($B$2,'2020 Data(H)'!$E$1:$CR$397,339,FALSE)</f>
        <v>#N/A</v>
      </c>
      <c r="D8" s="942" t="str">
        <f>IFERROR((Import!$L$52+Import!$L$53-Import!$L$57-Import!$L$58-Import!$L$230-Import!$L$62+Import!$L$89)/(Import!$L$72+Import!$L$77+Import!$L$74-Import!$L$75-Import!$L$76),"")</f>
        <v/>
      </c>
      <c r="E8" s="958" t="str">
        <f>IF($K$5&gt;99999999,"16%--Median of simiar units is 32%","20%--Median of similar units is 39%")</f>
        <v>20%--Median of similar units is 39%</v>
      </c>
      <c r="F8" s="943"/>
      <c r="G8" s="953" t="s">
        <v>1062</v>
      </c>
      <c r="H8" s="954" t="s">
        <v>1313</v>
      </c>
      <c r="I8" s="944"/>
      <c r="J8" s="518"/>
      <c r="K8" s="561">
        <f>IF($K$5&gt;99999999,16%,20%)</f>
        <v>0.2</v>
      </c>
      <c r="L8" s="522" t="e">
        <f>+D8-K8</f>
        <v>#VALUE!</v>
      </c>
      <c r="Z8" s="162" t="s">
        <v>1548</v>
      </c>
    </row>
    <row r="9" spans="1:78" ht="120" customHeight="1" x14ac:dyDescent="0.3">
      <c r="A9" s="940" t="s">
        <v>1594</v>
      </c>
      <c r="B9" s="942" t="e">
        <f>HLOOKUP($B$3,'2019 Data(H)'!$E$2:$CQ$299,291,FALSE)</f>
        <v>#N/A</v>
      </c>
      <c r="C9" s="942" t="e">
        <f>HLOOKUP($B$2,'2020 Data(H)'!$E$1:$CR$397,339,FALSE)</f>
        <v>#N/A</v>
      </c>
      <c r="D9" s="942" t="str">
        <f>IFERROR((Import!$L$52+Import!$L$53-Import!$L$57-Import!$L$58-Import!$L$230-Import!$L$62+Import!$L$89)/(Import!$L$72+Import!$L$77+Import!$L$74-Import!$L$75-Import!$L$76),"")</f>
        <v/>
      </c>
      <c r="E9" s="958">
        <v>0.08</v>
      </c>
      <c r="F9" s="943" t="str">
        <f>+K9</f>
        <v/>
      </c>
      <c r="G9" s="953" t="s">
        <v>1062</v>
      </c>
      <c r="H9" s="954" t="s">
        <v>1590</v>
      </c>
      <c r="I9" s="540"/>
      <c r="J9" s="518"/>
      <c r="K9" s="942" t="str">
        <f>+IF(D9&gt;7.9999%,D9,"Less than 8%")</f>
        <v/>
      </c>
      <c r="L9" s="522"/>
      <c r="Z9" s="162"/>
    </row>
    <row r="10" spans="1:78" ht="152.25" customHeight="1" thickBot="1" x14ac:dyDescent="0.35">
      <c r="A10" s="940" t="s">
        <v>1089</v>
      </c>
      <c r="B10" s="572"/>
      <c r="C10" s="572"/>
      <c r="D10" s="945">
        <f>+Import!L65</f>
        <v>0</v>
      </c>
      <c r="E10" s="946"/>
      <c r="F10" s="945">
        <f>+D10</f>
        <v>0</v>
      </c>
      <c r="G10" s="551" t="s">
        <v>1090</v>
      </c>
      <c r="H10" s="551" t="s">
        <v>1315</v>
      </c>
      <c r="I10" s="539"/>
      <c r="J10" s="518"/>
      <c r="Z10" s="162" t="s">
        <v>1549</v>
      </c>
    </row>
    <row r="11" spans="1:78" ht="78" customHeight="1" x14ac:dyDescent="0.3">
      <c r="A11" s="559" t="s">
        <v>732</v>
      </c>
      <c r="B11" s="294">
        <f>+B4</f>
        <v>2019</v>
      </c>
      <c r="C11" s="294">
        <f>+C4</f>
        <v>2020</v>
      </c>
      <c r="D11" s="294">
        <f>+D4</f>
        <v>2021</v>
      </c>
      <c r="E11" s="526"/>
      <c r="F11" s="527"/>
      <c r="G11" s="1329" t="s">
        <v>1347</v>
      </c>
      <c r="H11" s="1330"/>
      <c r="I11" s="542"/>
      <c r="J11" s="518"/>
      <c r="K11" s="528" t="e">
        <f>HLOOKUP($B$3,'2019 Data(H)'!$E$2:$CQ$305,244,FALSE)</f>
        <v>#N/A</v>
      </c>
      <c r="L11" s="528" t="e">
        <f>HLOOKUP(B3,'2020 Data(H)'!E2:CR350,244,FALSE)</f>
        <v>#N/A</v>
      </c>
      <c r="M11" s="528" t="e">
        <f>Import!L268</f>
        <v>#N/A</v>
      </c>
      <c r="N11" s="529"/>
      <c r="O11" s="529"/>
      <c r="P11" s="529"/>
      <c r="Q11" s="529"/>
      <c r="R11" s="529"/>
      <c r="S11" s="529"/>
      <c r="T11" s="529"/>
      <c r="U11" s="529"/>
      <c r="V11" s="529"/>
      <c r="W11" s="529"/>
      <c r="X11" s="529"/>
      <c r="Z11" s="162"/>
      <c r="AA11" s="529"/>
      <c r="AB11" s="529"/>
      <c r="AC11" s="529"/>
      <c r="AD11" s="529"/>
      <c r="AE11" s="529"/>
      <c r="AF11" s="529"/>
      <c r="AG11" s="529"/>
      <c r="AH11" s="529"/>
      <c r="AI11" s="529"/>
      <c r="AJ11" s="529"/>
      <c r="AK11" s="529"/>
      <c r="AL11" s="529"/>
      <c r="AM11" s="529"/>
      <c r="AN11" s="529"/>
      <c r="AO11" s="529"/>
      <c r="AP11" s="529"/>
      <c r="AQ11" s="529"/>
      <c r="AR11" s="529"/>
      <c r="AS11" s="529"/>
      <c r="AT11" s="529"/>
      <c r="AU11" s="529"/>
      <c r="AV11" s="529"/>
      <c r="AW11" s="529"/>
      <c r="AX11" s="529"/>
      <c r="AY11" s="529"/>
      <c r="AZ11" s="529"/>
      <c r="BA11" s="529"/>
      <c r="BB11" s="529"/>
      <c r="BC11" s="529"/>
      <c r="BD11" s="529"/>
      <c r="BE11" s="529"/>
      <c r="BF11" s="529"/>
      <c r="BG11" s="529"/>
      <c r="BH11" s="529"/>
      <c r="BI11" s="529"/>
      <c r="BJ11" s="529"/>
      <c r="BK11" s="529"/>
      <c r="BL11" s="529"/>
      <c r="BM11" s="529"/>
      <c r="BN11" s="529"/>
      <c r="BO11" s="529"/>
      <c r="BP11" s="529"/>
      <c r="BQ11" s="529"/>
      <c r="BR11" s="529"/>
      <c r="BS11" s="529"/>
      <c r="BT11" s="529"/>
      <c r="BU11" s="529"/>
      <c r="BV11" s="529"/>
      <c r="BW11" s="529"/>
      <c r="BX11" s="529"/>
      <c r="BY11" s="529"/>
      <c r="BZ11" s="529"/>
    </row>
    <row r="12" spans="1:78" ht="119.4" customHeight="1" x14ac:dyDescent="0.3">
      <c r="A12" s="403" t="s">
        <v>729</v>
      </c>
      <c r="B12" s="549" t="e">
        <f>IF(K11=0,"Not Applicable",(K12))</f>
        <v>#N/A</v>
      </c>
      <c r="C12" s="549" t="e">
        <f>IF(L11=0,"Not Applicable",(L12))</f>
        <v>#N/A</v>
      </c>
      <c r="D12" s="549" t="e">
        <f>IF(M11=0,"Not Applicable",M12)</f>
        <v>#N/A</v>
      </c>
      <c r="E12" s="550" t="s">
        <v>1058</v>
      </c>
      <c r="F12" s="935" t="str">
        <f>M12</f>
        <v/>
      </c>
      <c r="G12" s="550" t="s">
        <v>1063</v>
      </c>
      <c r="H12" s="551" t="s">
        <v>1092</v>
      </c>
      <c r="I12" s="544"/>
      <c r="J12" s="518"/>
      <c r="K12" s="528" t="e">
        <f>HLOOKUP($B$3,'2019 Data(H)'!$E$2:$CQ$305,299,FALSE)</f>
        <v>#N/A</v>
      </c>
      <c r="L12" s="528" t="e">
        <f>HLOOKUP(B2,'2020 Data(H)'!E1:BT397,347,FALSE)</f>
        <v>#N/A</v>
      </c>
      <c r="M12" s="530" t="str">
        <f>IFERROR((Import!$L$120-Import!$L$121-Import!$L$118-Import!$L$119)/(Import!$L$124-Import!$L$125-Import!$L$126-Import!$L$127-Import!$L$128-Import!$L$129-Import!$L$123),"")</f>
        <v/>
      </c>
      <c r="Z12" s="162" t="s">
        <v>1343</v>
      </c>
    </row>
    <row r="13" spans="1:78" ht="69.599999999999994" customHeight="1" x14ac:dyDescent="0.3">
      <c r="A13" s="403" t="s">
        <v>1100</v>
      </c>
      <c r="B13" s="552" t="e">
        <f>IF(K11=0,"Not Applicable",K13)</f>
        <v>#N/A</v>
      </c>
      <c r="C13" s="401" t="e">
        <f>IF(L11=0,"Not Applicable",L13)</f>
        <v>#N/A</v>
      </c>
      <c r="D13" s="553" t="e">
        <f>IF(M11=0,"Not Applicable",M13)</f>
        <v>#N/A</v>
      </c>
      <c r="E13" s="550" t="s">
        <v>1351</v>
      </c>
      <c r="F13" s="936" t="e">
        <f>D13</f>
        <v>#N/A</v>
      </c>
      <c r="G13" s="550" t="s">
        <v>1696</v>
      </c>
      <c r="H13" s="551" t="s">
        <v>1093</v>
      </c>
      <c r="I13" s="544"/>
      <c r="J13" s="518"/>
      <c r="K13" s="273" t="e">
        <f>HLOOKUP(B3,'2019 Data(H)'!E2:BS305,300,FALSE)</f>
        <v>#N/A</v>
      </c>
      <c r="L13" s="273" t="e">
        <f>HLOOKUP(B2,'2020 Data(H)'!F1:CR397,348,FALSE)</f>
        <v>#N/A</v>
      </c>
      <c r="M13" s="928">
        <f>+Import!$L$153-Import!$L$155+Import!$L$154-Import!$L$182</f>
        <v>0</v>
      </c>
      <c r="Z13" s="162" t="s">
        <v>1343</v>
      </c>
    </row>
    <row r="14" spans="1:78" ht="109.95" customHeight="1" x14ac:dyDescent="0.3">
      <c r="A14" s="403" t="s">
        <v>1127</v>
      </c>
      <c r="B14" s="402" t="e">
        <f>IF(K11=0,"Not Applicable",K14)</f>
        <v>#N/A</v>
      </c>
      <c r="C14" s="402" t="e">
        <f>IF(L11=0,"Not Applicable",L14)</f>
        <v>#N/A</v>
      </c>
      <c r="D14" s="402" t="e">
        <f>IF(M11=0,"Not Applicable",M14)</f>
        <v>#N/A</v>
      </c>
      <c r="E14" s="550" t="s">
        <v>1582</v>
      </c>
      <c r="F14" s="396" t="e">
        <f>D14</f>
        <v>#N/A</v>
      </c>
      <c r="G14" s="550" t="s">
        <v>1104</v>
      </c>
      <c r="H14" s="551" t="s">
        <v>1314</v>
      </c>
      <c r="I14" s="544"/>
      <c r="J14" s="518"/>
      <c r="K14" s="274" t="e">
        <f>HLOOKUP(B3,'2019 Data(H)'!E2:CQ305,301,FALSE)</f>
        <v>#N/A</v>
      </c>
      <c r="L14" s="274" t="e">
        <f>HLOOKUP(B2,'2020 Data(H)'!F1:CR397,349,FALSE)</f>
        <v>#N/A</v>
      </c>
      <c r="M14" s="274" t="str">
        <f>IFERROR(Import!L116/(Import!L155+Import!L158-Import!L154+Import!L182),"")</f>
        <v/>
      </c>
      <c r="Z14" s="162" t="s">
        <v>1343</v>
      </c>
    </row>
    <row r="15" spans="1:78" ht="99.75" customHeight="1" thickBot="1" x14ac:dyDescent="0.35">
      <c r="A15" s="1319" t="s">
        <v>1583</v>
      </c>
      <c r="B15" s="1320"/>
      <c r="C15" s="1320"/>
      <c r="D15" s="929" t="str">
        <f>IF(K15&lt;0,"Yes","No")</f>
        <v>No</v>
      </c>
      <c r="E15" s="960"/>
      <c r="F15" s="930" t="str">
        <f>D15</f>
        <v>No</v>
      </c>
      <c r="G15" s="547" t="s">
        <v>1584</v>
      </c>
      <c r="H15" s="554" t="s">
        <v>1094</v>
      </c>
      <c r="I15" s="548"/>
      <c r="J15" s="518"/>
      <c r="K15" s="293">
        <f>((Import!L158+Import!L155)*0.03)-Import!L161</f>
        <v>0</v>
      </c>
      <c r="Z15" s="162" t="s">
        <v>1343</v>
      </c>
    </row>
    <row r="16" spans="1:78" ht="37.5" customHeight="1" thickBot="1" x14ac:dyDescent="0.35">
      <c r="A16" s="292"/>
      <c r="B16" s="523"/>
      <c r="C16" s="523"/>
      <c r="D16" s="523"/>
      <c r="E16" s="524"/>
      <c r="F16" s="523"/>
      <c r="G16" s="525"/>
      <c r="H16" s="523"/>
      <c r="I16" s="523"/>
      <c r="Z16" s="562"/>
    </row>
    <row r="17" spans="1:26" ht="116.25" customHeight="1" thickBot="1" x14ac:dyDescent="0.35">
      <c r="A17" s="519" t="s">
        <v>731</v>
      </c>
      <c r="B17" s="295">
        <f>+B4</f>
        <v>2019</v>
      </c>
      <c r="C17" s="295">
        <f>+C4</f>
        <v>2020</v>
      </c>
      <c r="D17" s="295">
        <f>+D4</f>
        <v>2021</v>
      </c>
      <c r="E17" s="531"/>
      <c r="F17" s="532"/>
      <c r="G17" s="566" t="s">
        <v>1126</v>
      </c>
      <c r="H17" s="933" t="s">
        <v>1091</v>
      </c>
      <c r="I17" s="533"/>
      <c r="J17" s="518"/>
      <c r="K17" s="528" t="e">
        <f>HLOOKUP(B3,'2019 Data(H)'!E2:CQ310,243,FALSE)</f>
        <v>#N/A</v>
      </c>
      <c r="L17" s="276" t="e">
        <f>HLOOKUP(B3,'2020 Data(H)'!E2:CR350,243,FALSE)</f>
        <v>#N/A</v>
      </c>
      <c r="M17" s="534" t="e">
        <f>+Import!L267</f>
        <v>#N/A</v>
      </c>
      <c r="Z17" s="560"/>
    </row>
    <row r="18" spans="1:26" ht="78" customHeight="1" x14ac:dyDescent="0.3">
      <c r="A18" s="296" t="s">
        <v>729</v>
      </c>
      <c r="B18" s="535" t="e">
        <f>IF(K17=0,"Not Applicable",K18)</f>
        <v>#N/A</v>
      </c>
      <c r="C18" s="535" t="e">
        <f>IF(L17=0,"Not Applicable",L18)</f>
        <v>#N/A</v>
      </c>
      <c r="D18" s="535" t="e">
        <f>IF(M17=0,"Not Applicable",M18)</f>
        <v>#N/A</v>
      </c>
      <c r="E18" s="550" t="s">
        <v>1058</v>
      </c>
      <c r="F18" s="937" t="str">
        <f>+M18</f>
        <v/>
      </c>
      <c r="G18" s="948" t="s">
        <v>1111</v>
      </c>
      <c r="H18" s="949" t="s">
        <v>1092</v>
      </c>
      <c r="I18" s="544"/>
      <c r="J18" s="518"/>
      <c r="K18" s="276" t="e">
        <f>HLOOKUP(B3,'2019 Data(H)'!E2:CQ310,302,FALSE)</f>
        <v>#N/A</v>
      </c>
      <c r="L18" s="528" t="e">
        <f>HLOOKUP(B2,'2020 Data(H)'!F1:CR397,350,FALSE)</f>
        <v>#N/A</v>
      </c>
      <c r="M18" s="528" t="str">
        <f>IFERROR((Import!L138-Import!L139-Import!L137-Import!L136)/(Import!L143-Import!L144-Import!L145-Import!L146-Import!L147-Import!L148-Import!L142),"")</f>
        <v/>
      </c>
      <c r="Z18" s="563" t="s">
        <v>1344</v>
      </c>
    </row>
    <row r="19" spans="1:26" ht="60.75" customHeight="1" x14ac:dyDescent="0.3">
      <c r="A19" s="290" t="s">
        <v>1100</v>
      </c>
      <c r="B19" s="383" t="e">
        <f>IF(K17=0,"Not Applicable",K19)</f>
        <v>#N/A</v>
      </c>
      <c r="C19" s="383" t="e">
        <f>IF(L17=0,"Not Applicable",L19)</f>
        <v>#N/A</v>
      </c>
      <c r="D19" s="383" t="e">
        <f>IF(M17=0,"Not Applicable",M19)</f>
        <v>#N/A</v>
      </c>
      <c r="E19" s="550" t="s">
        <v>1351</v>
      </c>
      <c r="F19" s="938" t="e">
        <f>D19</f>
        <v>#N/A</v>
      </c>
      <c r="G19" s="948" t="s">
        <v>1697</v>
      </c>
      <c r="H19" s="949" t="s">
        <v>1093</v>
      </c>
      <c r="I19" s="544"/>
      <c r="J19" s="518"/>
      <c r="K19" s="273" t="e">
        <f>HLOOKUP(B3,'2019 Data(H)'!E2:CQ310,303,FALSE)</f>
        <v>#N/A</v>
      </c>
      <c r="L19" s="273" t="e">
        <f>HLOOKUP(B2,'2020 Data(H)'!F1:CR397,351,FALSE)</f>
        <v>#N/A</v>
      </c>
      <c r="M19" s="273">
        <f>+Import!L168-Import!L171+Import!L170-Import!L185</f>
        <v>0</v>
      </c>
      <c r="Z19" s="563" t="s">
        <v>1344</v>
      </c>
    </row>
    <row r="20" spans="1:26" ht="88.5" customHeight="1" thickBot="1" x14ac:dyDescent="0.35">
      <c r="A20" s="297" t="s">
        <v>1127</v>
      </c>
      <c r="B20" s="384" t="e">
        <f>IF(K17=0,"Not Applicable",K20)</f>
        <v>#N/A</v>
      </c>
      <c r="C20" s="384" t="e">
        <f>IF(L17=0,"Not Applicable",L20)</f>
        <v>#N/A</v>
      </c>
      <c r="D20" s="384" t="e">
        <f>IF(M17=0,"Not Applicable",M20)</f>
        <v>#N/A</v>
      </c>
      <c r="E20" s="959" t="s">
        <v>1582</v>
      </c>
      <c r="F20" s="939" t="str">
        <f>+M20</f>
        <v/>
      </c>
      <c r="G20" s="951" t="s">
        <v>1116</v>
      </c>
      <c r="H20" s="950" t="s">
        <v>1314</v>
      </c>
      <c r="I20" s="548"/>
      <c r="J20" s="518"/>
      <c r="K20" s="274" t="e">
        <f>HLOOKUP(B3,'2019 Data(H)'!E2:CQ310,304,FALSE)</f>
        <v>#N/A</v>
      </c>
      <c r="L20" s="274" t="e">
        <f>HLOOKUP(B2,'2020 Data(H)'!F1:CR397,352,FALSE)</f>
        <v>#N/A</v>
      </c>
      <c r="M20" s="274" t="str">
        <f>IFERROR(Import!L134/(Import!L174+Import!L171-Import!L170+Import!L185),"")</f>
        <v/>
      </c>
      <c r="Z20" s="563" t="s">
        <v>1344</v>
      </c>
    </row>
    <row r="21" spans="1:26" ht="15.75" customHeight="1" x14ac:dyDescent="0.3">
      <c r="A21" s="404"/>
      <c r="B21" s="405"/>
      <c r="C21" s="405"/>
      <c r="D21" s="405"/>
      <c r="E21" s="555"/>
      <c r="F21" s="556"/>
      <c r="G21" s="557"/>
      <c r="H21" s="557"/>
      <c r="I21" s="956"/>
      <c r="J21" s="518"/>
      <c r="K21" s="274"/>
      <c r="L21" s="274"/>
      <c r="M21" s="274"/>
      <c r="Z21" s="563"/>
    </row>
    <row r="22" spans="1:26" ht="50.25" customHeight="1" x14ac:dyDescent="0.3">
      <c r="A22" s="957" t="s">
        <v>1349</v>
      </c>
      <c r="B22" s="405"/>
      <c r="C22" s="405"/>
      <c r="D22" s="405"/>
      <c r="E22" s="555"/>
      <c r="F22" s="556"/>
      <c r="G22" s="557"/>
      <c r="H22" s="557"/>
      <c r="I22" s="956"/>
      <c r="J22" s="518"/>
      <c r="K22" s="274"/>
      <c r="L22" s="274"/>
      <c r="M22" s="274"/>
      <c r="Z22" s="563"/>
    </row>
    <row r="23" spans="1:26" ht="88.5" customHeight="1" x14ac:dyDescent="0.3">
      <c r="A23" s="400" t="s">
        <v>729</v>
      </c>
      <c r="B23" s="406"/>
      <c r="C23" s="406"/>
      <c r="D23" s="963" t="str">
        <f>+M23</f>
        <v/>
      </c>
      <c r="E23" s="550" t="s">
        <v>1058</v>
      </c>
      <c r="F23" s="962" t="str">
        <f>+M23</f>
        <v/>
      </c>
      <c r="G23" s="551" t="s">
        <v>1591</v>
      </c>
      <c r="H23" s="551" t="s">
        <v>1092</v>
      </c>
      <c r="I23" s="540"/>
      <c r="J23" s="518"/>
      <c r="K23" s="274">
        <v>1000</v>
      </c>
      <c r="L23" s="274"/>
      <c r="M23" s="955" t="str">
        <f>IFERROR((+Import!L94-Import!L93)/Import!L95,"")</f>
        <v/>
      </c>
      <c r="Z23" s="563" t="s">
        <v>1350</v>
      </c>
    </row>
    <row r="24" spans="1:26" x14ac:dyDescent="0.3">
      <c r="A24" s="291"/>
      <c r="B24" s="536"/>
      <c r="C24" s="536"/>
      <c r="D24" s="536"/>
      <c r="E24" s="537"/>
      <c r="F24" s="536"/>
      <c r="G24" s="538"/>
      <c r="H24" s="536"/>
      <c r="I24" s="536"/>
      <c r="M24" s="280"/>
      <c r="Z24" s="564"/>
    </row>
  </sheetData>
  <sheetProtection algorithmName="SHA-512" hashValue="UU02SX0D7isfCpcWe4iyZz/gPUaPHWJ16hh4w3BvLQhwLElGESWPqDr3grbQ1fVlV8YIjqxb/hz1WoMX3SyJcA==" saltValue="TcQSbeFVS2Iw5H4qnvj1JQ==" spinCount="100000" sheet="1" objects="1" scenarios="1"/>
  <mergeCells count="7">
    <mergeCell ref="A15:C15"/>
    <mergeCell ref="G1:H1"/>
    <mergeCell ref="B2:D2"/>
    <mergeCell ref="H2:H3"/>
    <mergeCell ref="B3:D3"/>
    <mergeCell ref="E2:G3"/>
    <mergeCell ref="G11:H11"/>
  </mergeCells>
  <conditionalFormatting sqref="F12">
    <cfRule type="cellIs" dxfId="11" priority="50" operator="lessThan">
      <formula>1</formula>
    </cfRule>
  </conditionalFormatting>
  <conditionalFormatting sqref="F13">
    <cfRule type="cellIs" dxfId="10" priority="49" operator="lessThan">
      <formula>0</formula>
    </cfRule>
  </conditionalFormatting>
  <conditionalFormatting sqref="F14">
    <cfRule type="cellIs" dxfId="9" priority="48" operator="lessThan">
      <formula>0.16</formula>
    </cfRule>
  </conditionalFormatting>
  <conditionalFormatting sqref="F18">
    <cfRule type="cellIs" dxfId="8" priority="43" operator="lessThan">
      <formula>1</formula>
    </cfRule>
  </conditionalFormatting>
  <conditionalFormatting sqref="F19">
    <cfRule type="cellIs" dxfId="7" priority="42" operator="lessThan">
      <formula>0</formula>
    </cfRule>
  </conditionalFormatting>
  <conditionalFormatting sqref="F20">
    <cfRule type="cellIs" dxfId="6" priority="41" operator="lessThan">
      <formula>0.16</formula>
    </cfRule>
  </conditionalFormatting>
  <conditionalFormatting sqref="F10">
    <cfRule type="cellIs" dxfId="5" priority="30" operator="lessThan">
      <formula>0</formula>
    </cfRule>
  </conditionalFormatting>
  <conditionalFormatting sqref="F15">
    <cfRule type="cellIs" dxfId="4" priority="8" operator="equal">
      <formula>"Yes"</formula>
    </cfRule>
  </conditionalFormatting>
  <conditionalFormatting sqref="F9">
    <cfRule type="cellIs" dxfId="3" priority="6" operator="equal">
      <formula>"Less than 8%"</formula>
    </cfRule>
  </conditionalFormatting>
  <conditionalFormatting sqref="F23">
    <cfRule type="cellIs" dxfId="2" priority="5" operator="lessThan">
      <formula>1</formula>
    </cfRule>
  </conditionalFormatting>
  <conditionalFormatting sqref="F8">
    <cfRule type="cellIs" dxfId="1" priority="3" operator="lessThan">
      <formula>$L$8&lt;0%</formula>
    </cfRule>
  </conditionalFormatting>
  <conditionalFormatting sqref="F6">
    <cfRule type="cellIs" dxfId="0" priority="1" operator="lessThan">
      <formula>$L$8&lt;0%</formula>
    </cfRule>
  </conditionalFormatting>
  <pageMargins left="0.25" right="0.25" top="0.75" bottom="0.75" header="0.3" footer="0.3"/>
  <pageSetup scale="4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3" tint="0.79998168889431442"/>
  </sheetPr>
  <dimension ref="A2:H41"/>
  <sheetViews>
    <sheetView showGridLines="0" workbookViewId="0">
      <selection activeCell="F3" sqref="F3"/>
    </sheetView>
  </sheetViews>
  <sheetFormatPr defaultColWidth="9.109375" defaultRowHeight="14.4" x14ac:dyDescent="0.3"/>
  <cols>
    <col min="1" max="1" width="9.109375" style="301"/>
    <col min="2" max="2" width="10.44140625" style="301" bestFit="1" customWidth="1"/>
    <col min="3" max="3" width="29.88671875" style="301" customWidth="1"/>
    <col min="4" max="4" width="40.5546875" style="301" customWidth="1"/>
    <col min="5" max="5" width="3.6640625" style="301" customWidth="1"/>
    <col min="6" max="6" width="13.44140625" style="301" customWidth="1"/>
    <col min="7" max="7" width="3.5546875" style="301" customWidth="1"/>
    <col min="8" max="8" width="14.109375" style="301" customWidth="1"/>
    <col min="9" max="16384" width="9.109375" style="301"/>
  </cols>
  <sheetData>
    <row r="2" spans="1:8" ht="54.75" customHeight="1" x14ac:dyDescent="0.3">
      <c r="A2" s="1334" t="s">
        <v>112</v>
      </c>
      <c r="B2" s="1334"/>
      <c r="C2" s="1334"/>
      <c r="D2" s="1334"/>
      <c r="E2" s="1334"/>
      <c r="F2" s="468"/>
      <c r="G2" s="468"/>
      <c r="H2" s="469"/>
    </row>
    <row r="4" spans="1:8" ht="15.6" x14ac:dyDescent="0.3">
      <c r="A4" s="469"/>
      <c r="B4" s="470" t="str">
        <f>'Unit Data from Audit Worksheet'!D2</f>
        <v>Select Unit Name from Drop Down List</v>
      </c>
      <c r="C4" s="471"/>
      <c r="D4" s="19"/>
      <c r="E4" s="20"/>
      <c r="F4" s="472">
        <f>'Unit Data from Audit Worksheet'!F5</f>
        <v>2021</v>
      </c>
      <c r="G4" s="469"/>
      <c r="H4" s="472">
        <f>'Unit Data from Audit Worksheet'!F5</f>
        <v>2021</v>
      </c>
    </row>
    <row r="5" spans="1:8" ht="41.4" x14ac:dyDescent="0.4">
      <c r="A5" s="473"/>
      <c r="B5" s="474" t="s">
        <v>72</v>
      </c>
      <c r="C5" s="473"/>
      <c r="D5" s="473"/>
      <c r="E5" s="473"/>
      <c r="F5" s="472" t="s">
        <v>73</v>
      </c>
      <c r="G5" s="473"/>
      <c r="H5" s="475" t="s">
        <v>74</v>
      </c>
    </row>
    <row r="6" spans="1:8" x14ac:dyDescent="0.3">
      <c r="A6" s="469"/>
      <c r="B6" s="476" t="s">
        <v>75</v>
      </c>
      <c r="C6" s="469"/>
      <c r="D6" s="477"/>
      <c r="E6" s="477"/>
      <c r="F6" s="477"/>
      <c r="G6" s="477"/>
      <c r="H6" s="477"/>
    </row>
    <row r="7" spans="1:8" x14ac:dyDescent="0.3">
      <c r="A7" s="469"/>
      <c r="B7" s="477" t="s">
        <v>76</v>
      </c>
      <c r="C7" s="469"/>
      <c r="D7" s="477"/>
      <c r="E7" s="477" t="s">
        <v>31</v>
      </c>
      <c r="F7" s="478">
        <f>Import!L52</f>
        <v>0</v>
      </c>
      <c r="G7" s="479"/>
      <c r="H7" s="478">
        <f>F7</f>
        <v>0</v>
      </c>
    </row>
    <row r="8" spans="1:8" ht="44.25" customHeight="1" x14ac:dyDescent="0.3">
      <c r="A8" s="469"/>
      <c r="B8" s="1331" t="s">
        <v>77</v>
      </c>
      <c r="C8" s="1331"/>
      <c r="D8" s="1331"/>
      <c r="E8" s="477" t="s">
        <v>31</v>
      </c>
      <c r="F8" s="480">
        <f>Import!L53</f>
        <v>0</v>
      </c>
      <c r="G8" s="481"/>
      <c r="H8" s="481"/>
    </row>
    <row r="9" spans="1:8" x14ac:dyDescent="0.3">
      <c r="A9" s="469"/>
      <c r="B9" s="469"/>
      <c r="C9" s="477" t="s">
        <v>181</v>
      </c>
      <c r="D9" s="469"/>
      <c r="E9" s="477" t="s">
        <v>31</v>
      </c>
      <c r="F9" s="482">
        <f>Import!L57</f>
        <v>0</v>
      </c>
      <c r="G9" s="481"/>
      <c r="H9" s="467">
        <f>F9</f>
        <v>0</v>
      </c>
    </row>
    <row r="10" spans="1:8" x14ac:dyDescent="0.3">
      <c r="A10" s="469"/>
      <c r="B10" s="469"/>
      <c r="C10" s="477" t="s">
        <v>78</v>
      </c>
      <c r="D10" s="469"/>
      <c r="E10" s="477" t="s">
        <v>31</v>
      </c>
      <c r="F10" s="467">
        <f>Import!L230</f>
        <v>0</v>
      </c>
      <c r="G10" s="481"/>
      <c r="H10" s="467">
        <f>F10</f>
        <v>0</v>
      </c>
    </row>
    <row r="11" spans="1:8" x14ac:dyDescent="0.3">
      <c r="A11" s="469"/>
      <c r="B11" s="469"/>
      <c r="C11" s="477" t="s">
        <v>79</v>
      </c>
      <c r="D11" s="469"/>
      <c r="E11" s="477" t="s">
        <v>31</v>
      </c>
      <c r="F11" s="483">
        <f>Import!L58</f>
        <v>0</v>
      </c>
      <c r="G11" s="484"/>
      <c r="H11" s="483">
        <f>F11</f>
        <v>0</v>
      </c>
    </row>
    <row r="12" spans="1:8" x14ac:dyDescent="0.3">
      <c r="A12" s="469"/>
      <c r="B12" s="21" t="s">
        <v>80</v>
      </c>
      <c r="C12" s="485" t="s">
        <v>81</v>
      </c>
      <c r="D12" s="486"/>
      <c r="E12" s="487" t="s">
        <v>31</v>
      </c>
      <c r="F12" s="488">
        <f>F7+F8-SUM(F9:F11)</f>
        <v>0</v>
      </c>
      <c r="G12" s="489"/>
      <c r="H12" s="488">
        <f>H7+H8-SUM(H9:H11)</f>
        <v>0</v>
      </c>
    </row>
    <row r="13" spans="1:8" x14ac:dyDescent="0.3">
      <c r="A13" s="469"/>
      <c r="B13" s="469"/>
      <c r="C13" s="477"/>
      <c r="D13" s="477"/>
      <c r="E13" s="477" t="s">
        <v>31</v>
      </c>
      <c r="F13" s="477"/>
      <c r="G13" s="477"/>
      <c r="H13" s="477"/>
    </row>
    <row r="14" spans="1:8" x14ac:dyDescent="0.3">
      <c r="A14" s="469"/>
      <c r="B14" s="477" t="s">
        <v>82</v>
      </c>
      <c r="C14" s="469"/>
      <c r="D14" s="477"/>
      <c r="E14" s="477" t="s">
        <v>31</v>
      </c>
      <c r="F14" s="490">
        <f>Import!L65</f>
        <v>0</v>
      </c>
      <c r="G14" s="477"/>
      <c r="H14" s="477"/>
    </row>
    <row r="15" spans="1:8" x14ac:dyDescent="0.3">
      <c r="A15" s="469"/>
      <c r="B15" s="477" t="s">
        <v>83</v>
      </c>
      <c r="C15" s="469"/>
      <c r="D15" s="477"/>
      <c r="E15" s="477" t="s">
        <v>31</v>
      </c>
      <c r="F15" s="491">
        <f>F14-F12</f>
        <v>0</v>
      </c>
      <c r="G15" s="477"/>
      <c r="H15" s="477"/>
    </row>
    <row r="16" spans="1:8" x14ac:dyDescent="0.3">
      <c r="A16" s="469"/>
      <c r="B16" s="492" t="s">
        <v>84</v>
      </c>
      <c r="C16" s="469"/>
      <c r="D16" s="477"/>
      <c r="E16" s="477"/>
      <c r="F16" s="477"/>
      <c r="G16" s="477"/>
      <c r="H16" s="477"/>
    </row>
    <row r="17" spans="2:8" x14ac:dyDescent="0.3">
      <c r="B17" s="493" t="s">
        <v>85</v>
      </c>
      <c r="C17" s="477" t="s">
        <v>86</v>
      </c>
      <c r="D17" s="469"/>
      <c r="E17" s="477" t="s">
        <v>31</v>
      </c>
      <c r="F17" s="494">
        <f>Import!L61</f>
        <v>0</v>
      </c>
      <c r="G17" s="477"/>
      <c r="H17" s="477"/>
    </row>
    <row r="18" spans="2:8" ht="15" thickBot="1" x14ac:dyDescent="0.35">
      <c r="B18" s="21" t="s">
        <v>80</v>
      </c>
      <c r="C18" s="485" t="s">
        <v>87</v>
      </c>
      <c r="D18" s="486"/>
      <c r="E18" s="487" t="s">
        <v>31</v>
      </c>
      <c r="F18" s="495">
        <f>(F15-SUM(F17:F17))</f>
        <v>0</v>
      </c>
      <c r="G18" s="477"/>
      <c r="H18" s="477"/>
    </row>
    <row r="19" spans="2:8" ht="15" thickTop="1" x14ac:dyDescent="0.3">
      <c r="B19" s="469"/>
      <c r="C19" s="477"/>
      <c r="D19" s="477"/>
      <c r="E19" s="477"/>
      <c r="F19" s="477"/>
      <c r="G19" s="477"/>
      <c r="H19" s="477"/>
    </row>
    <row r="20" spans="2:8" ht="15" thickBot="1" x14ac:dyDescent="0.35">
      <c r="B20" s="477" t="s">
        <v>88</v>
      </c>
      <c r="C20" s="469"/>
      <c r="D20" s="477"/>
      <c r="E20" s="477" t="s">
        <v>31</v>
      </c>
      <c r="F20" s="496">
        <f>Import!L60</f>
        <v>0</v>
      </c>
      <c r="G20" s="477"/>
      <c r="H20" s="477"/>
    </row>
    <row r="21" spans="2:8" ht="15.6" thickTop="1" thickBot="1" x14ac:dyDescent="0.35">
      <c r="B21" s="469"/>
      <c r="C21" s="497"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469"/>
      <c r="E21" s="477" t="s">
        <v>31</v>
      </c>
      <c r="F21" s="498">
        <f>ABS(F18-F20)</f>
        <v>0</v>
      </c>
      <c r="G21" s="477"/>
      <c r="H21" s="477"/>
    </row>
    <row r="22" spans="2:8" ht="50.25" customHeight="1" thickTop="1" x14ac:dyDescent="0.3">
      <c r="B22" s="469"/>
      <c r="C22" s="1332" t="str">
        <f>IF(F18&gt;F20,"Since Restricted-Stabilization by State Statute was understated, verfiy that the unit did not appropriate fund balance in excess of legal amount available in row 12 above.","")</f>
        <v/>
      </c>
      <c r="D22" s="1332"/>
      <c r="E22" s="1332"/>
      <c r="F22" s="1332"/>
      <c r="G22" s="477"/>
      <c r="H22" s="477"/>
    </row>
    <row r="23" spans="2:8" x14ac:dyDescent="0.3">
      <c r="B23" s="469"/>
      <c r="C23" s="1333" t="s">
        <v>89</v>
      </c>
      <c r="D23" s="477"/>
      <c r="E23" s="477"/>
      <c r="F23" s="477"/>
      <c r="G23" s="477"/>
      <c r="H23" s="499" t="s">
        <v>90</v>
      </c>
    </row>
    <row r="24" spans="2:8" x14ac:dyDescent="0.3">
      <c r="B24" s="469"/>
      <c r="C24" s="1333"/>
      <c r="D24" s="477"/>
      <c r="E24" s="477"/>
      <c r="F24" s="472" t="s">
        <v>91</v>
      </c>
      <c r="G24" s="477"/>
      <c r="H24" s="472" t="s">
        <v>99</v>
      </c>
    </row>
    <row r="25" spans="2:8" x14ac:dyDescent="0.3">
      <c r="B25" s="469"/>
      <c r="C25" s="476" t="s">
        <v>92</v>
      </c>
      <c r="D25" s="477"/>
      <c r="E25" s="477"/>
      <c r="F25" s="477"/>
      <c r="G25" s="477"/>
      <c r="H25" s="477"/>
    </row>
    <row r="26" spans="2:8" ht="25.2" customHeight="1" x14ac:dyDescent="0.3">
      <c r="B26" s="469"/>
      <c r="C26" s="477" t="s">
        <v>93</v>
      </c>
      <c r="D26" s="477"/>
      <c r="E26" s="477" t="s">
        <v>31</v>
      </c>
      <c r="F26" s="478">
        <f>Import!L72</f>
        <v>0</v>
      </c>
      <c r="G26" s="479"/>
      <c r="H26" s="500">
        <f>F26</f>
        <v>0</v>
      </c>
    </row>
    <row r="27" spans="2:8" x14ac:dyDescent="0.3">
      <c r="B27" s="469"/>
      <c r="C27" s="493" t="s">
        <v>94</v>
      </c>
      <c r="D27" s="477"/>
      <c r="E27" s="477"/>
      <c r="F27" s="477"/>
      <c r="G27" s="477"/>
      <c r="H27" s="477"/>
    </row>
    <row r="28" spans="2:8" x14ac:dyDescent="0.3">
      <c r="B28" s="469"/>
      <c r="C28" s="477" t="s">
        <v>95</v>
      </c>
      <c r="D28" s="469"/>
      <c r="E28" s="477" t="s">
        <v>31</v>
      </c>
      <c r="F28" s="501">
        <f>Import!L74</f>
        <v>0</v>
      </c>
      <c r="G28" s="481"/>
      <c r="H28" s="502">
        <f>F28</f>
        <v>0</v>
      </c>
    </row>
    <row r="29" spans="2:8" x14ac:dyDescent="0.3">
      <c r="B29" s="469"/>
      <c r="C29" s="477" t="s">
        <v>96</v>
      </c>
      <c r="D29" s="469"/>
      <c r="E29" s="477" t="s">
        <v>31</v>
      </c>
      <c r="F29" s="503">
        <f>Import!L75+Import!L76</f>
        <v>0</v>
      </c>
      <c r="G29" s="481"/>
      <c r="H29" s="504">
        <f>F29</f>
        <v>0</v>
      </c>
    </row>
    <row r="30" spans="2:8" ht="15" thickBot="1" x14ac:dyDescent="0.35">
      <c r="B30" s="469"/>
      <c r="C30" s="477" t="s">
        <v>97</v>
      </c>
      <c r="D30" s="477"/>
      <c r="E30" s="477" t="s">
        <v>31</v>
      </c>
      <c r="F30" s="505">
        <f>SUM(F26:F28)-F29</f>
        <v>0</v>
      </c>
      <c r="G30" s="479"/>
      <c r="H30" s="505">
        <f>SUM(H26:H28)-H29</f>
        <v>0</v>
      </c>
    </row>
    <row r="31" spans="2:8" ht="15" thickTop="1" x14ac:dyDescent="0.3">
      <c r="B31" s="469"/>
      <c r="C31" s="477"/>
      <c r="D31" s="477"/>
      <c r="E31" s="477"/>
      <c r="F31" s="477"/>
      <c r="G31" s="477"/>
      <c r="H31" s="477"/>
    </row>
    <row r="32" spans="2:8" ht="15" thickBot="1" x14ac:dyDescent="0.35">
      <c r="B32" s="21" t="s">
        <v>80</v>
      </c>
      <c r="C32" s="497" t="s">
        <v>98</v>
      </c>
      <c r="D32" s="21"/>
      <c r="E32" s="497" t="s">
        <v>31</v>
      </c>
      <c r="F32" s="506" t="e">
        <f>F12/F30</f>
        <v>#DIV/0!</v>
      </c>
      <c r="G32" s="477"/>
      <c r="H32" s="506" t="e">
        <f>H12/H30</f>
        <v>#DIV/0!</v>
      </c>
    </row>
    <row r="33" spans="1:8" ht="15" thickTop="1" x14ac:dyDescent="0.3">
      <c r="C33" s="477"/>
      <c r="D33" s="477"/>
      <c r="E33" s="477"/>
      <c r="F33" s="477"/>
      <c r="G33" s="477"/>
      <c r="H33" s="477"/>
    </row>
    <row r="34" spans="1:8" ht="15.6" x14ac:dyDescent="0.3">
      <c r="A34" s="23"/>
      <c r="C34" s="22"/>
    </row>
    <row r="36" spans="1:8" x14ac:dyDescent="0.3">
      <c r="F36" s="302"/>
    </row>
    <row r="37" spans="1:8" x14ac:dyDescent="0.3">
      <c r="F37" s="130"/>
    </row>
    <row r="38" spans="1:8" x14ac:dyDescent="0.3">
      <c r="F38" s="130"/>
    </row>
    <row r="39" spans="1:8" x14ac:dyDescent="0.3">
      <c r="F39" s="130"/>
    </row>
    <row r="40" spans="1:8" x14ac:dyDescent="0.3">
      <c r="F40" s="130"/>
    </row>
    <row r="41" spans="1:8" x14ac:dyDescent="0.3">
      <c r="F41" s="130"/>
    </row>
  </sheetData>
  <sheetProtection algorithmName="SHA-512" hashValue="uhfBl+lZAygvVgXMHQ2BmtW2G+cSdFryzwsr8mDm0R9N2tN20xM8R0A2xrbk2WbBBHPu0aJ8CDqkxYYTc95/AA==" saltValue="4BX0DA0NDQFR1osMfFRNtQ==" spinCount="100000"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sheetPr codeName="Sheet9"/>
  <dimension ref="A3:M27"/>
  <sheetViews>
    <sheetView workbookViewId="0">
      <pane xSplit="2" ySplit="4" topLeftCell="C5" activePane="bottomRight" state="frozen"/>
      <selection pane="topRight" activeCell="B1" sqref="B1"/>
      <selection pane="bottomLeft" activeCell="A5" sqref="A5"/>
      <selection pane="bottomRight" activeCell="B4" sqref="B4"/>
    </sheetView>
  </sheetViews>
  <sheetFormatPr defaultColWidth="9.109375" defaultRowHeight="14.4" x14ac:dyDescent="0.3"/>
  <cols>
    <col min="1" max="3" width="22.6640625" style="301" customWidth="1"/>
    <col min="4" max="4" width="18.6640625" style="706" customWidth="1"/>
    <col min="5" max="10" width="18.6640625" style="301" customWidth="1"/>
    <col min="11" max="16384" width="9.109375" style="301"/>
  </cols>
  <sheetData>
    <row r="3" spans="1:13" x14ac:dyDescent="0.3">
      <c r="D3" s="710">
        <v>2019</v>
      </c>
      <c r="E3" s="710">
        <v>2018</v>
      </c>
      <c r="F3" s="710">
        <v>2017</v>
      </c>
      <c r="G3" s="710">
        <v>2016</v>
      </c>
      <c r="H3" s="710">
        <v>2015</v>
      </c>
      <c r="I3" s="710">
        <v>2014</v>
      </c>
      <c r="J3" s="710">
        <v>2013</v>
      </c>
      <c r="K3" s="706"/>
      <c r="L3" s="706"/>
      <c r="M3" s="706"/>
    </row>
    <row r="4" spans="1:13" x14ac:dyDescent="0.3">
      <c r="A4" s="305" t="s">
        <v>782</v>
      </c>
      <c r="B4" s="305"/>
      <c r="C4" s="305" t="s">
        <v>783</v>
      </c>
      <c r="D4" s="709" t="s">
        <v>728</v>
      </c>
      <c r="E4" s="709" t="s">
        <v>728</v>
      </c>
      <c r="F4" s="709" t="s">
        <v>728</v>
      </c>
      <c r="G4" s="709" t="s">
        <v>728</v>
      </c>
      <c r="H4" s="709" t="s">
        <v>728</v>
      </c>
      <c r="I4" s="709" t="s">
        <v>728</v>
      </c>
      <c r="J4" s="709" t="s">
        <v>728</v>
      </c>
      <c r="K4" s="722"/>
    </row>
    <row r="5" spans="1:13" x14ac:dyDescent="0.3">
      <c r="A5" s="305">
        <v>5119</v>
      </c>
      <c r="B5" s="305" t="s">
        <v>759</v>
      </c>
      <c r="C5" s="305">
        <v>647</v>
      </c>
      <c r="D5" s="706">
        <v>20578691</v>
      </c>
      <c r="E5" s="706">
        <v>3249248</v>
      </c>
      <c r="F5" s="706">
        <v>2957570</v>
      </c>
      <c r="G5" s="706">
        <v>5709008</v>
      </c>
      <c r="H5" s="706">
        <v>5114434</v>
      </c>
      <c r="I5" s="706">
        <v>4562229</v>
      </c>
      <c r="J5" s="706">
        <v>4029652</v>
      </c>
    </row>
    <row r="6" spans="1:13" x14ac:dyDescent="0.3">
      <c r="A6" s="305">
        <v>5120</v>
      </c>
      <c r="B6" s="305" t="s">
        <v>760</v>
      </c>
      <c r="C6" s="305">
        <v>647</v>
      </c>
      <c r="D6" s="706">
        <v>0</v>
      </c>
      <c r="E6" s="706">
        <v>0</v>
      </c>
      <c r="F6" s="706">
        <v>0</v>
      </c>
      <c r="G6" s="706">
        <v>0</v>
      </c>
      <c r="H6" s="706">
        <v>0</v>
      </c>
      <c r="I6" s="706">
        <v>0</v>
      </c>
      <c r="J6" s="706">
        <v>0</v>
      </c>
    </row>
    <row r="7" spans="1:13" x14ac:dyDescent="0.3">
      <c r="A7" s="305">
        <v>5131</v>
      </c>
      <c r="B7" s="305" t="s">
        <v>761</v>
      </c>
      <c r="C7" s="305">
        <v>647</v>
      </c>
      <c r="D7" s="706">
        <v>37089245</v>
      </c>
      <c r="E7" s="706">
        <v>20299814</v>
      </c>
      <c r="F7" s="706">
        <v>8051571</v>
      </c>
      <c r="G7" s="706">
        <v>7371500</v>
      </c>
      <c r="H7" s="706">
        <v>5966665</v>
      </c>
      <c r="I7" s="706">
        <v>8207298</v>
      </c>
      <c r="J7" s="706">
        <v>7347048</v>
      </c>
    </row>
    <row r="8" spans="1:13" x14ac:dyDescent="0.3">
      <c r="A8" s="305">
        <v>5135</v>
      </c>
      <c r="B8" s="305" t="s">
        <v>762</v>
      </c>
      <c r="C8" s="305">
        <v>647</v>
      </c>
      <c r="D8" s="706">
        <v>0</v>
      </c>
      <c r="E8" s="706">
        <v>0</v>
      </c>
      <c r="F8" s="706">
        <v>4056482</v>
      </c>
      <c r="G8" s="706">
        <v>3922669</v>
      </c>
      <c r="H8" s="706">
        <v>3148233</v>
      </c>
      <c r="I8" s="706">
        <v>2755127</v>
      </c>
      <c r="J8" s="706">
        <v>2755127</v>
      </c>
    </row>
    <row r="9" spans="1:13" x14ac:dyDescent="0.3">
      <c r="A9" s="305">
        <v>5144</v>
      </c>
      <c r="B9" s="305" t="s">
        <v>763</v>
      </c>
      <c r="C9" s="305">
        <v>647</v>
      </c>
      <c r="D9" s="706">
        <v>7441890</v>
      </c>
      <c r="E9" s="706">
        <v>7441890</v>
      </c>
      <c r="F9" s="706">
        <v>4932241</v>
      </c>
      <c r="G9" s="706">
        <v>590997</v>
      </c>
      <c r="H9" s="706">
        <v>0</v>
      </c>
      <c r="I9" s="706">
        <v>3000000</v>
      </c>
      <c r="J9" s="706">
        <v>2390166</v>
      </c>
    </row>
    <row r="10" spans="1:13" x14ac:dyDescent="0.3">
      <c r="A10" s="305">
        <v>5155</v>
      </c>
      <c r="B10" s="305" t="s">
        <v>764</v>
      </c>
      <c r="C10" s="305">
        <v>647</v>
      </c>
      <c r="D10" s="706">
        <v>1008755</v>
      </c>
      <c r="E10" s="706">
        <v>781534</v>
      </c>
      <c r="F10" s="706">
        <v>663572</v>
      </c>
      <c r="G10" s="706">
        <v>6557774</v>
      </c>
      <c r="H10" s="706">
        <v>611355</v>
      </c>
      <c r="I10" s="706">
        <v>784361</v>
      </c>
      <c r="J10" s="706">
        <v>1022379</v>
      </c>
    </row>
    <row r="11" spans="1:13" x14ac:dyDescent="0.3">
      <c r="A11" s="305">
        <v>5158</v>
      </c>
      <c r="B11" s="305" t="s">
        <v>765</v>
      </c>
      <c r="C11" s="305">
        <v>647</v>
      </c>
      <c r="D11" s="706">
        <v>9</v>
      </c>
      <c r="E11" s="706">
        <v>9</v>
      </c>
      <c r="F11" s="706">
        <v>9</v>
      </c>
      <c r="G11" s="706">
        <v>9</v>
      </c>
      <c r="H11" s="706">
        <v>9</v>
      </c>
      <c r="I11" s="706">
        <v>9</v>
      </c>
      <c r="J11" s="706">
        <v>9</v>
      </c>
    </row>
    <row r="12" spans="1:13" x14ac:dyDescent="0.3">
      <c r="A12" s="305">
        <v>5159</v>
      </c>
      <c r="B12" s="305" t="s">
        <v>766</v>
      </c>
      <c r="C12" s="305">
        <v>647</v>
      </c>
      <c r="D12" s="706">
        <v>225639888</v>
      </c>
      <c r="E12" s="706">
        <v>219009306</v>
      </c>
      <c r="F12" s="706">
        <v>181812071</v>
      </c>
      <c r="G12" s="706">
        <v>193933610</v>
      </c>
      <c r="H12" s="706">
        <v>181583886</v>
      </c>
      <c r="I12" s="706">
        <v>0</v>
      </c>
      <c r="J12" s="706">
        <v>0</v>
      </c>
    </row>
    <row r="13" spans="1:13" x14ac:dyDescent="0.3">
      <c r="A13" s="305">
        <v>5164</v>
      </c>
      <c r="B13" s="305" t="s">
        <v>767</v>
      </c>
      <c r="C13" s="305">
        <v>647</v>
      </c>
      <c r="D13" s="706">
        <v>7132135</v>
      </c>
      <c r="E13" s="706">
        <v>5438631</v>
      </c>
      <c r="F13" s="706">
        <v>2427428</v>
      </c>
      <c r="G13" s="706">
        <v>157674</v>
      </c>
      <c r="H13" s="706">
        <v>0</v>
      </c>
      <c r="I13" s="706">
        <v>0</v>
      </c>
      <c r="J13" s="706">
        <v>0</v>
      </c>
    </row>
    <row r="14" spans="1:13" x14ac:dyDescent="0.3">
      <c r="A14" s="305">
        <v>5173</v>
      </c>
      <c r="B14" s="305" t="s">
        <v>768</v>
      </c>
      <c r="C14" s="305">
        <v>647</v>
      </c>
      <c r="D14" s="706">
        <v>422216</v>
      </c>
      <c r="E14" s="706">
        <v>2615544</v>
      </c>
      <c r="F14" s="706">
        <v>880554</v>
      </c>
      <c r="G14" s="706">
        <v>154942</v>
      </c>
      <c r="H14" s="706">
        <v>107456</v>
      </c>
      <c r="I14" s="706">
        <v>46240</v>
      </c>
      <c r="J14" s="706">
        <v>23390</v>
      </c>
    </row>
    <row r="15" spans="1:13" x14ac:dyDescent="0.3">
      <c r="A15" s="305">
        <v>5178</v>
      </c>
      <c r="B15" s="305" t="s">
        <v>769</v>
      </c>
      <c r="C15" s="305">
        <v>647</v>
      </c>
      <c r="D15" s="706">
        <v>75835</v>
      </c>
      <c r="E15" s="706">
        <v>66039</v>
      </c>
      <c r="F15" s="706">
        <v>57100</v>
      </c>
      <c r="G15" s="706">
        <v>52316</v>
      </c>
      <c r="H15" s="706">
        <v>23715</v>
      </c>
      <c r="I15" s="706">
        <v>899285</v>
      </c>
      <c r="J15" s="706">
        <v>1169608</v>
      </c>
    </row>
    <row r="16" spans="1:13" x14ac:dyDescent="0.3">
      <c r="A16" s="305">
        <v>5180</v>
      </c>
      <c r="B16" s="305" t="s">
        <v>770</v>
      </c>
      <c r="C16" s="305">
        <v>647</v>
      </c>
      <c r="D16" s="706">
        <v>4586780</v>
      </c>
      <c r="E16" s="706">
        <v>5165281</v>
      </c>
      <c r="F16" s="706">
        <v>4432068</v>
      </c>
      <c r="G16" s="706">
        <v>3558985</v>
      </c>
      <c r="H16" s="706">
        <v>2657915</v>
      </c>
      <c r="I16" s="706">
        <v>2071596</v>
      </c>
      <c r="J16" s="706">
        <v>1986034</v>
      </c>
    </row>
    <row r="17" spans="1:10" x14ac:dyDescent="0.3">
      <c r="A17" s="305">
        <v>5191</v>
      </c>
      <c r="B17" s="305" t="s">
        <v>771</v>
      </c>
      <c r="C17" s="305">
        <v>647</v>
      </c>
      <c r="D17" s="706">
        <v>111303046</v>
      </c>
      <c r="E17" s="706">
        <v>108974619</v>
      </c>
      <c r="F17" s="706">
        <v>120290900</v>
      </c>
      <c r="G17" s="706">
        <v>127448981</v>
      </c>
      <c r="H17" s="706">
        <v>153873846</v>
      </c>
      <c r="I17" s="706">
        <v>135252125</v>
      </c>
      <c r="J17" s="706">
        <v>169055200</v>
      </c>
    </row>
    <row r="18" spans="1:10" x14ac:dyDescent="0.3">
      <c r="A18" s="305">
        <v>50074</v>
      </c>
      <c r="B18" s="305" t="s">
        <v>772</v>
      </c>
      <c r="C18" s="305">
        <v>647</v>
      </c>
      <c r="D18" s="706">
        <v>7494829</v>
      </c>
      <c r="E18" s="706">
        <v>7189658</v>
      </c>
      <c r="F18" s="706">
        <v>7048523</v>
      </c>
      <c r="G18" s="706">
        <v>6615510</v>
      </c>
      <c r="H18" s="706">
        <v>5452410</v>
      </c>
      <c r="I18" s="706">
        <v>4803926</v>
      </c>
      <c r="J18" s="706">
        <v>5340180</v>
      </c>
    </row>
    <row r="19" spans="1:10" x14ac:dyDescent="0.3">
      <c r="A19" s="305">
        <v>50075</v>
      </c>
      <c r="B19" s="305" t="s">
        <v>773</v>
      </c>
      <c r="C19" s="305">
        <v>647</v>
      </c>
      <c r="D19" s="706">
        <v>266214000</v>
      </c>
      <c r="E19" s="706">
        <v>265541000</v>
      </c>
      <c r="F19" s="706">
        <v>274532000</v>
      </c>
      <c r="G19" s="706">
        <v>286138000</v>
      </c>
      <c r="H19" s="706">
        <v>295124000</v>
      </c>
      <c r="I19" s="706">
        <v>264645000</v>
      </c>
      <c r="J19" s="706">
        <v>231434000</v>
      </c>
    </row>
    <row r="20" spans="1:10" x14ac:dyDescent="0.3">
      <c r="A20" s="305">
        <v>50110</v>
      </c>
      <c r="B20" s="305" t="s">
        <v>774</v>
      </c>
      <c r="C20" s="305">
        <v>647</v>
      </c>
      <c r="D20" s="706">
        <v>46833536</v>
      </c>
      <c r="E20" s="706">
        <v>45660075</v>
      </c>
      <c r="F20" s="706">
        <v>8463820</v>
      </c>
      <c r="G20" s="706">
        <v>2663591</v>
      </c>
      <c r="H20" s="706">
        <v>2371109</v>
      </c>
      <c r="I20" s="706">
        <v>2878268</v>
      </c>
      <c r="J20" s="706">
        <v>4203755</v>
      </c>
    </row>
    <row r="21" spans="1:10" x14ac:dyDescent="0.3">
      <c r="A21" s="305">
        <v>50144</v>
      </c>
      <c r="B21" s="305" t="s">
        <v>775</v>
      </c>
      <c r="C21" s="305">
        <v>647</v>
      </c>
      <c r="D21" s="706">
        <v>4258932</v>
      </c>
      <c r="E21" s="706">
        <v>853434</v>
      </c>
      <c r="F21" s="706">
        <v>1622119</v>
      </c>
      <c r="G21" s="706">
        <v>1743258</v>
      </c>
      <c r="H21" s="706">
        <v>1740179</v>
      </c>
      <c r="I21" s="706">
        <v>1739958</v>
      </c>
      <c r="J21" s="706">
        <v>1739695</v>
      </c>
    </row>
    <row r="22" spans="1:10" x14ac:dyDescent="0.3">
      <c r="A22" s="305">
        <v>50159</v>
      </c>
      <c r="B22" s="305" t="s">
        <v>776</v>
      </c>
      <c r="C22" s="305">
        <v>647</v>
      </c>
      <c r="D22" s="706">
        <v>28636370</v>
      </c>
      <c r="E22" s="706">
        <v>23180822</v>
      </c>
      <c r="F22" s="706">
        <v>16487675</v>
      </c>
      <c r="G22" s="706">
        <v>10909425</v>
      </c>
      <c r="H22" s="706">
        <v>7878571</v>
      </c>
      <c r="I22" s="706">
        <v>5300679</v>
      </c>
      <c r="J22" s="706">
        <v>4801051</v>
      </c>
    </row>
    <row r="23" spans="1:10" x14ac:dyDescent="0.3">
      <c r="A23" s="305">
        <v>50160</v>
      </c>
      <c r="B23" s="305" t="s">
        <v>777</v>
      </c>
      <c r="C23" s="305">
        <v>647</v>
      </c>
      <c r="D23" s="706">
        <v>1134799</v>
      </c>
      <c r="E23" s="706">
        <v>894858</v>
      </c>
      <c r="F23" s="706">
        <v>1002425</v>
      </c>
      <c r="G23" s="706">
        <v>354061</v>
      </c>
      <c r="H23" s="706">
        <v>392698</v>
      </c>
      <c r="I23" s="706">
        <v>442800</v>
      </c>
      <c r="J23" s="706">
        <v>942821</v>
      </c>
    </row>
    <row r="24" spans="1:10" x14ac:dyDescent="0.3">
      <c r="A24" s="305">
        <v>50180</v>
      </c>
      <c r="B24" s="305" t="s">
        <v>778</v>
      </c>
      <c r="C24" s="305">
        <v>647</v>
      </c>
      <c r="D24" s="706">
        <v>13193040</v>
      </c>
      <c r="E24" s="706">
        <v>17058564</v>
      </c>
      <c r="F24" s="706">
        <v>16187505</v>
      </c>
      <c r="G24" s="706">
        <v>16428100</v>
      </c>
      <c r="H24" s="706">
        <v>16688416</v>
      </c>
      <c r="I24" s="706">
        <v>17840940</v>
      </c>
      <c r="J24" s="706">
        <v>18042019</v>
      </c>
    </row>
    <row r="25" spans="1:10" x14ac:dyDescent="0.3">
      <c r="A25" s="305">
        <v>50405</v>
      </c>
      <c r="B25" s="305" t="s">
        <v>779</v>
      </c>
      <c r="C25" s="305">
        <v>647</v>
      </c>
      <c r="D25" s="706">
        <v>302046</v>
      </c>
      <c r="E25" s="706">
        <v>1055143</v>
      </c>
      <c r="F25" s="706">
        <v>0</v>
      </c>
      <c r="G25" s="706">
        <v>0</v>
      </c>
      <c r="H25" s="706">
        <v>0</v>
      </c>
      <c r="I25" s="706">
        <v>0</v>
      </c>
      <c r="J25" s="706">
        <v>0</v>
      </c>
    </row>
    <row r="26" spans="1:10" x14ac:dyDescent="0.3">
      <c r="A26" s="305">
        <v>50425</v>
      </c>
      <c r="B26" s="305" t="s">
        <v>780</v>
      </c>
      <c r="C26" s="305">
        <v>647</v>
      </c>
      <c r="D26" s="706">
        <v>20836222</v>
      </c>
      <c r="E26" s="706">
        <v>16328642</v>
      </c>
      <c r="F26" s="706">
        <v>15202516</v>
      </c>
      <c r="G26" s="706">
        <v>12384500</v>
      </c>
      <c r="H26" s="706">
        <v>9788553</v>
      </c>
      <c r="I26" s="706">
        <v>7967199</v>
      </c>
      <c r="J26" s="706">
        <v>6398918</v>
      </c>
    </row>
    <row r="27" spans="1:10" x14ac:dyDescent="0.3">
      <c r="A27" s="305">
        <v>50431</v>
      </c>
      <c r="B27" s="305" t="s">
        <v>781</v>
      </c>
      <c r="C27" s="305">
        <v>647</v>
      </c>
      <c r="D27" s="706">
        <v>25542629</v>
      </c>
      <c r="E27" s="706">
        <v>24964077</v>
      </c>
      <c r="F27" s="706">
        <v>23618105</v>
      </c>
      <c r="G27" s="706">
        <v>22744716</v>
      </c>
      <c r="H27" s="706">
        <v>16714796</v>
      </c>
      <c r="I27" s="706">
        <v>13788676</v>
      </c>
      <c r="J27" s="706">
        <v>10895689</v>
      </c>
    </row>
  </sheetData>
  <sheetProtection algorithmName="SHA-512" hashValue="zOJPBrBVacUhgC9ekTj45SG0iQCVqB0xg4zl4NXbCuUm+YsFjQ4emom1W6XDJ2q3oZ95XoQFIfIcoGM1GhHieA==" saltValue="qzrC+Ng8WmGKQcPPNBdYiA=="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0"/>
  <sheetViews>
    <sheetView workbookViewId="0">
      <selection activeCell="H32" sqref="H32"/>
    </sheetView>
  </sheetViews>
  <sheetFormatPr defaultColWidth="9.109375" defaultRowHeight="14.4" x14ac:dyDescent="0.3"/>
  <cols>
    <col min="1" max="1" width="9.109375" style="275"/>
    <col min="2" max="2" width="54.109375" style="275" customWidth="1"/>
    <col min="3" max="3" width="23.6640625" style="275" customWidth="1"/>
    <col min="4" max="4" width="19.6640625" style="275" customWidth="1"/>
    <col min="5" max="10" width="9.109375" style="275"/>
    <col min="11" max="11" width="54.109375" style="275" customWidth="1"/>
    <col min="12" max="16384" width="9.109375" style="275"/>
  </cols>
  <sheetData>
    <row r="1" spans="1:11" ht="43.2" x14ac:dyDescent="0.3">
      <c r="A1" s="275" t="s">
        <v>782</v>
      </c>
      <c r="B1" s="275" t="s">
        <v>929</v>
      </c>
      <c r="C1" s="283" t="s">
        <v>894</v>
      </c>
      <c r="D1" s="284" t="s">
        <v>1124</v>
      </c>
      <c r="E1" s="275" t="s">
        <v>1597</v>
      </c>
    </row>
    <row r="3" spans="1:11" ht="23.4" x14ac:dyDescent="0.45">
      <c r="A3" s="275">
        <v>50001</v>
      </c>
      <c r="B3" s="275" t="s">
        <v>930</v>
      </c>
      <c r="C3" s="275">
        <v>50</v>
      </c>
      <c r="D3" s="170" t="s">
        <v>51</v>
      </c>
      <c r="E3" s="309" t="s">
        <v>1267</v>
      </c>
    </row>
    <row r="4" spans="1:11" x14ac:dyDescent="0.3">
      <c r="A4" s="275">
        <v>50006</v>
      </c>
      <c r="B4" s="275" t="s">
        <v>931</v>
      </c>
      <c r="C4" s="275">
        <v>50</v>
      </c>
      <c r="D4" s="170" t="s">
        <v>51</v>
      </c>
    </row>
    <row r="5" spans="1:11" x14ac:dyDescent="0.3">
      <c r="A5" s="275">
        <v>50013</v>
      </c>
      <c r="B5" s="275" t="s">
        <v>933</v>
      </c>
      <c r="C5" s="275">
        <v>50</v>
      </c>
      <c r="D5" s="170" t="s">
        <v>51</v>
      </c>
    </row>
    <row r="6" spans="1:11" x14ac:dyDescent="0.3">
      <c r="A6" s="275">
        <v>50016</v>
      </c>
      <c r="B6" s="967" t="s">
        <v>1598</v>
      </c>
      <c r="C6" s="275">
        <v>50</v>
      </c>
      <c r="D6" s="170" t="s">
        <v>51</v>
      </c>
      <c r="K6" s="967"/>
    </row>
    <row r="7" spans="1:11" x14ac:dyDescent="0.3">
      <c r="A7" s="275">
        <v>50019</v>
      </c>
      <c r="B7" s="967" t="s">
        <v>1599</v>
      </c>
      <c r="C7" s="275">
        <v>50</v>
      </c>
      <c r="D7" s="170" t="s">
        <v>51</v>
      </c>
      <c r="K7" s="967"/>
    </row>
    <row r="8" spans="1:11" x14ac:dyDescent="0.3">
      <c r="A8" s="275">
        <v>50504</v>
      </c>
      <c r="B8" s="275" t="s">
        <v>934</v>
      </c>
      <c r="C8" s="275">
        <v>50</v>
      </c>
      <c r="D8" s="170" t="s">
        <v>51</v>
      </c>
    </row>
    <row r="9" spans="1:11" x14ac:dyDescent="0.3">
      <c r="A9" s="275">
        <v>50021</v>
      </c>
      <c r="B9" s="967" t="s">
        <v>1600</v>
      </c>
      <c r="C9" s="275">
        <v>50</v>
      </c>
      <c r="D9" s="170" t="s">
        <v>51</v>
      </c>
      <c r="K9" s="967"/>
    </row>
    <row r="10" spans="1:11" x14ac:dyDescent="0.3">
      <c r="A10" s="275">
        <v>50024</v>
      </c>
      <c r="B10" s="275" t="s">
        <v>935</v>
      </c>
      <c r="C10" s="275">
        <v>50</v>
      </c>
      <c r="D10" s="170" t="s">
        <v>51</v>
      </c>
    </row>
    <row r="11" spans="1:11" x14ac:dyDescent="0.3">
      <c r="A11" s="275">
        <v>50029</v>
      </c>
      <c r="B11" s="275" t="s">
        <v>936</v>
      </c>
      <c r="C11" s="275">
        <v>50</v>
      </c>
      <c r="D11" s="170" t="s">
        <v>51</v>
      </c>
    </row>
    <row r="12" spans="1:11" x14ac:dyDescent="0.3">
      <c r="A12" s="275">
        <v>50031</v>
      </c>
      <c r="B12" s="967" t="s">
        <v>1601</v>
      </c>
      <c r="C12" s="275">
        <v>50</v>
      </c>
      <c r="D12" s="170" t="s">
        <v>51</v>
      </c>
      <c r="K12" s="967"/>
    </row>
    <row r="13" spans="1:11" x14ac:dyDescent="0.3">
      <c r="A13" s="275">
        <v>50469</v>
      </c>
      <c r="B13" s="275" t="s">
        <v>937</v>
      </c>
      <c r="C13" s="275">
        <v>50</v>
      </c>
      <c r="D13" s="170" t="s">
        <v>51</v>
      </c>
    </row>
    <row r="14" spans="1:11" x14ac:dyDescent="0.3">
      <c r="A14" s="275">
        <v>50034</v>
      </c>
      <c r="B14" s="275" t="s">
        <v>939</v>
      </c>
      <c r="C14" s="275">
        <v>50</v>
      </c>
      <c r="D14" s="170" t="s">
        <v>51</v>
      </c>
    </row>
    <row r="15" spans="1:11" x14ac:dyDescent="0.3">
      <c r="A15" s="275">
        <v>50038</v>
      </c>
      <c r="B15" s="275" t="s">
        <v>940</v>
      </c>
      <c r="C15" s="275">
        <v>50</v>
      </c>
      <c r="D15" s="170" t="s">
        <v>51</v>
      </c>
    </row>
    <row r="16" spans="1:11" x14ac:dyDescent="0.3">
      <c r="A16" s="275">
        <v>50506</v>
      </c>
      <c r="B16" s="275" t="s">
        <v>941</v>
      </c>
      <c r="C16" s="275">
        <v>50</v>
      </c>
      <c r="D16" s="170" t="s">
        <v>51</v>
      </c>
    </row>
    <row r="17" spans="1:11" x14ac:dyDescent="0.3">
      <c r="A17" s="275">
        <v>50045</v>
      </c>
      <c r="B17" s="275" t="s">
        <v>942</v>
      </c>
      <c r="C17" s="275">
        <v>50</v>
      </c>
      <c r="D17" s="170" t="s">
        <v>51</v>
      </c>
    </row>
    <row r="18" spans="1:11" x14ac:dyDescent="0.3">
      <c r="A18" s="275">
        <v>50049</v>
      </c>
      <c r="B18" s="275" t="s">
        <v>943</v>
      </c>
      <c r="C18" s="275">
        <v>50</v>
      </c>
      <c r="D18" s="170" t="s">
        <v>51</v>
      </c>
    </row>
    <row r="19" spans="1:11" x14ac:dyDescent="0.3">
      <c r="A19" s="275">
        <v>50055</v>
      </c>
      <c r="B19" s="967" t="s">
        <v>1602</v>
      </c>
      <c r="C19" s="275">
        <v>50</v>
      </c>
      <c r="D19" s="170" t="s">
        <v>51</v>
      </c>
      <c r="K19" s="967"/>
    </row>
    <row r="20" spans="1:11" x14ac:dyDescent="0.3">
      <c r="A20" s="275">
        <v>50466</v>
      </c>
      <c r="B20" s="275" t="s">
        <v>1603</v>
      </c>
      <c r="C20" s="275">
        <v>50</v>
      </c>
      <c r="D20" s="170" t="s">
        <v>51</v>
      </c>
    </row>
    <row r="21" spans="1:11" x14ac:dyDescent="0.3">
      <c r="A21" s="275">
        <v>50069</v>
      </c>
      <c r="B21" s="275" t="s">
        <v>944</v>
      </c>
      <c r="C21" s="275">
        <v>50</v>
      </c>
      <c r="D21" s="170" t="s">
        <v>51</v>
      </c>
    </row>
    <row r="22" spans="1:11" x14ac:dyDescent="0.3">
      <c r="A22" s="275">
        <v>50467</v>
      </c>
      <c r="B22" s="275" t="s">
        <v>945</v>
      </c>
      <c r="C22" s="275">
        <v>50</v>
      </c>
      <c r="D22" s="170" t="s">
        <v>51</v>
      </c>
    </row>
    <row r="23" spans="1:11" x14ac:dyDescent="0.3">
      <c r="A23" s="275">
        <v>50510</v>
      </c>
      <c r="B23" s="275" t="s">
        <v>946</v>
      </c>
      <c r="C23" s="275">
        <v>50</v>
      </c>
      <c r="D23" s="170" t="s">
        <v>51</v>
      </c>
    </row>
    <row r="24" spans="1:11" x14ac:dyDescent="0.3">
      <c r="A24" s="275">
        <v>50078</v>
      </c>
      <c r="B24" s="275" t="s">
        <v>1604</v>
      </c>
      <c r="C24" s="275">
        <v>50</v>
      </c>
      <c r="D24" s="170" t="s">
        <v>51</v>
      </c>
    </row>
    <row r="25" spans="1:11" x14ac:dyDescent="0.3">
      <c r="A25" s="275">
        <v>50080</v>
      </c>
      <c r="B25" s="275" t="s">
        <v>1605</v>
      </c>
      <c r="C25" s="275">
        <v>50</v>
      </c>
      <c r="D25" s="170" t="s">
        <v>51</v>
      </c>
    </row>
    <row r="26" spans="1:11" x14ac:dyDescent="0.3">
      <c r="A26" s="275">
        <v>50468</v>
      </c>
      <c r="B26" s="967" t="s">
        <v>1606</v>
      </c>
      <c r="C26" s="275">
        <v>50</v>
      </c>
      <c r="D26" s="170" t="s">
        <v>51</v>
      </c>
      <c r="K26" s="967"/>
    </row>
    <row r="27" spans="1:11" x14ac:dyDescent="0.3">
      <c r="A27" s="275">
        <v>50086</v>
      </c>
      <c r="B27" s="275" t="s">
        <v>948</v>
      </c>
      <c r="C27" s="275">
        <v>50</v>
      </c>
      <c r="D27" s="170" t="s">
        <v>51</v>
      </c>
    </row>
    <row r="28" spans="1:11" x14ac:dyDescent="0.3">
      <c r="A28" s="275">
        <v>50087</v>
      </c>
      <c r="B28" s="275" t="s">
        <v>949</v>
      </c>
      <c r="C28" s="275">
        <v>50</v>
      </c>
      <c r="D28" s="170" t="s">
        <v>51</v>
      </c>
    </row>
    <row r="29" spans="1:11" x14ac:dyDescent="0.3">
      <c r="A29" s="275">
        <v>50091</v>
      </c>
      <c r="B29" s="967" t="s">
        <v>1607</v>
      </c>
      <c r="C29" s="275">
        <v>50</v>
      </c>
      <c r="D29" s="170" t="s">
        <v>51</v>
      </c>
      <c r="K29" s="967"/>
    </row>
    <row r="30" spans="1:11" x14ac:dyDescent="0.3">
      <c r="A30" s="275">
        <v>50098</v>
      </c>
      <c r="B30" s="275" t="s">
        <v>1608</v>
      </c>
      <c r="C30" s="275">
        <v>50</v>
      </c>
      <c r="D30" s="170" t="s">
        <v>51</v>
      </c>
    </row>
    <row r="31" spans="1:11" x14ac:dyDescent="0.3">
      <c r="A31" s="275">
        <v>50100</v>
      </c>
      <c r="B31" s="275" t="s">
        <v>1609</v>
      </c>
      <c r="C31" s="275">
        <v>50</v>
      </c>
      <c r="D31" s="170" t="s">
        <v>51</v>
      </c>
    </row>
    <row r="32" spans="1:11" x14ac:dyDescent="0.3">
      <c r="A32" s="275">
        <v>50513</v>
      </c>
      <c r="B32" s="275" t="s">
        <v>950</v>
      </c>
      <c r="C32" s="275">
        <v>50</v>
      </c>
      <c r="D32" s="170" t="s">
        <v>51</v>
      </c>
    </row>
    <row r="33" spans="1:11" x14ac:dyDescent="0.3">
      <c r="A33" s="275">
        <v>50106</v>
      </c>
      <c r="B33" s="275" t="s">
        <v>951</v>
      </c>
      <c r="C33" s="275">
        <v>50</v>
      </c>
      <c r="D33" s="170" t="s">
        <v>51</v>
      </c>
    </row>
    <row r="34" spans="1:11" x14ac:dyDescent="0.3">
      <c r="A34" s="275">
        <v>50472</v>
      </c>
      <c r="B34" s="275" t="s">
        <v>952</v>
      </c>
      <c r="C34" s="275">
        <v>50</v>
      </c>
      <c r="D34" s="170" t="s">
        <v>51</v>
      </c>
    </row>
    <row r="35" spans="1:11" x14ac:dyDescent="0.3">
      <c r="A35" s="275">
        <v>50112</v>
      </c>
      <c r="B35" s="275" t="s">
        <v>953</v>
      </c>
      <c r="C35" s="275">
        <v>50</v>
      </c>
      <c r="D35" s="170" t="s">
        <v>51</v>
      </c>
    </row>
    <row r="36" spans="1:11" x14ac:dyDescent="0.3">
      <c r="A36" s="275">
        <v>50113</v>
      </c>
      <c r="B36" s="275" t="s">
        <v>954</v>
      </c>
      <c r="C36" s="275">
        <v>50</v>
      </c>
      <c r="D36" s="170" t="s">
        <v>51</v>
      </c>
    </row>
    <row r="37" spans="1:11" x14ac:dyDescent="0.3">
      <c r="A37" s="275">
        <v>50116</v>
      </c>
      <c r="B37" s="967" t="s">
        <v>1610</v>
      </c>
      <c r="C37" s="275">
        <v>50</v>
      </c>
      <c r="D37" s="170" t="s">
        <v>51</v>
      </c>
      <c r="K37" s="967"/>
    </row>
    <row r="38" spans="1:11" x14ac:dyDescent="0.3">
      <c r="A38" s="275">
        <v>50121</v>
      </c>
      <c r="B38" s="275" t="s">
        <v>956</v>
      </c>
      <c r="C38" s="275">
        <v>50</v>
      </c>
      <c r="D38" s="170" t="s">
        <v>51</v>
      </c>
    </row>
    <row r="39" spans="1:11" x14ac:dyDescent="0.3">
      <c r="A39" s="275">
        <v>50122</v>
      </c>
      <c r="B39" s="275" t="s">
        <v>957</v>
      </c>
      <c r="C39" s="275">
        <v>50</v>
      </c>
      <c r="D39" s="170" t="s">
        <v>51</v>
      </c>
    </row>
    <row r="40" spans="1:11" x14ac:dyDescent="0.3">
      <c r="A40" s="275">
        <v>50125</v>
      </c>
      <c r="B40" s="275" t="s">
        <v>958</v>
      </c>
      <c r="C40" s="275">
        <v>50</v>
      </c>
      <c r="D40" s="170" t="s">
        <v>51</v>
      </c>
    </row>
    <row r="41" spans="1:11" x14ac:dyDescent="0.3">
      <c r="A41" s="275">
        <v>50126</v>
      </c>
      <c r="B41" s="967" t="s">
        <v>1611</v>
      </c>
      <c r="C41" s="275">
        <v>50</v>
      </c>
      <c r="D41" s="170" t="s">
        <v>51</v>
      </c>
      <c r="K41" s="967"/>
    </row>
    <row r="42" spans="1:11" x14ac:dyDescent="0.3">
      <c r="A42" s="275">
        <v>50127</v>
      </c>
      <c r="B42" s="275" t="s">
        <v>1612</v>
      </c>
      <c r="C42" s="275">
        <v>50</v>
      </c>
      <c r="D42" s="170" t="s">
        <v>51</v>
      </c>
    </row>
    <row r="43" spans="1:11" x14ac:dyDescent="0.3">
      <c r="A43" s="275">
        <v>50128</v>
      </c>
      <c r="B43" s="275" t="s">
        <v>960</v>
      </c>
      <c r="C43" s="275">
        <v>50</v>
      </c>
      <c r="D43" s="170" t="s">
        <v>51</v>
      </c>
    </row>
    <row r="44" spans="1:11" x14ac:dyDescent="0.3">
      <c r="A44" s="275">
        <v>50129</v>
      </c>
      <c r="B44" s="275" t="s">
        <v>961</v>
      </c>
      <c r="C44" s="275">
        <v>50</v>
      </c>
      <c r="D44" s="170" t="s">
        <v>51</v>
      </c>
    </row>
    <row r="45" spans="1:11" x14ac:dyDescent="0.3">
      <c r="A45" s="275">
        <v>50130</v>
      </c>
      <c r="B45" s="275" t="s">
        <v>962</v>
      </c>
      <c r="C45" s="275">
        <v>50</v>
      </c>
      <c r="D45" s="170" t="s">
        <v>51</v>
      </c>
    </row>
    <row r="46" spans="1:11" x14ac:dyDescent="0.3">
      <c r="A46" s="275">
        <v>50570</v>
      </c>
      <c r="B46" s="275" t="s">
        <v>963</v>
      </c>
      <c r="C46" s="275">
        <v>50</v>
      </c>
      <c r="D46" s="170" t="s">
        <v>51</v>
      </c>
    </row>
    <row r="47" spans="1:11" x14ac:dyDescent="0.3">
      <c r="A47" s="275">
        <v>50139</v>
      </c>
      <c r="B47" s="275" t="s">
        <v>965</v>
      </c>
      <c r="C47" s="275">
        <v>50</v>
      </c>
      <c r="D47" s="170" t="s">
        <v>51</v>
      </c>
    </row>
    <row r="48" spans="1:11" x14ac:dyDescent="0.3">
      <c r="A48" s="275">
        <v>50142</v>
      </c>
      <c r="B48" s="275" t="s">
        <v>966</v>
      </c>
      <c r="C48" s="275">
        <v>50</v>
      </c>
      <c r="D48" s="170" t="s">
        <v>51</v>
      </c>
    </row>
    <row r="49" spans="1:11" x14ac:dyDescent="0.3">
      <c r="A49" s="275">
        <v>50143</v>
      </c>
      <c r="B49" s="275" t="s">
        <v>967</v>
      </c>
      <c r="C49" s="275">
        <v>50</v>
      </c>
      <c r="D49" s="170" t="s">
        <v>51</v>
      </c>
    </row>
    <row r="50" spans="1:11" x14ac:dyDescent="0.3">
      <c r="A50" s="275">
        <v>50148</v>
      </c>
      <c r="B50" s="275" t="s">
        <v>762</v>
      </c>
      <c r="C50" s="275">
        <v>50</v>
      </c>
      <c r="D50" s="170" t="s">
        <v>51</v>
      </c>
    </row>
    <row r="51" spans="1:11" x14ac:dyDescent="0.3">
      <c r="A51" s="275">
        <v>50151</v>
      </c>
      <c r="B51" s="275" t="s">
        <v>1613</v>
      </c>
      <c r="C51" s="275">
        <v>50</v>
      </c>
      <c r="D51" s="170" t="s">
        <v>51</v>
      </c>
    </row>
    <row r="52" spans="1:11" x14ac:dyDescent="0.3">
      <c r="A52" s="275">
        <v>50153</v>
      </c>
      <c r="B52" s="275" t="s">
        <v>968</v>
      </c>
      <c r="C52" s="275">
        <v>50</v>
      </c>
      <c r="D52" s="170" t="s">
        <v>51</v>
      </c>
    </row>
    <row r="53" spans="1:11" x14ac:dyDescent="0.3">
      <c r="A53" s="275">
        <v>50154</v>
      </c>
      <c r="B53" s="275" t="s">
        <v>969</v>
      </c>
      <c r="C53" s="275">
        <v>50</v>
      </c>
      <c r="D53" s="170" t="s">
        <v>51</v>
      </c>
    </row>
    <row r="54" spans="1:11" x14ac:dyDescent="0.3">
      <c r="A54" s="275">
        <v>50517</v>
      </c>
      <c r="B54" s="967" t="s">
        <v>1614</v>
      </c>
      <c r="C54" s="275">
        <v>50</v>
      </c>
      <c r="D54" s="170" t="s">
        <v>51</v>
      </c>
      <c r="K54" s="967"/>
    </row>
    <row r="55" spans="1:11" x14ac:dyDescent="0.3">
      <c r="A55" s="275">
        <v>50448</v>
      </c>
      <c r="B55" s="275" t="s">
        <v>970</v>
      </c>
      <c r="C55" s="275">
        <v>50</v>
      </c>
      <c r="D55" s="170" t="s">
        <v>51</v>
      </c>
    </row>
    <row r="56" spans="1:11" x14ac:dyDescent="0.3">
      <c r="A56" s="275">
        <v>50163</v>
      </c>
      <c r="B56" s="275" t="s">
        <v>971</v>
      </c>
      <c r="C56" s="275">
        <v>50</v>
      </c>
      <c r="D56" s="170" t="s">
        <v>51</v>
      </c>
    </row>
    <row r="57" spans="1:11" x14ac:dyDescent="0.3">
      <c r="A57" s="275">
        <v>50165</v>
      </c>
      <c r="B57" s="275" t="s">
        <v>972</v>
      </c>
      <c r="C57" s="275">
        <v>50</v>
      </c>
      <c r="D57" s="170" t="s">
        <v>51</v>
      </c>
    </row>
    <row r="58" spans="1:11" x14ac:dyDescent="0.3">
      <c r="A58" s="275">
        <v>50166</v>
      </c>
      <c r="B58" s="275" t="s">
        <v>973</v>
      </c>
      <c r="C58" s="275">
        <v>50</v>
      </c>
      <c r="D58" s="170" t="s">
        <v>51</v>
      </c>
    </row>
    <row r="59" spans="1:11" x14ac:dyDescent="0.3">
      <c r="A59" s="275">
        <v>50167</v>
      </c>
      <c r="B59" s="275" t="s">
        <v>974</v>
      </c>
      <c r="C59" s="275">
        <v>50</v>
      </c>
      <c r="D59" s="170" t="s">
        <v>51</v>
      </c>
    </row>
    <row r="60" spans="1:11" x14ac:dyDescent="0.3">
      <c r="A60" s="275">
        <v>50171</v>
      </c>
      <c r="B60" s="967" t="s">
        <v>1615</v>
      </c>
      <c r="C60" s="275">
        <v>50</v>
      </c>
      <c r="D60" s="170" t="s">
        <v>51</v>
      </c>
      <c r="K60" s="967"/>
    </row>
    <row r="61" spans="1:11" x14ac:dyDescent="0.3">
      <c r="A61" s="275">
        <v>50440</v>
      </c>
      <c r="B61" s="275" t="s">
        <v>1616</v>
      </c>
      <c r="C61" s="275">
        <v>50</v>
      </c>
      <c r="D61" s="170" t="s">
        <v>51</v>
      </c>
    </row>
    <row r="62" spans="1:11" x14ac:dyDescent="0.3">
      <c r="A62" s="275">
        <v>50175</v>
      </c>
      <c r="B62" s="967" t="s">
        <v>763</v>
      </c>
      <c r="C62" s="275">
        <v>50</v>
      </c>
      <c r="D62" s="170" t="s">
        <v>51</v>
      </c>
      <c r="K62" s="967"/>
    </row>
    <row r="63" spans="1:11" x14ac:dyDescent="0.3">
      <c r="A63" s="275">
        <v>50177</v>
      </c>
      <c r="B63" s="967" t="s">
        <v>1617</v>
      </c>
      <c r="C63" s="275">
        <v>50</v>
      </c>
      <c r="D63" s="170" t="s">
        <v>51</v>
      </c>
      <c r="K63" s="967"/>
    </row>
    <row r="64" spans="1:11" x14ac:dyDescent="0.3">
      <c r="A64" s="275">
        <v>50183</v>
      </c>
      <c r="B64" s="275" t="s">
        <v>975</v>
      </c>
      <c r="C64" s="275">
        <v>50</v>
      </c>
      <c r="D64" s="170" t="s">
        <v>51</v>
      </c>
    </row>
    <row r="65" spans="1:11" x14ac:dyDescent="0.3">
      <c r="A65" s="275">
        <v>50184</v>
      </c>
      <c r="B65" s="275" t="s">
        <v>976</v>
      </c>
      <c r="C65" s="275">
        <v>50</v>
      </c>
      <c r="D65" s="170" t="s">
        <v>51</v>
      </c>
    </row>
    <row r="66" spans="1:11" x14ac:dyDescent="0.3">
      <c r="A66" s="275">
        <v>50186</v>
      </c>
      <c r="B66" s="275" t="s">
        <v>977</v>
      </c>
      <c r="C66" s="275">
        <v>50</v>
      </c>
      <c r="D66" s="170" t="s">
        <v>51</v>
      </c>
    </row>
    <row r="67" spans="1:11" x14ac:dyDescent="0.3">
      <c r="A67" s="275">
        <v>50476</v>
      </c>
      <c r="B67" s="275" t="s">
        <v>841</v>
      </c>
      <c r="C67" s="275">
        <v>50</v>
      </c>
      <c r="D67" s="170" t="s">
        <v>51</v>
      </c>
    </row>
    <row r="68" spans="1:11" x14ac:dyDescent="0.3">
      <c r="A68" s="275">
        <v>50192</v>
      </c>
      <c r="B68" s="275" t="s">
        <v>842</v>
      </c>
      <c r="C68" s="275">
        <v>50</v>
      </c>
      <c r="D68" s="170" t="s">
        <v>51</v>
      </c>
    </row>
    <row r="69" spans="1:11" x14ac:dyDescent="0.3">
      <c r="A69" s="275">
        <v>50518</v>
      </c>
      <c r="B69" s="275" t="s">
        <v>843</v>
      </c>
      <c r="C69" s="275">
        <v>50</v>
      </c>
      <c r="D69" s="170" t="s">
        <v>51</v>
      </c>
    </row>
    <row r="70" spans="1:11" x14ac:dyDescent="0.3">
      <c r="A70" s="275">
        <v>50231</v>
      </c>
      <c r="B70" s="275" t="s">
        <v>844</v>
      </c>
      <c r="C70" s="275">
        <v>50</v>
      </c>
      <c r="D70" s="170" t="s">
        <v>51</v>
      </c>
    </row>
    <row r="71" spans="1:11" x14ac:dyDescent="0.3">
      <c r="A71" s="275">
        <v>50235</v>
      </c>
      <c r="B71" s="275" t="s">
        <v>846</v>
      </c>
      <c r="C71" s="275">
        <v>50</v>
      </c>
      <c r="D71" s="170" t="s">
        <v>51</v>
      </c>
    </row>
    <row r="72" spans="1:11" x14ac:dyDescent="0.3">
      <c r="A72" s="275">
        <v>50233</v>
      </c>
      <c r="B72" s="275" t="s">
        <v>845</v>
      </c>
      <c r="C72" s="275">
        <v>50</v>
      </c>
      <c r="D72" s="170" t="s">
        <v>51</v>
      </c>
    </row>
    <row r="73" spans="1:11" x14ac:dyDescent="0.3">
      <c r="A73" s="275">
        <v>50236</v>
      </c>
      <c r="B73" s="275" t="s">
        <v>847</v>
      </c>
      <c r="C73" s="275">
        <v>50</v>
      </c>
      <c r="D73" s="170" t="s">
        <v>51</v>
      </c>
    </row>
    <row r="74" spans="1:11" x14ac:dyDescent="0.3">
      <c r="A74" s="275">
        <v>50239</v>
      </c>
      <c r="B74" s="275" t="s">
        <v>848</v>
      </c>
      <c r="C74" s="275">
        <v>50</v>
      </c>
      <c r="D74" s="170" t="s">
        <v>51</v>
      </c>
    </row>
    <row r="75" spans="1:11" x14ac:dyDescent="0.3">
      <c r="A75" s="275">
        <v>50249</v>
      </c>
      <c r="B75" s="275" t="s">
        <v>849</v>
      </c>
      <c r="C75" s="275">
        <v>50</v>
      </c>
      <c r="D75" s="170" t="s">
        <v>51</v>
      </c>
    </row>
    <row r="76" spans="1:11" x14ac:dyDescent="0.3">
      <c r="A76" s="275">
        <v>50254</v>
      </c>
      <c r="B76" s="275" t="s">
        <v>1618</v>
      </c>
      <c r="C76" s="275">
        <v>50</v>
      </c>
      <c r="D76" s="170" t="s">
        <v>51</v>
      </c>
    </row>
    <row r="77" spans="1:11" x14ac:dyDescent="0.3">
      <c r="A77" s="275">
        <v>50255</v>
      </c>
      <c r="B77" s="967" t="s">
        <v>1619</v>
      </c>
      <c r="C77" s="275">
        <v>50</v>
      </c>
      <c r="D77" s="170" t="s">
        <v>51</v>
      </c>
      <c r="K77" s="967"/>
    </row>
    <row r="78" spans="1:11" x14ac:dyDescent="0.3">
      <c r="A78" s="275">
        <v>50257</v>
      </c>
      <c r="B78" s="275" t="s">
        <v>980</v>
      </c>
      <c r="C78" s="275">
        <v>50</v>
      </c>
      <c r="D78" s="170" t="s">
        <v>51</v>
      </c>
    </row>
    <row r="79" spans="1:11" x14ac:dyDescent="0.3">
      <c r="A79" s="275">
        <v>50452</v>
      </c>
      <c r="B79" s="967" t="s">
        <v>1620</v>
      </c>
      <c r="C79" s="275">
        <v>50</v>
      </c>
      <c r="D79" s="170" t="s">
        <v>51</v>
      </c>
      <c r="K79" s="967"/>
    </row>
    <row r="80" spans="1:11" x14ac:dyDescent="0.3">
      <c r="A80" s="275">
        <v>50260</v>
      </c>
      <c r="B80" s="275" t="s">
        <v>981</v>
      </c>
      <c r="C80" s="275">
        <v>50</v>
      </c>
      <c r="D80" s="170" t="s">
        <v>51</v>
      </c>
    </row>
    <row r="81" spans="1:11" x14ac:dyDescent="0.3">
      <c r="A81" s="275">
        <v>50268</v>
      </c>
      <c r="B81" s="967" t="s">
        <v>1621</v>
      </c>
      <c r="C81" s="275">
        <v>50</v>
      </c>
      <c r="D81" s="170" t="s">
        <v>51</v>
      </c>
      <c r="K81" s="967"/>
    </row>
    <row r="82" spans="1:11" x14ac:dyDescent="0.3">
      <c r="A82" s="275">
        <v>50269</v>
      </c>
      <c r="B82" s="275" t="s">
        <v>982</v>
      </c>
      <c r="C82" s="275">
        <v>50</v>
      </c>
      <c r="D82" s="170" t="s">
        <v>51</v>
      </c>
    </row>
    <row r="83" spans="1:11" x14ac:dyDescent="0.3">
      <c r="A83" s="275">
        <v>50480</v>
      </c>
      <c r="B83" s="275" t="s">
        <v>983</v>
      </c>
      <c r="C83" s="275">
        <v>50</v>
      </c>
      <c r="D83" s="170" t="s">
        <v>51</v>
      </c>
    </row>
    <row r="84" spans="1:11" x14ac:dyDescent="0.3">
      <c r="A84" s="275">
        <v>50278</v>
      </c>
      <c r="B84" s="275" t="s">
        <v>984</v>
      </c>
      <c r="C84" s="275">
        <v>50</v>
      </c>
      <c r="D84" s="170" t="s">
        <v>51</v>
      </c>
    </row>
    <row r="85" spans="1:11" x14ac:dyDescent="0.3">
      <c r="A85" s="275">
        <v>50280</v>
      </c>
      <c r="B85" s="275" t="s">
        <v>985</v>
      </c>
      <c r="C85" s="275">
        <v>50</v>
      </c>
      <c r="D85" s="170" t="s">
        <v>51</v>
      </c>
    </row>
    <row r="86" spans="1:11" x14ac:dyDescent="0.3">
      <c r="A86" s="275">
        <v>50281</v>
      </c>
      <c r="B86" s="275" t="s">
        <v>986</v>
      </c>
      <c r="C86" s="275">
        <v>50</v>
      </c>
      <c r="D86" s="170" t="s">
        <v>51</v>
      </c>
    </row>
    <row r="87" spans="1:11" x14ac:dyDescent="0.3">
      <c r="A87" s="275">
        <v>50478</v>
      </c>
      <c r="B87" s="275" t="s">
        <v>987</v>
      </c>
      <c r="C87" s="275">
        <v>50</v>
      </c>
      <c r="D87" s="170" t="s">
        <v>51</v>
      </c>
    </row>
    <row r="88" spans="1:11" x14ac:dyDescent="0.3">
      <c r="A88" s="275">
        <v>50283</v>
      </c>
      <c r="B88" s="275" t="s">
        <v>989</v>
      </c>
      <c r="C88" s="275">
        <v>50</v>
      </c>
      <c r="D88" s="170" t="s">
        <v>51</v>
      </c>
    </row>
    <row r="89" spans="1:11" x14ac:dyDescent="0.3">
      <c r="A89" s="275">
        <v>50285</v>
      </c>
      <c r="B89" s="275" t="s">
        <v>990</v>
      </c>
      <c r="C89" s="275">
        <v>50</v>
      </c>
      <c r="D89" s="170" t="s">
        <v>51</v>
      </c>
    </row>
    <row r="90" spans="1:11" x14ac:dyDescent="0.3">
      <c r="A90" s="275">
        <v>50296</v>
      </c>
      <c r="B90" s="275" t="s">
        <v>993</v>
      </c>
      <c r="C90" s="275">
        <v>50</v>
      </c>
      <c r="D90" s="170" t="s">
        <v>51</v>
      </c>
    </row>
    <row r="91" spans="1:11" x14ac:dyDescent="0.3">
      <c r="A91" s="275">
        <v>50297</v>
      </c>
      <c r="B91" s="275" t="s">
        <v>994</v>
      </c>
      <c r="C91" s="275">
        <v>50</v>
      </c>
      <c r="D91" s="170" t="s">
        <v>51</v>
      </c>
    </row>
    <row r="92" spans="1:11" x14ac:dyDescent="0.3">
      <c r="A92" s="275">
        <v>50305</v>
      </c>
      <c r="B92" s="967" t="s">
        <v>1622</v>
      </c>
      <c r="C92" s="275">
        <v>50</v>
      </c>
      <c r="D92" s="170" t="s">
        <v>51</v>
      </c>
      <c r="K92" s="967"/>
    </row>
    <row r="93" spans="1:11" x14ac:dyDescent="0.3">
      <c r="A93" s="275">
        <v>50479</v>
      </c>
      <c r="B93" s="275" t="s">
        <v>995</v>
      </c>
      <c r="C93" s="275">
        <v>50</v>
      </c>
      <c r="D93" s="170" t="s">
        <v>51</v>
      </c>
    </row>
    <row r="94" spans="1:11" x14ac:dyDescent="0.3">
      <c r="A94" s="275">
        <v>50307</v>
      </c>
      <c r="B94" s="275" t="s">
        <v>996</v>
      </c>
      <c r="C94" s="275">
        <v>50</v>
      </c>
      <c r="D94" s="170" t="s">
        <v>51</v>
      </c>
    </row>
    <row r="95" spans="1:11" x14ac:dyDescent="0.3">
      <c r="A95" s="275">
        <v>50310</v>
      </c>
      <c r="B95" s="275" t="s">
        <v>997</v>
      </c>
      <c r="C95" s="275">
        <v>50</v>
      </c>
      <c r="D95" s="170" t="s">
        <v>51</v>
      </c>
    </row>
    <row r="96" spans="1:11" x14ac:dyDescent="0.3">
      <c r="A96" s="275">
        <v>50311</v>
      </c>
      <c r="B96" s="275" t="s">
        <v>998</v>
      </c>
      <c r="C96" s="275">
        <v>50</v>
      </c>
      <c r="D96" s="170" t="s">
        <v>51</v>
      </c>
    </row>
    <row r="97" spans="1:11" x14ac:dyDescent="0.3">
      <c r="A97" s="275">
        <v>50314</v>
      </c>
      <c r="B97" s="275" t="s">
        <v>999</v>
      </c>
      <c r="C97" s="275">
        <v>50</v>
      </c>
      <c r="D97" s="170" t="s">
        <v>51</v>
      </c>
    </row>
    <row r="98" spans="1:11" x14ac:dyDescent="0.3">
      <c r="A98" s="275">
        <v>50316</v>
      </c>
      <c r="B98" s="275" t="s">
        <v>1000</v>
      </c>
      <c r="C98" s="275">
        <v>50</v>
      </c>
      <c r="D98" s="170" t="s">
        <v>51</v>
      </c>
    </row>
    <row r="99" spans="1:11" x14ac:dyDescent="0.3">
      <c r="A99" s="275">
        <v>50318</v>
      </c>
      <c r="B99" s="275" t="s">
        <v>1001</v>
      </c>
      <c r="C99" s="275">
        <v>50</v>
      </c>
      <c r="D99" s="170" t="s">
        <v>51</v>
      </c>
    </row>
    <row r="100" spans="1:11" x14ac:dyDescent="0.3">
      <c r="A100" s="275">
        <v>50323</v>
      </c>
      <c r="B100" s="275" t="s">
        <v>1002</v>
      </c>
      <c r="C100" s="275">
        <v>50</v>
      </c>
      <c r="D100" s="170" t="s">
        <v>51</v>
      </c>
    </row>
    <row r="101" spans="1:11" x14ac:dyDescent="0.3">
      <c r="A101" s="275">
        <v>50321</v>
      </c>
      <c r="B101" s="275" t="s">
        <v>1623</v>
      </c>
      <c r="C101" s="275">
        <v>50</v>
      </c>
      <c r="D101" s="170" t="s">
        <v>51</v>
      </c>
    </row>
    <row r="102" spans="1:11" x14ac:dyDescent="0.3">
      <c r="A102" s="275">
        <v>50325</v>
      </c>
      <c r="B102" s="275" t="s">
        <v>1003</v>
      </c>
      <c r="C102" s="275">
        <v>50</v>
      </c>
      <c r="D102" s="170" t="s">
        <v>51</v>
      </c>
    </row>
    <row r="103" spans="1:11" x14ac:dyDescent="0.3">
      <c r="A103" s="275">
        <v>50327</v>
      </c>
      <c r="B103" s="275" t="s">
        <v>1004</v>
      </c>
      <c r="C103" s="275">
        <v>50</v>
      </c>
      <c r="D103" s="170" t="s">
        <v>51</v>
      </c>
    </row>
    <row r="104" spans="1:11" x14ac:dyDescent="0.3">
      <c r="A104" s="275">
        <v>50328</v>
      </c>
      <c r="B104" s="275" t="s">
        <v>769</v>
      </c>
      <c r="C104" s="275">
        <v>50</v>
      </c>
      <c r="D104" s="170" t="s">
        <v>51</v>
      </c>
    </row>
    <row r="105" spans="1:11" x14ac:dyDescent="0.3">
      <c r="A105" s="275">
        <v>50332</v>
      </c>
      <c r="B105" s="275" t="s">
        <v>1005</v>
      </c>
      <c r="C105" s="275">
        <v>50</v>
      </c>
      <c r="D105" s="170" t="s">
        <v>51</v>
      </c>
    </row>
    <row r="106" spans="1:11" x14ac:dyDescent="0.3">
      <c r="A106" s="275">
        <v>50334</v>
      </c>
      <c r="B106" s="967" t="s">
        <v>1624</v>
      </c>
      <c r="C106" s="275">
        <v>50</v>
      </c>
      <c r="D106" s="170" t="s">
        <v>51</v>
      </c>
      <c r="K106" s="967"/>
    </row>
    <row r="107" spans="1:11" x14ac:dyDescent="0.3">
      <c r="A107" s="275">
        <v>50336</v>
      </c>
      <c r="B107" s="275" t="s">
        <v>1625</v>
      </c>
      <c r="C107" s="275">
        <v>50</v>
      </c>
      <c r="D107" s="170" t="s">
        <v>51</v>
      </c>
    </row>
    <row r="108" spans="1:11" x14ac:dyDescent="0.3">
      <c r="A108" s="275">
        <v>50337</v>
      </c>
      <c r="B108" s="967" t="s">
        <v>1626</v>
      </c>
      <c r="C108" s="275">
        <v>50</v>
      </c>
      <c r="D108" s="170" t="s">
        <v>51</v>
      </c>
      <c r="K108" s="967"/>
    </row>
    <row r="109" spans="1:11" x14ac:dyDescent="0.3">
      <c r="A109" s="275">
        <v>50338</v>
      </c>
      <c r="B109" s="967" t="s">
        <v>1627</v>
      </c>
      <c r="C109" s="275">
        <v>50</v>
      </c>
      <c r="D109" s="170" t="s">
        <v>51</v>
      </c>
      <c r="K109" s="967"/>
    </row>
    <row r="110" spans="1:11" x14ac:dyDescent="0.3">
      <c r="A110" s="275">
        <v>50340</v>
      </c>
      <c r="B110" s="275" t="s">
        <v>1628</v>
      </c>
      <c r="C110" s="275">
        <v>50</v>
      </c>
      <c r="D110" s="170" t="s">
        <v>51</v>
      </c>
    </row>
    <row r="111" spans="1:11" x14ac:dyDescent="0.3">
      <c r="A111" s="275">
        <v>50343</v>
      </c>
      <c r="B111" s="275" t="s">
        <v>1006</v>
      </c>
      <c r="C111" s="275">
        <v>50</v>
      </c>
      <c r="D111" s="170" t="s">
        <v>51</v>
      </c>
    </row>
    <row r="112" spans="1:11" x14ac:dyDescent="0.3">
      <c r="A112" s="275">
        <v>50348</v>
      </c>
      <c r="B112" s="275" t="s">
        <v>1008</v>
      </c>
      <c r="C112" s="275">
        <v>50</v>
      </c>
      <c r="D112" s="170" t="s">
        <v>51</v>
      </c>
    </row>
    <row r="113" spans="1:11" x14ac:dyDescent="0.3">
      <c r="A113" s="275">
        <v>50541</v>
      </c>
      <c r="B113" s="275" t="s">
        <v>1009</v>
      </c>
      <c r="C113" s="275">
        <v>50</v>
      </c>
      <c r="D113" s="170" t="s">
        <v>51</v>
      </c>
    </row>
    <row r="114" spans="1:11" x14ac:dyDescent="0.3">
      <c r="A114" s="275">
        <v>50355</v>
      </c>
      <c r="B114" s="275" t="s">
        <v>1010</v>
      </c>
      <c r="C114" s="275">
        <v>50</v>
      </c>
      <c r="D114" s="170" t="s">
        <v>51</v>
      </c>
    </row>
    <row r="115" spans="1:11" x14ac:dyDescent="0.3">
      <c r="A115" s="275">
        <v>50357</v>
      </c>
      <c r="B115" s="967" t="s">
        <v>1629</v>
      </c>
      <c r="C115" s="275">
        <v>50</v>
      </c>
      <c r="D115" s="170" t="s">
        <v>51</v>
      </c>
      <c r="K115" s="967"/>
    </row>
    <row r="116" spans="1:11" x14ac:dyDescent="0.3">
      <c r="A116" s="275">
        <v>50360</v>
      </c>
      <c r="B116" s="275" t="s">
        <v>1011</v>
      </c>
      <c r="C116" s="275">
        <v>50</v>
      </c>
      <c r="D116" s="170" t="s">
        <v>51</v>
      </c>
    </row>
    <row r="117" spans="1:11" x14ac:dyDescent="0.3">
      <c r="A117" s="275">
        <v>50370</v>
      </c>
      <c r="B117" s="275" t="s">
        <v>1012</v>
      </c>
      <c r="C117" s="275">
        <v>50</v>
      </c>
      <c r="D117" s="170" t="s">
        <v>51</v>
      </c>
    </row>
    <row r="118" spans="1:11" x14ac:dyDescent="0.3">
      <c r="A118" s="275">
        <v>50374</v>
      </c>
      <c r="B118" s="275" t="s">
        <v>1630</v>
      </c>
      <c r="C118" s="275">
        <v>50</v>
      </c>
      <c r="D118" s="170" t="s">
        <v>51</v>
      </c>
    </row>
    <row r="119" spans="1:11" x14ac:dyDescent="0.3">
      <c r="A119" s="275">
        <v>50483</v>
      </c>
      <c r="B119" s="275" t="s">
        <v>1631</v>
      </c>
      <c r="C119" s="275">
        <v>50</v>
      </c>
      <c r="D119" s="170" t="s">
        <v>51</v>
      </c>
    </row>
    <row r="120" spans="1:11" x14ac:dyDescent="0.3">
      <c r="A120" s="275">
        <v>50386</v>
      </c>
      <c r="B120" s="275" t="s">
        <v>1632</v>
      </c>
      <c r="C120" s="275">
        <v>50</v>
      </c>
      <c r="D120" s="170" t="s">
        <v>51</v>
      </c>
    </row>
    <row r="121" spans="1:11" x14ac:dyDescent="0.3">
      <c r="A121" s="275">
        <v>50389</v>
      </c>
      <c r="B121" s="275" t="s">
        <v>1014</v>
      </c>
      <c r="C121" s="275">
        <v>50</v>
      </c>
      <c r="D121" s="170" t="s">
        <v>51</v>
      </c>
    </row>
    <row r="122" spans="1:11" x14ac:dyDescent="0.3">
      <c r="A122" s="275">
        <v>50500</v>
      </c>
      <c r="B122" s="275" t="s">
        <v>1015</v>
      </c>
      <c r="C122" s="275">
        <v>50</v>
      </c>
      <c r="D122" s="170" t="s">
        <v>51</v>
      </c>
    </row>
    <row r="123" spans="1:11" x14ac:dyDescent="0.3">
      <c r="A123" s="275">
        <v>50390</v>
      </c>
      <c r="B123" s="967" t="s">
        <v>1633</v>
      </c>
      <c r="C123" s="275">
        <v>50</v>
      </c>
      <c r="D123" s="170" t="s">
        <v>51</v>
      </c>
      <c r="K123" s="967"/>
    </row>
    <row r="124" spans="1:11" x14ac:dyDescent="0.3">
      <c r="A124" s="275">
        <v>50396</v>
      </c>
      <c r="B124" s="275" t="s">
        <v>1016</v>
      </c>
      <c r="C124" s="275">
        <v>50</v>
      </c>
      <c r="D124" s="170" t="s">
        <v>51</v>
      </c>
    </row>
    <row r="125" spans="1:11" x14ac:dyDescent="0.3">
      <c r="A125" s="275">
        <v>50399</v>
      </c>
      <c r="B125" s="275" t="s">
        <v>1018</v>
      </c>
      <c r="C125" s="275">
        <v>50</v>
      </c>
      <c r="D125" s="170" t="s">
        <v>51</v>
      </c>
    </row>
    <row r="126" spans="1:11" x14ac:dyDescent="0.3">
      <c r="A126" s="275">
        <v>50401</v>
      </c>
      <c r="B126" s="275" t="s">
        <v>1019</v>
      </c>
      <c r="C126" s="275">
        <v>50</v>
      </c>
      <c r="D126" s="170" t="s">
        <v>51</v>
      </c>
    </row>
    <row r="127" spans="1:11" x14ac:dyDescent="0.3">
      <c r="A127" s="275">
        <v>50402</v>
      </c>
      <c r="B127" s="967" t="s">
        <v>1634</v>
      </c>
      <c r="C127" s="275">
        <v>50</v>
      </c>
      <c r="D127" s="170" t="s">
        <v>51</v>
      </c>
      <c r="K127" s="967"/>
    </row>
    <row r="128" spans="1:11" x14ac:dyDescent="0.3">
      <c r="A128" s="275">
        <v>50486</v>
      </c>
      <c r="B128" s="275" t="s">
        <v>1635</v>
      </c>
      <c r="C128" s="275">
        <v>50</v>
      </c>
      <c r="D128" s="170" t="s">
        <v>51</v>
      </c>
    </row>
    <row r="129" spans="1:11" x14ac:dyDescent="0.3">
      <c r="A129" s="275">
        <v>50409</v>
      </c>
      <c r="B129" s="275" t="s">
        <v>1636</v>
      </c>
      <c r="C129" s="275">
        <v>50</v>
      </c>
      <c r="D129" s="170" t="s">
        <v>51</v>
      </c>
    </row>
    <row r="130" spans="1:11" x14ac:dyDescent="0.3">
      <c r="A130" s="275">
        <v>50420</v>
      </c>
      <c r="B130" s="275" t="s">
        <v>1020</v>
      </c>
      <c r="C130" s="275">
        <v>50</v>
      </c>
      <c r="D130" s="170" t="s">
        <v>51</v>
      </c>
    </row>
    <row r="131" spans="1:11" x14ac:dyDescent="0.3">
      <c r="A131" s="275">
        <v>50421</v>
      </c>
      <c r="B131" s="967" t="s">
        <v>1637</v>
      </c>
      <c r="C131" s="275">
        <v>50</v>
      </c>
      <c r="D131" s="170" t="s">
        <v>51</v>
      </c>
      <c r="K131" s="967"/>
    </row>
    <row r="132" spans="1:11" x14ac:dyDescent="0.3">
      <c r="A132" s="275">
        <v>50423</v>
      </c>
      <c r="B132" s="275" t="s">
        <v>1021</v>
      </c>
      <c r="C132" s="275">
        <v>50</v>
      </c>
      <c r="D132" s="170" t="s">
        <v>51</v>
      </c>
    </row>
    <row r="133" spans="1:11" x14ac:dyDescent="0.3">
      <c r="A133" s="275">
        <v>50432</v>
      </c>
      <c r="B133" s="967" t="s">
        <v>1638</v>
      </c>
      <c r="C133" s="275">
        <v>50</v>
      </c>
      <c r="D133" s="170" t="s">
        <v>51</v>
      </c>
      <c r="K133" s="967"/>
    </row>
    <row r="134" spans="1:11" x14ac:dyDescent="0.3">
      <c r="A134" s="275">
        <v>50499</v>
      </c>
      <c r="B134" s="967" t="s">
        <v>1639</v>
      </c>
      <c r="C134" s="275">
        <v>50</v>
      </c>
      <c r="D134" s="170" t="s">
        <v>51</v>
      </c>
      <c r="K134" s="967"/>
    </row>
    <row r="135" spans="1:11" x14ac:dyDescent="0.3">
      <c r="A135" s="275">
        <v>5103</v>
      </c>
      <c r="B135" s="275" t="s">
        <v>932</v>
      </c>
      <c r="C135" s="275">
        <v>51</v>
      </c>
      <c r="D135" s="170" t="s">
        <v>51</v>
      </c>
    </row>
    <row r="136" spans="1:11" x14ac:dyDescent="0.3">
      <c r="A136" s="275">
        <v>5107</v>
      </c>
      <c r="B136" s="275" t="s">
        <v>938</v>
      </c>
      <c r="C136" s="275">
        <v>51</v>
      </c>
      <c r="D136" s="170" t="s">
        <v>51</v>
      </c>
    </row>
    <row r="137" spans="1:11" x14ac:dyDescent="0.3">
      <c r="A137" s="275">
        <v>5116</v>
      </c>
      <c r="B137" s="967" t="s">
        <v>1640</v>
      </c>
      <c r="C137" s="275">
        <v>51</v>
      </c>
      <c r="D137" s="170" t="s">
        <v>51</v>
      </c>
      <c r="K137" s="967"/>
    </row>
    <row r="138" spans="1:11" x14ac:dyDescent="0.3">
      <c r="A138" s="275">
        <v>5119</v>
      </c>
      <c r="B138" s="967" t="s">
        <v>1641</v>
      </c>
      <c r="C138" s="275">
        <v>51</v>
      </c>
      <c r="D138" s="170" t="s">
        <v>51</v>
      </c>
      <c r="K138" s="967"/>
    </row>
    <row r="139" spans="1:11" x14ac:dyDescent="0.3">
      <c r="A139" s="275">
        <v>5123</v>
      </c>
      <c r="B139" s="275" t="s">
        <v>1642</v>
      </c>
      <c r="C139" s="275">
        <v>51</v>
      </c>
      <c r="D139" s="170" t="s">
        <v>51</v>
      </c>
    </row>
    <row r="140" spans="1:11" x14ac:dyDescent="0.3">
      <c r="A140" s="275">
        <v>5129</v>
      </c>
      <c r="B140" s="967" t="s">
        <v>1643</v>
      </c>
      <c r="C140" s="275">
        <v>51</v>
      </c>
      <c r="D140" s="170" t="s">
        <v>51</v>
      </c>
      <c r="K140" s="967"/>
    </row>
    <row r="141" spans="1:11" x14ac:dyDescent="0.3">
      <c r="A141" s="275">
        <v>5132</v>
      </c>
      <c r="B141" s="275" t="s">
        <v>955</v>
      </c>
      <c r="C141" s="275">
        <v>51</v>
      </c>
      <c r="D141" s="170" t="s">
        <v>51</v>
      </c>
    </row>
    <row r="142" spans="1:11" x14ac:dyDescent="0.3">
      <c r="A142" s="275">
        <v>5137</v>
      </c>
      <c r="B142" s="275" t="s">
        <v>1644</v>
      </c>
      <c r="C142" s="275">
        <v>51</v>
      </c>
      <c r="D142" s="170" t="s">
        <v>51</v>
      </c>
    </row>
    <row r="143" spans="1:11" x14ac:dyDescent="0.3">
      <c r="A143" s="275">
        <v>5147</v>
      </c>
      <c r="B143" s="275" t="s">
        <v>978</v>
      </c>
      <c r="C143" s="275">
        <v>51</v>
      </c>
      <c r="D143" s="170" t="s">
        <v>51</v>
      </c>
    </row>
    <row r="144" spans="1:11" x14ac:dyDescent="0.3">
      <c r="A144" s="275">
        <v>5156</v>
      </c>
      <c r="B144" s="275" t="s">
        <v>979</v>
      </c>
      <c r="C144" s="275">
        <v>51</v>
      </c>
      <c r="D144" s="170" t="s">
        <v>51</v>
      </c>
    </row>
    <row r="145" spans="1:11" x14ac:dyDescent="0.3">
      <c r="A145" s="275">
        <v>5157</v>
      </c>
      <c r="B145" s="275" t="s">
        <v>1645</v>
      </c>
      <c r="C145" s="275">
        <v>51</v>
      </c>
      <c r="D145" s="170" t="s">
        <v>51</v>
      </c>
    </row>
    <row r="146" spans="1:11" x14ac:dyDescent="0.3">
      <c r="A146" s="275">
        <v>5165</v>
      </c>
      <c r="B146" s="275" t="s">
        <v>988</v>
      </c>
      <c r="C146" s="275">
        <v>51</v>
      </c>
      <c r="D146" s="170" t="s">
        <v>51</v>
      </c>
    </row>
    <row r="147" spans="1:11" x14ac:dyDescent="0.3">
      <c r="A147" s="275">
        <v>5167</v>
      </c>
      <c r="B147" s="275" t="s">
        <v>991</v>
      </c>
      <c r="C147" s="275">
        <v>51</v>
      </c>
      <c r="D147" s="170" t="s">
        <v>51</v>
      </c>
    </row>
    <row r="148" spans="1:11" x14ac:dyDescent="0.3">
      <c r="A148" s="275">
        <v>5170</v>
      </c>
      <c r="B148" s="275" t="s">
        <v>992</v>
      </c>
      <c r="C148" s="275">
        <v>51</v>
      </c>
      <c r="D148" s="170" t="s">
        <v>51</v>
      </c>
    </row>
    <row r="149" spans="1:11" x14ac:dyDescent="0.3">
      <c r="A149" s="275">
        <v>5172</v>
      </c>
      <c r="B149" s="275" t="s">
        <v>1646</v>
      </c>
      <c r="C149" s="275">
        <v>51</v>
      </c>
      <c r="D149" s="170" t="s">
        <v>51</v>
      </c>
    </row>
    <row r="150" spans="1:11" x14ac:dyDescent="0.3">
      <c r="A150" s="275">
        <v>5182</v>
      </c>
      <c r="B150" s="275" t="s">
        <v>1007</v>
      </c>
      <c r="C150" s="275">
        <v>51</v>
      </c>
      <c r="D150" s="170" t="s">
        <v>51</v>
      </c>
    </row>
    <row r="151" spans="1:11" x14ac:dyDescent="0.3">
      <c r="A151" s="275">
        <v>5188</v>
      </c>
      <c r="B151" s="275" t="s">
        <v>1017</v>
      </c>
      <c r="C151" s="275">
        <v>51</v>
      </c>
      <c r="D151" s="170" t="s">
        <v>51</v>
      </c>
    </row>
    <row r="152" spans="1:11" x14ac:dyDescent="0.3">
      <c r="A152" s="275">
        <v>591706</v>
      </c>
      <c r="B152" s="968" t="s">
        <v>1647</v>
      </c>
      <c r="C152" s="275">
        <v>59</v>
      </c>
      <c r="D152" s="170" t="s">
        <v>51</v>
      </c>
      <c r="K152" s="968"/>
    </row>
    <row r="153" spans="1:11" x14ac:dyDescent="0.3">
      <c r="A153" s="275">
        <v>591612</v>
      </c>
      <c r="B153" s="968" t="s">
        <v>1648</v>
      </c>
      <c r="C153" s="275">
        <v>59</v>
      </c>
      <c r="D153" s="170" t="s">
        <v>51</v>
      </c>
      <c r="K153" s="968"/>
    </row>
    <row r="154" spans="1:11" x14ac:dyDescent="0.3">
      <c r="A154" s="275">
        <v>591604</v>
      </c>
      <c r="B154" s="275" t="s">
        <v>947</v>
      </c>
      <c r="C154" s="275">
        <v>59</v>
      </c>
      <c r="D154" s="170" t="s">
        <v>51</v>
      </c>
    </row>
    <row r="155" spans="1:11" x14ac:dyDescent="0.3">
      <c r="A155" s="275">
        <v>591632</v>
      </c>
      <c r="B155" s="967" t="s">
        <v>959</v>
      </c>
      <c r="C155" s="275">
        <v>59</v>
      </c>
      <c r="D155" s="170" t="s">
        <v>51</v>
      </c>
      <c r="K155" s="967"/>
    </row>
    <row r="156" spans="1:11" x14ac:dyDescent="0.3">
      <c r="A156" s="275">
        <v>591607</v>
      </c>
      <c r="B156" s="275" t="s">
        <v>964</v>
      </c>
      <c r="C156" s="275">
        <v>59</v>
      </c>
      <c r="D156" s="170" t="s">
        <v>51</v>
      </c>
    </row>
    <row r="157" spans="1:11" x14ac:dyDescent="0.3">
      <c r="A157" s="275">
        <v>591613</v>
      </c>
      <c r="B157" s="275" t="s">
        <v>1649</v>
      </c>
      <c r="C157" s="275">
        <v>59</v>
      </c>
      <c r="D157" s="170" t="s">
        <v>51</v>
      </c>
    </row>
    <row r="158" spans="1:11" x14ac:dyDescent="0.3">
      <c r="A158" s="275">
        <v>591616</v>
      </c>
      <c r="B158" s="967" t="s">
        <v>1650</v>
      </c>
      <c r="C158" s="275">
        <v>59</v>
      </c>
      <c r="D158" s="170" t="s">
        <v>51</v>
      </c>
      <c r="K158" s="967"/>
    </row>
    <row r="159" spans="1:11" x14ac:dyDescent="0.3">
      <c r="A159" s="275">
        <v>592368</v>
      </c>
      <c r="B159" s="275" t="s">
        <v>1013</v>
      </c>
      <c r="C159" s="275">
        <v>59</v>
      </c>
      <c r="D159" s="170" t="s">
        <v>51</v>
      </c>
    </row>
    <row r="160" spans="1:11" x14ac:dyDescent="0.3">
      <c r="A160" s="275">
        <v>591633</v>
      </c>
      <c r="B160" s="967" t="s">
        <v>1651</v>
      </c>
      <c r="C160" s="275">
        <v>59</v>
      </c>
      <c r="D160" s="170" t="s">
        <v>51</v>
      </c>
      <c r="K160" s="967"/>
    </row>
  </sheetData>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3.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Instructions</vt:lpstr>
      <vt:lpstr>Unit Data from Audit Worksheet</vt:lpstr>
      <vt:lpstr>TD Info Completed by Auditor</vt:lpstr>
      <vt:lpstr>Import</vt:lpstr>
      <vt:lpstr>Performance  Indicators Print</vt:lpstr>
      <vt:lpstr>PI series #</vt:lpstr>
      <vt:lpstr>RSS</vt:lpstr>
      <vt:lpstr>Debt Service Funds (H)</vt:lpstr>
      <vt:lpstr>UAL</vt:lpstr>
      <vt:lpstr>2020 Data(H)</vt:lpstr>
      <vt:lpstr>2019 Data(H)</vt:lpstr>
      <vt:lpstr>Tax Reval Rate</vt:lpstr>
      <vt:lpstr>Unit Names(H)</vt:lpstr>
      <vt:lpstr>Electric trans</vt:lpstr>
      <vt:lpstr>errorCount</vt:lpstr>
      <vt:lpstr>'2020 Data(H)'!Print_Area</vt:lpstr>
      <vt:lpstr>Instructions!Print_Area</vt:lpstr>
      <vt:lpstr>'Performance  Indicators Print'!Print_Area</vt:lpstr>
      <vt:lpstr>'PI series #'!Print_Area</vt:lpstr>
      <vt:lpstr>'TD Info Completed by Auditor'!Print_Area</vt:lpstr>
      <vt:lpstr>'Unit Data from Audit Worksheet'!Print_Area</vt:lpstr>
      <vt:lpstr>Print_Selection_Auditor</vt:lpstr>
      <vt:lpstr>'Performance  Indicators Print'!Print_Titles</vt:lpstr>
      <vt:lpstr>'PI series #'!Print_Titles</vt:lpstr>
      <vt:lpstr>'Unit Data from Audit Worksheet'!Print_Titles</vt:lpstr>
      <vt:lpstr>showError</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2021-08-02T18:54:56Z</cp:lastPrinted>
  <dcterms:created xsi:type="dcterms:W3CDTF">2011-03-11T21:05:05Z</dcterms:created>
  <dcterms:modified xsi:type="dcterms:W3CDTF">2022-09-19T17:16:31Z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