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defaultThemeVersion="124226"/>
  <mc:AlternateContent xmlns:mc="http://schemas.openxmlformats.org/markup-compatibility/2006">
    <mc:Choice Requires="x15">
      <x15ac:absPath xmlns:x15ac="http://schemas.microsoft.com/office/spreadsheetml/2010/11/ac" url="L:\2021 Implementation of Administrative code-audit review\Data Input Worksheet\2021 DIW - Final\"/>
    </mc:Choice>
  </mc:AlternateContent>
  <xr:revisionPtr revIDLastSave="0" documentId="13_ncr:1_{9F702802-9974-47F6-B139-ED10FD3E7D02}" xr6:coauthVersionLast="47" xr6:coauthVersionMax="47" xr10:uidLastSave="{00000000-0000-0000-0000-000000000000}"/>
  <bookViews>
    <workbookView xWindow="57480" yWindow="-120" windowWidth="29040" windowHeight="15840" tabRatio="708" xr2:uid="{00000000-000D-0000-FFFF-FFFF00000000}"/>
  </bookViews>
  <sheets>
    <sheet name="Instructions" sheetId="81" r:id="rId1"/>
    <sheet name="Unit Data from Audit Worksheet" sheetId="1" r:id="rId2"/>
    <sheet name="TD Info Completed by Auditor" sheetId="53" r:id="rId3"/>
    <sheet name="Import" sheetId="28" state="hidden" r:id="rId4"/>
    <sheet name="Performance  Indicators Print" sheetId="80" r:id="rId5"/>
    <sheet name="PI series #" sheetId="73" state="hidden" r:id="rId6"/>
    <sheet name="RSS" sheetId="30" r:id="rId7"/>
    <sheet name="Debt Service Funds (H)" sheetId="41" state="hidden" r:id="rId8"/>
    <sheet name="UAL" sheetId="75" state="hidden" r:id="rId9"/>
    <sheet name="2020 Data(H)" sheetId="74" state="hidden" r:id="rId10"/>
    <sheet name="2019 Data(H)" sheetId="42" state="hidden" r:id="rId11"/>
    <sheet name="Tax Reval Rate" sheetId="72" state="hidden" r:id="rId12"/>
    <sheet name="Unit Names(H)" sheetId="29" state="hidden" r:id="rId13"/>
    <sheet name="Electric trans" sheetId="71" r:id="rId14"/>
  </sheets>
  <externalReferences>
    <externalReference r:id="rId15"/>
  </externalReferences>
  <definedNames>
    <definedName name="Audit_Dtl">[1]Database!$AC$3:$AP$413</definedName>
    <definedName name="errorCount">'TD Info Completed by Auditor'!$U$5</definedName>
    <definedName name="_xlnm.Print_Area" localSheetId="9">'2020 Data(H)'!$B$297:$E$320</definedName>
    <definedName name="_xlnm.Print_Area" localSheetId="0">Instructions!$B$1:$B$50</definedName>
    <definedName name="_xlnm.Print_Area" localSheetId="4">'Performance  Indicators Print'!$A$1:$H$51</definedName>
    <definedName name="_xlnm.Print_Area" localSheetId="5">'PI series #'!$A$1:$I$24</definedName>
    <definedName name="_xlnm.Print_Area" localSheetId="1">'Unit Data from Audit Worksheet'!$A$7:$D$297</definedName>
    <definedName name="Print_Selection_Auditor">'TD Info Completed by Auditor'!$A$1:$N$94</definedName>
    <definedName name="Print_Selection_Internal">#REF!</definedName>
    <definedName name="_xlnm.Print_Titles" localSheetId="4">'Performance  Indicators Print'!$3:$5</definedName>
    <definedName name="_xlnm.Print_Titles" localSheetId="5">'PI series #'!$1:$4</definedName>
    <definedName name="_xlnm.Print_Titles" localSheetId="1">'Unit Data from Audit Worksheet'!$5:$5</definedName>
    <definedName name="showError">'TD Info Completed by Auditor'!$W$5</definedName>
    <definedName name="TD_IMPORT_RANGE" localSheetId="0">#REF!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0" i="28" l="1"/>
  <c r="L264" i="28"/>
  <c r="B12" i="71"/>
  <c r="B8" i="71"/>
  <c r="G367" i="74"/>
  <c r="H367" i="74"/>
  <c r="I367" i="74"/>
  <c r="J367" i="74"/>
  <c r="K367" i="74"/>
  <c r="L367" i="74"/>
  <c r="M367" i="74"/>
  <c r="N367" i="74"/>
  <c r="O367" i="74"/>
  <c r="P367" i="74"/>
  <c r="Q367" i="74"/>
  <c r="R367" i="74"/>
  <c r="S367" i="74"/>
  <c r="T367" i="74"/>
  <c r="U367" i="74"/>
  <c r="V367" i="74"/>
  <c r="W367" i="74"/>
  <c r="X367" i="74"/>
  <c r="Y367" i="74"/>
  <c r="Z367" i="74"/>
  <c r="AA367" i="74"/>
  <c r="AB367" i="74"/>
  <c r="AC367" i="74"/>
  <c r="AD367" i="74"/>
  <c r="AE367" i="74"/>
  <c r="AF367" i="74"/>
  <c r="AG367" i="74"/>
  <c r="AH367" i="74"/>
  <c r="AI367" i="74"/>
  <c r="AJ367" i="74"/>
  <c r="AK367" i="74"/>
  <c r="AL367" i="74"/>
  <c r="AM367" i="74"/>
  <c r="AN367" i="74"/>
  <c r="AO367" i="74"/>
  <c r="AP367" i="74"/>
  <c r="AQ367" i="74"/>
  <c r="AR367" i="74"/>
  <c r="AS367" i="74"/>
  <c r="AT367" i="74"/>
  <c r="AU367" i="74"/>
  <c r="AV367" i="74"/>
  <c r="AW367" i="74"/>
  <c r="AX367" i="74"/>
  <c r="AY367" i="74"/>
  <c r="AZ367" i="74"/>
  <c r="BA367" i="74"/>
  <c r="BB367" i="74"/>
  <c r="BC367" i="74"/>
  <c r="BD367" i="74"/>
  <c r="BE367" i="74"/>
  <c r="BF367" i="74"/>
  <c r="BG367" i="74"/>
  <c r="BH367" i="74"/>
  <c r="BI367" i="74"/>
  <c r="BJ367" i="74"/>
  <c r="BK367" i="74"/>
  <c r="BL367" i="74"/>
  <c r="BM367" i="74"/>
  <c r="BN367" i="74"/>
  <c r="BO367" i="74"/>
  <c r="BP367" i="74"/>
  <c r="BQ367" i="74"/>
  <c r="BR367" i="74"/>
  <c r="BS367" i="74"/>
  <c r="BT367" i="74"/>
  <c r="BU367" i="74"/>
  <c r="BV367" i="74"/>
  <c r="BW367" i="74"/>
  <c r="BX367" i="74"/>
  <c r="BY367" i="74"/>
  <c r="BZ367" i="74"/>
  <c r="CA367" i="74"/>
  <c r="CB367" i="74"/>
  <c r="CC367" i="74"/>
  <c r="CD367" i="74"/>
  <c r="CE367" i="74"/>
  <c r="CF367" i="74"/>
  <c r="F367" i="74"/>
  <c r="G366" i="74"/>
  <c r="H366" i="74"/>
  <c r="I366" i="74"/>
  <c r="J366" i="74"/>
  <c r="K366" i="74"/>
  <c r="L366" i="74"/>
  <c r="M366" i="74"/>
  <c r="N366" i="74"/>
  <c r="O366" i="74"/>
  <c r="P366" i="74"/>
  <c r="Q366" i="74"/>
  <c r="R366" i="74"/>
  <c r="S366" i="74"/>
  <c r="T366" i="74"/>
  <c r="U366" i="74"/>
  <c r="V366" i="74"/>
  <c r="W366" i="74"/>
  <c r="X366" i="74"/>
  <c r="Y366" i="74"/>
  <c r="Z366" i="74"/>
  <c r="AA366" i="74"/>
  <c r="AB366" i="74"/>
  <c r="AC366" i="74"/>
  <c r="AD366" i="74"/>
  <c r="AE366" i="74"/>
  <c r="AF366" i="74"/>
  <c r="AG366" i="74"/>
  <c r="AH366" i="74"/>
  <c r="AI366" i="74"/>
  <c r="AJ366" i="74"/>
  <c r="AK366" i="74"/>
  <c r="AL366" i="74"/>
  <c r="AM366" i="74"/>
  <c r="AN366" i="74"/>
  <c r="AO366" i="74"/>
  <c r="AP366" i="74"/>
  <c r="AQ366" i="74"/>
  <c r="AR366" i="74"/>
  <c r="AS366" i="74"/>
  <c r="AT366" i="74"/>
  <c r="AU366" i="74"/>
  <c r="AV366" i="74"/>
  <c r="AW366" i="74"/>
  <c r="AX366" i="74"/>
  <c r="AY366" i="74"/>
  <c r="AZ366" i="74"/>
  <c r="BA366" i="74"/>
  <c r="BB366" i="74"/>
  <c r="BC366" i="74"/>
  <c r="BD366" i="74"/>
  <c r="BE366" i="74"/>
  <c r="BF366" i="74"/>
  <c r="BG366" i="74"/>
  <c r="BH366" i="74"/>
  <c r="BI366" i="74"/>
  <c r="BJ366" i="74"/>
  <c r="BK366" i="74"/>
  <c r="BL366" i="74"/>
  <c r="BM366" i="74"/>
  <c r="BN366" i="74"/>
  <c r="BO366" i="74"/>
  <c r="BP366" i="74"/>
  <c r="BQ366" i="74"/>
  <c r="BR366" i="74"/>
  <c r="BS366" i="74"/>
  <c r="BT366" i="74"/>
  <c r="BU366" i="74"/>
  <c r="BV366" i="74"/>
  <c r="BW366" i="74"/>
  <c r="BX366" i="74"/>
  <c r="BY366" i="74"/>
  <c r="BZ366" i="74"/>
  <c r="CA366" i="74"/>
  <c r="CB366" i="74"/>
  <c r="CC366" i="74"/>
  <c r="CD366" i="74"/>
  <c r="CE366" i="74"/>
  <c r="CF366" i="74"/>
  <c r="F366" i="74"/>
  <c r="E85" i="53"/>
  <c r="E83" i="53"/>
  <c r="E81" i="53"/>
  <c r="F66" i="53"/>
  <c r="F64" i="53"/>
  <c r="F62" i="53"/>
  <c r="E251" i="28"/>
  <c r="E250" i="28"/>
  <c r="G363" i="74" l="1"/>
  <c r="H363" i="74"/>
  <c r="I363" i="74"/>
  <c r="J363" i="74"/>
  <c r="K363" i="74"/>
  <c r="L363" i="74"/>
  <c r="M363" i="74"/>
  <c r="N363" i="74"/>
  <c r="O363" i="74"/>
  <c r="P363" i="74"/>
  <c r="Q363" i="74"/>
  <c r="R363" i="74"/>
  <c r="S363" i="74"/>
  <c r="T363" i="74"/>
  <c r="U363" i="74"/>
  <c r="V363" i="74"/>
  <c r="W363" i="74"/>
  <c r="X363" i="74"/>
  <c r="Y363" i="74"/>
  <c r="Z363" i="74"/>
  <c r="AA363" i="74"/>
  <c r="AB363" i="74"/>
  <c r="AC363" i="74"/>
  <c r="AD363" i="74"/>
  <c r="AE363" i="74"/>
  <c r="AF363" i="74"/>
  <c r="AG363" i="74"/>
  <c r="AH363" i="74"/>
  <c r="AI363" i="74"/>
  <c r="AJ363" i="74"/>
  <c r="AK363" i="74"/>
  <c r="AL363" i="74"/>
  <c r="AM363" i="74"/>
  <c r="AN363" i="74"/>
  <c r="AO363" i="74"/>
  <c r="AP363" i="74"/>
  <c r="AQ363" i="74"/>
  <c r="AR363" i="74"/>
  <c r="AS363" i="74"/>
  <c r="AT363" i="74"/>
  <c r="AU363" i="74"/>
  <c r="AV363" i="74"/>
  <c r="AW363" i="74"/>
  <c r="AX363" i="74"/>
  <c r="AY363" i="74"/>
  <c r="AZ363" i="74"/>
  <c r="BA363" i="74"/>
  <c r="BB363" i="74"/>
  <c r="BC363" i="74"/>
  <c r="BD363" i="74"/>
  <c r="BE363" i="74"/>
  <c r="BF363" i="74"/>
  <c r="BG363" i="74"/>
  <c r="BH363" i="74"/>
  <c r="BI363" i="74"/>
  <c r="BJ363" i="74"/>
  <c r="BK363" i="74"/>
  <c r="BL363" i="74"/>
  <c r="BM363" i="74"/>
  <c r="BN363" i="74"/>
  <c r="BO363" i="74"/>
  <c r="BP363" i="74"/>
  <c r="BQ363" i="74"/>
  <c r="BR363" i="74"/>
  <c r="BS363" i="74"/>
  <c r="BT363" i="74"/>
  <c r="BU363" i="74"/>
  <c r="BV363" i="74"/>
  <c r="BW363" i="74"/>
  <c r="BX363" i="74"/>
  <c r="BY363" i="74"/>
  <c r="BZ363" i="74"/>
  <c r="CA363" i="74"/>
  <c r="CB363" i="74"/>
  <c r="CC363" i="74"/>
  <c r="CD363" i="74"/>
  <c r="CE363" i="74"/>
  <c r="CF363" i="74"/>
  <c r="F363" i="74"/>
  <c r="AG361" i="74"/>
  <c r="G414" i="74"/>
  <c r="H414" i="74"/>
  <c r="I414" i="74"/>
  <c r="J414" i="74"/>
  <c r="K414" i="74"/>
  <c r="L414" i="74"/>
  <c r="L417" i="74" s="1"/>
  <c r="M414" i="74"/>
  <c r="N414" i="74"/>
  <c r="N417" i="74" s="1"/>
  <c r="O414" i="74"/>
  <c r="P414" i="74"/>
  <c r="Q414" i="74"/>
  <c r="R414" i="74"/>
  <c r="S414" i="74"/>
  <c r="T414" i="74"/>
  <c r="U414" i="74"/>
  <c r="V414" i="74"/>
  <c r="W414" i="74"/>
  <c r="X414" i="74"/>
  <c r="Y414" i="74"/>
  <c r="Z414" i="74"/>
  <c r="AA414" i="74"/>
  <c r="AB414" i="74"/>
  <c r="AC414" i="74"/>
  <c r="AD414" i="74"/>
  <c r="AE414" i="74"/>
  <c r="AF414" i="74"/>
  <c r="AG414" i="74"/>
  <c r="AG417" i="74" s="1"/>
  <c r="AH414" i="74"/>
  <c r="AI414" i="74"/>
  <c r="AJ414" i="74"/>
  <c r="AK414" i="74"/>
  <c r="AL414" i="74"/>
  <c r="AM414" i="74"/>
  <c r="AN414" i="74"/>
  <c r="AO414" i="74"/>
  <c r="AP414" i="74"/>
  <c r="AQ414" i="74"/>
  <c r="AR414" i="74"/>
  <c r="AS414" i="74"/>
  <c r="AT414" i="74"/>
  <c r="AU414" i="74"/>
  <c r="AV414" i="74"/>
  <c r="AW414" i="74"/>
  <c r="AX414" i="74"/>
  <c r="AY414" i="74"/>
  <c r="AZ414" i="74"/>
  <c r="BA414" i="74"/>
  <c r="BB414" i="74"/>
  <c r="BC414" i="74"/>
  <c r="BD414" i="74"/>
  <c r="BE414" i="74"/>
  <c r="BF414" i="74"/>
  <c r="BG414" i="74"/>
  <c r="BG417" i="74" s="1"/>
  <c r="BH414" i="74"/>
  <c r="BI414" i="74"/>
  <c r="BJ414" i="74"/>
  <c r="BK414" i="74"/>
  <c r="BL414" i="74"/>
  <c r="BM414" i="74"/>
  <c r="BN414" i="74"/>
  <c r="BO414" i="74"/>
  <c r="BP414" i="74"/>
  <c r="BQ414" i="74"/>
  <c r="BR414" i="74"/>
  <c r="BS414" i="74"/>
  <c r="BT414" i="74"/>
  <c r="BU414" i="74"/>
  <c r="BV414" i="74"/>
  <c r="BW414" i="74"/>
  <c r="BX414" i="74"/>
  <c r="BY414" i="74"/>
  <c r="BZ414" i="74"/>
  <c r="CA414" i="74"/>
  <c r="CB414" i="74"/>
  <c r="CC414" i="74"/>
  <c r="CD414" i="74"/>
  <c r="CE414" i="74"/>
  <c r="CF414" i="74"/>
  <c r="G415" i="74"/>
  <c r="H415" i="74"/>
  <c r="I415" i="74"/>
  <c r="I417" i="74" s="1"/>
  <c r="J415" i="74"/>
  <c r="K415" i="74"/>
  <c r="L415" i="74"/>
  <c r="M415" i="74"/>
  <c r="M417" i="74" s="1"/>
  <c r="N415" i="74"/>
  <c r="O415" i="74"/>
  <c r="P415" i="74"/>
  <c r="Q415" i="74"/>
  <c r="R415" i="74"/>
  <c r="S415" i="74"/>
  <c r="T415" i="74"/>
  <c r="U415" i="74"/>
  <c r="V415" i="74"/>
  <c r="W415" i="74"/>
  <c r="X415" i="74"/>
  <c r="Y415" i="74"/>
  <c r="Z415" i="74"/>
  <c r="AA415" i="74"/>
  <c r="AB415" i="74"/>
  <c r="AC415" i="74"/>
  <c r="AD415" i="74"/>
  <c r="AE415" i="74"/>
  <c r="AF415" i="74"/>
  <c r="AG415" i="74"/>
  <c r="AH415" i="74"/>
  <c r="AI415" i="74"/>
  <c r="AJ415" i="74"/>
  <c r="AK415" i="74"/>
  <c r="AL415" i="74"/>
  <c r="AM415" i="74"/>
  <c r="AN415" i="74"/>
  <c r="AO415" i="74"/>
  <c r="AP415" i="74"/>
  <c r="AQ415" i="74"/>
  <c r="AR415" i="74"/>
  <c r="AS415" i="74"/>
  <c r="AT415" i="74"/>
  <c r="AU415" i="74"/>
  <c r="AV415" i="74"/>
  <c r="AW415" i="74"/>
  <c r="AX415" i="74"/>
  <c r="AY415" i="74"/>
  <c r="AZ415" i="74"/>
  <c r="BA415" i="74"/>
  <c r="BB415" i="74"/>
  <c r="BC415" i="74"/>
  <c r="BD415" i="74"/>
  <c r="BE415" i="74"/>
  <c r="BF415" i="74"/>
  <c r="BG415" i="74"/>
  <c r="BH415" i="74"/>
  <c r="BI415" i="74"/>
  <c r="BJ415" i="74"/>
  <c r="BK415" i="74"/>
  <c r="BL415" i="74"/>
  <c r="BM415" i="74"/>
  <c r="BN415" i="74"/>
  <c r="BO415" i="74"/>
  <c r="BP415" i="74"/>
  <c r="BQ415" i="74"/>
  <c r="BR415" i="74"/>
  <c r="BS415" i="74"/>
  <c r="BT415" i="74"/>
  <c r="BU415" i="74"/>
  <c r="BV415" i="74"/>
  <c r="BW415" i="74"/>
  <c r="BX415" i="74"/>
  <c r="BY415" i="74"/>
  <c r="BZ415" i="74"/>
  <c r="CA415" i="74"/>
  <c r="CB415" i="74"/>
  <c r="CC415" i="74"/>
  <c r="CD415" i="74"/>
  <c r="CE415" i="74"/>
  <c r="CF415" i="74"/>
  <c r="G417" i="74"/>
  <c r="H417" i="74"/>
  <c r="J417" i="74"/>
  <c r="K417" i="74"/>
  <c r="O417" i="74"/>
  <c r="P417" i="74"/>
  <c r="Q417" i="74"/>
  <c r="R417" i="74"/>
  <c r="S417" i="74"/>
  <c r="T417" i="74"/>
  <c r="U417" i="74"/>
  <c r="V417" i="74"/>
  <c r="W417" i="74"/>
  <c r="X417" i="74"/>
  <c r="Y417" i="74"/>
  <c r="Z417" i="74"/>
  <c r="AA417" i="74"/>
  <c r="AB417" i="74"/>
  <c r="AC417" i="74"/>
  <c r="AD417" i="74"/>
  <c r="AE417" i="74"/>
  <c r="AF417" i="74"/>
  <c r="AH417" i="74"/>
  <c r="AI417" i="74"/>
  <c r="AJ417" i="74"/>
  <c r="AK417" i="74"/>
  <c r="AL417" i="74"/>
  <c r="AM417" i="74"/>
  <c r="AN417" i="74"/>
  <c r="AO417" i="74"/>
  <c r="AP417" i="74"/>
  <c r="AQ417" i="74"/>
  <c r="AR417" i="74"/>
  <c r="AS417" i="74"/>
  <c r="AT417" i="74"/>
  <c r="AU417" i="74"/>
  <c r="AV417" i="74"/>
  <c r="AW417" i="74"/>
  <c r="AX417" i="74"/>
  <c r="AY417" i="74"/>
  <c r="AZ417" i="74"/>
  <c r="BA417" i="74"/>
  <c r="BB417" i="74"/>
  <c r="BC417" i="74"/>
  <c r="BD417" i="74"/>
  <c r="BE417" i="74"/>
  <c r="BF417" i="74"/>
  <c r="BH417" i="74"/>
  <c r="BI417" i="74"/>
  <c r="BJ417" i="74"/>
  <c r="BK417" i="74"/>
  <c r="BL417" i="74"/>
  <c r="BM417" i="74"/>
  <c r="BN417" i="74"/>
  <c r="BO417" i="74"/>
  <c r="BP417" i="74"/>
  <c r="BQ417" i="74"/>
  <c r="BR417" i="74"/>
  <c r="BS417" i="74"/>
  <c r="BT417" i="74"/>
  <c r="BU417" i="74"/>
  <c r="BV417" i="74"/>
  <c r="BW417" i="74"/>
  <c r="BX417" i="74"/>
  <c r="BY417" i="74"/>
  <c r="BZ417" i="74"/>
  <c r="CA417" i="74"/>
  <c r="CB417" i="74"/>
  <c r="CC417" i="74"/>
  <c r="CD417" i="74"/>
  <c r="CE417" i="74"/>
  <c r="CF417" i="74"/>
  <c r="F417" i="74"/>
  <c r="F415" i="74"/>
  <c r="F414" i="74"/>
  <c r="E257" i="28"/>
  <c r="F9" i="80" l="1"/>
  <c r="E256" i="28" l="1"/>
  <c r="E260" i="28" l="1"/>
  <c r="E259" i="28"/>
  <c r="E258" i="28"/>
  <c r="E255" i="28"/>
  <c r="L255" i="28" s="1"/>
  <c r="E253" i="28"/>
  <c r="E252" i="28"/>
  <c r="E249" i="28"/>
  <c r="E248" i="28"/>
  <c r="E247" i="28"/>
  <c r="E246" i="28"/>
  <c r="T3" i="29" l="1"/>
  <c r="U3" i="29"/>
  <c r="T4" i="29"/>
  <c r="U4" i="29"/>
  <c r="T5" i="29"/>
  <c r="U5" i="29"/>
  <c r="T6" i="29"/>
  <c r="U6" i="29"/>
  <c r="T7" i="29"/>
  <c r="U7" i="29"/>
  <c r="T8" i="29"/>
  <c r="U8" i="29"/>
  <c r="T9" i="29"/>
  <c r="U9" i="29"/>
  <c r="T10" i="29"/>
  <c r="U10" i="29"/>
  <c r="T11" i="29"/>
  <c r="U11" i="29"/>
  <c r="T12" i="29"/>
  <c r="U12" i="29"/>
  <c r="T13" i="29"/>
  <c r="U13" i="29"/>
  <c r="T14" i="29"/>
  <c r="U14" i="29"/>
  <c r="T15" i="29"/>
  <c r="U15" i="29"/>
  <c r="T16" i="29"/>
  <c r="U16" i="29"/>
  <c r="T17" i="29"/>
  <c r="U17" i="29"/>
  <c r="T18" i="29"/>
  <c r="U18" i="29"/>
  <c r="T19" i="29"/>
  <c r="U19" i="29"/>
  <c r="T20" i="29"/>
  <c r="U20" i="29"/>
  <c r="T21" i="29"/>
  <c r="U21" i="29"/>
  <c r="T22" i="29"/>
  <c r="U22" i="29"/>
  <c r="T23" i="29"/>
  <c r="U23" i="29"/>
  <c r="T24" i="29"/>
  <c r="U24" i="29"/>
  <c r="T25" i="29"/>
  <c r="U25" i="29"/>
  <c r="T26" i="29"/>
  <c r="U26" i="29"/>
  <c r="T27" i="29"/>
  <c r="U27" i="29"/>
  <c r="T28" i="29"/>
  <c r="U28" i="29"/>
  <c r="T29" i="29"/>
  <c r="U29" i="29"/>
  <c r="T30" i="29"/>
  <c r="U30" i="29"/>
  <c r="T31" i="29"/>
  <c r="U31" i="29"/>
  <c r="T32" i="29"/>
  <c r="U32" i="29"/>
  <c r="T33" i="29"/>
  <c r="U33" i="29"/>
  <c r="T34" i="29"/>
  <c r="U34" i="29"/>
  <c r="T35" i="29"/>
  <c r="U35" i="29"/>
  <c r="T36" i="29"/>
  <c r="U36" i="29"/>
  <c r="T37" i="29"/>
  <c r="U37" i="29"/>
  <c r="T38" i="29"/>
  <c r="U38" i="29"/>
  <c r="T39" i="29"/>
  <c r="U39" i="29"/>
  <c r="T40" i="29"/>
  <c r="U40" i="29"/>
  <c r="T41" i="29"/>
  <c r="U41" i="29"/>
  <c r="T42" i="29"/>
  <c r="U42" i="29"/>
  <c r="T43" i="29"/>
  <c r="U43" i="29"/>
  <c r="T44" i="29"/>
  <c r="U44" i="29"/>
  <c r="T45" i="29"/>
  <c r="U45" i="29"/>
  <c r="T46" i="29"/>
  <c r="U46" i="29"/>
  <c r="T47" i="29"/>
  <c r="U47" i="29"/>
  <c r="T48" i="29"/>
  <c r="U48" i="29"/>
  <c r="T49" i="29"/>
  <c r="U49" i="29"/>
  <c r="T50" i="29"/>
  <c r="U50" i="29"/>
  <c r="T51" i="29"/>
  <c r="U51" i="29"/>
  <c r="T52" i="29"/>
  <c r="U52" i="29"/>
  <c r="T53" i="29"/>
  <c r="U53" i="29"/>
  <c r="T54" i="29"/>
  <c r="U54" i="29"/>
  <c r="T55" i="29"/>
  <c r="U55" i="29"/>
  <c r="T56" i="29"/>
  <c r="U56" i="29"/>
  <c r="T57" i="29"/>
  <c r="U57" i="29"/>
  <c r="T58" i="29"/>
  <c r="U58" i="29"/>
  <c r="T59" i="29"/>
  <c r="U59" i="29"/>
  <c r="T60" i="29"/>
  <c r="U60" i="29"/>
  <c r="T61" i="29"/>
  <c r="U61" i="29"/>
  <c r="T62" i="29"/>
  <c r="U62" i="29"/>
  <c r="T63" i="29"/>
  <c r="U63" i="29"/>
  <c r="T64" i="29"/>
  <c r="U64" i="29"/>
  <c r="T65" i="29"/>
  <c r="U65" i="29"/>
  <c r="T66" i="29"/>
  <c r="U66" i="29"/>
  <c r="T67" i="29"/>
  <c r="U67" i="29"/>
  <c r="T68" i="29"/>
  <c r="U68" i="29"/>
  <c r="T69" i="29"/>
  <c r="U69" i="29"/>
  <c r="T70" i="29"/>
  <c r="U70" i="29"/>
  <c r="T71" i="29"/>
  <c r="U71" i="29"/>
  <c r="T72" i="29"/>
  <c r="U72" i="29"/>
  <c r="T73" i="29"/>
  <c r="U73" i="29"/>
  <c r="T74" i="29"/>
  <c r="U74" i="29"/>
  <c r="T75" i="29"/>
  <c r="U75" i="29"/>
  <c r="T76" i="29"/>
  <c r="U76" i="29"/>
  <c r="T77" i="29"/>
  <c r="U77" i="29"/>
  <c r="T78" i="29"/>
  <c r="U78" i="29"/>
  <c r="T79" i="29"/>
  <c r="U79" i="29"/>
  <c r="T80" i="29"/>
  <c r="U80" i="29"/>
  <c r="O3" i="29"/>
  <c r="P3" i="29"/>
  <c r="O4" i="29"/>
  <c r="P4" i="29"/>
  <c r="O5" i="29"/>
  <c r="P5" i="29"/>
  <c r="O6" i="29"/>
  <c r="P6" i="29"/>
  <c r="O7" i="29"/>
  <c r="P7" i="29"/>
  <c r="O8" i="29"/>
  <c r="P8" i="29"/>
  <c r="O9" i="29"/>
  <c r="P9" i="29"/>
  <c r="O10" i="29"/>
  <c r="P10" i="29"/>
  <c r="O11" i="29"/>
  <c r="P11" i="29"/>
  <c r="O12" i="29"/>
  <c r="P12" i="29"/>
  <c r="O13" i="29"/>
  <c r="P13" i="29"/>
  <c r="O14" i="29"/>
  <c r="P14" i="29"/>
  <c r="O15" i="29"/>
  <c r="P15" i="29"/>
  <c r="O16" i="29"/>
  <c r="P16" i="29"/>
  <c r="O17" i="29"/>
  <c r="P17" i="29"/>
  <c r="O18" i="29"/>
  <c r="P18" i="29"/>
  <c r="O19" i="29"/>
  <c r="P19" i="29"/>
  <c r="O20" i="29"/>
  <c r="P20" i="29"/>
  <c r="O21" i="29"/>
  <c r="P21" i="29"/>
  <c r="O22" i="29"/>
  <c r="P22" i="29"/>
  <c r="O23" i="29"/>
  <c r="P23" i="29"/>
  <c r="O24" i="29"/>
  <c r="P24" i="29"/>
  <c r="O25" i="29"/>
  <c r="P25" i="29"/>
  <c r="O26" i="29"/>
  <c r="P26" i="29"/>
  <c r="O27" i="29"/>
  <c r="P27" i="29"/>
  <c r="O28" i="29"/>
  <c r="P28" i="29"/>
  <c r="O29" i="29"/>
  <c r="P29" i="29"/>
  <c r="O30" i="29"/>
  <c r="P30" i="29"/>
  <c r="O31" i="29"/>
  <c r="P31" i="29"/>
  <c r="O32" i="29"/>
  <c r="P32" i="29"/>
  <c r="O33" i="29"/>
  <c r="P33" i="29"/>
  <c r="O34" i="29"/>
  <c r="P34" i="29"/>
  <c r="O35" i="29"/>
  <c r="P35" i="29"/>
  <c r="O36" i="29"/>
  <c r="P36" i="29"/>
  <c r="O37" i="29"/>
  <c r="P37" i="29"/>
  <c r="O38" i="29"/>
  <c r="P38" i="29"/>
  <c r="O39" i="29"/>
  <c r="P39" i="29"/>
  <c r="O40" i="29"/>
  <c r="P40" i="29"/>
  <c r="O41" i="29"/>
  <c r="P41" i="29"/>
  <c r="O42" i="29"/>
  <c r="P42" i="29"/>
  <c r="O43" i="29"/>
  <c r="P43" i="29"/>
  <c r="O44" i="29"/>
  <c r="P44" i="29"/>
  <c r="O45" i="29"/>
  <c r="P45" i="29"/>
  <c r="O46" i="29"/>
  <c r="P46" i="29"/>
  <c r="O47" i="29"/>
  <c r="P47" i="29"/>
  <c r="O48" i="29"/>
  <c r="P48" i="29"/>
  <c r="O49" i="29"/>
  <c r="P49" i="29"/>
  <c r="O50" i="29"/>
  <c r="P50" i="29"/>
  <c r="O51" i="29"/>
  <c r="P51" i="29"/>
  <c r="O52" i="29"/>
  <c r="P52" i="29"/>
  <c r="O53" i="29"/>
  <c r="P53" i="29"/>
  <c r="O54" i="29"/>
  <c r="P54" i="29"/>
  <c r="O55" i="29"/>
  <c r="P55" i="29"/>
  <c r="O56" i="29"/>
  <c r="P56" i="29"/>
  <c r="O57" i="29"/>
  <c r="P57" i="29"/>
  <c r="O58" i="29"/>
  <c r="P58" i="29"/>
  <c r="O59" i="29"/>
  <c r="P59" i="29"/>
  <c r="O60" i="29"/>
  <c r="P60" i="29"/>
  <c r="O61" i="29"/>
  <c r="P61" i="29"/>
  <c r="O62" i="29"/>
  <c r="P62" i="29"/>
  <c r="O63" i="29"/>
  <c r="P63" i="29"/>
  <c r="O64" i="29"/>
  <c r="P64" i="29"/>
  <c r="O65" i="29"/>
  <c r="P65" i="29"/>
  <c r="O66" i="29"/>
  <c r="P66" i="29"/>
  <c r="O67" i="29"/>
  <c r="P67" i="29"/>
  <c r="O68" i="29"/>
  <c r="P68" i="29"/>
  <c r="O69" i="29"/>
  <c r="P69" i="29"/>
  <c r="O70" i="29"/>
  <c r="P70" i="29"/>
  <c r="O71" i="29"/>
  <c r="P71" i="29"/>
  <c r="O72" i="29"/>
  <c r="P72" i="29"/>
  <c r="O73" i="29"/>
  <c r="P73" i="29"/>
  <c r="O74" i="29"/>
  <c r="P74" i="29"/>
  <c r="O75" i="29"/>
  <c r="P75" i="29"/>
  <c r="O76" i="29"/>
  <c r="P76" i="29"/>
  <c r="O77" i="29"/>
  <c r="P77" i="29"/>
  <c r="O78" i="29"/>
  <c r="P78" i="29"/>
  <c r="O79" i="29"/>
  <c r="P79" i="29"/>
  <c r="O80" i="29"/>
  <c r="P80" i="29"/>
  <c r="T2" i="29"/>
  <c r="U2" i="29"/>
  <c r="P2" i="29"/>
  <c r="O2" i="29"/>
  <c r="E90" i="1" l="1"/>
  <c r="E91" i="1"/>
  <c r="E92" i="1"/>
  <c r="E93" i="1"/>
  <c r="E97" i="1"/>
  <c r="E96" i="1"/>
  <c r="E95" i="1"/>
  <c r="E94" i="1"/>
  <c r="E100" i="1"/>
  <c r="E96" i="53" l="1"/>
  <c r="A327" i="1"/>
  <c r="M51" i="80" l="1"/>
  <c r="K10" i="80" l="1"/>
  <c r="E10" i="80"/>
  <c r="B4" i="80"/>
  <c r="M14" i="80" l="1"/>
  <c r="M24" i="80"/>
  <c r="M23" i="80"/>
  <c r="M16" i="80"/>
  <c r="M21" i="80"/>
  <c r="M17" i="80"/>
  <c r="N18" i="80"/>
  <c r="H53" i="53" l="1"/>
  <c r="G160" i="1" l="1"/>
  <c r="G140" i="1"/>
  <c r="F323" i="1"/>
  <c r="E323" i="1"/>
  <c r="F322" i="1"/>
  <c r="E322" i="1"/>
  <c r="F321" i="1"/>
  <c r="E321" i="1"/>
  <c r="F320" i="1"/>
  <c r="E320" i="1"/>
  <c r="F319" i="1"/>
  <c r="E319" i="1"/>
  <c r="G172" i="1"/>
  <c r="H160" i="1"/>
  <c r="I140" i="1"/>
  <c r="H140" i="1"/>
  <c r="E127" i="1"/>
  <c r="E126" i="1"/>
  <c r="E125" i="1"/>
  <c r="E124" i="1"/>
  <c r="E123" i="1"/>
  <c r="E120" i="1"/>
  <c r="E119" i="1"/>
  <c r="E118" i="1"/>
  <c r="E117" i="1"/>
  <c r="E116" i="1"/>
  <c r="E115" i="1"/>
  <c r="E114" i="1"/>
  <c r="E113" i="1"/>
  <c r="E112" i="1"/>
  <c r="E111" i="1"/>
  <c r="E110" i="1"/>
  <c r="E109" i="1"/>
  <c r="E108" i="1"/>
  <c r="E107" i="1"/>
  <c r="E106" i="1"/>
  <c r="E105" i="1"/>
  <c r="E104" i="1"/>
  <c r="E103" i="1"/>
  <c r="E56" i="1"/>
  <c r="E55" i="1"/>
  <c r="E54" i="1"/>
  <c r="E53" i="1"/>
  <c r="E52" i="1"/>
  <c r="E51" i="1"/>
  <c r="E50" i="1"/>
  <c r="E49" i="1"/>
  <c r="E57" i="1"/>
  <c r="E48" i="1"/>
  <c r="E47" i="1"/>
  <c r="E46" i="1"/>
  <c r="G9" i="1"/>
  <c r="E96" i="28" l="1"/>
  <c r="L96" i="28" s="1"/>
  <c r="E97" i="28"/>
  <c r="L97" i="28" s="1"/>
  <c r="E98" i="28"/>
  <c r="L98" i="28" s="1"/>
  <c r="A97" i="28"/>
  <c r="B97" i="28"/>
  <c r="C97" i="28"/>
  <c r="E47" i="28"/>
  <c r="L47" i="28" s="1"/>
  <c r="A47" i="28"/>
  <c r="B47" i="28"/>
  <c r="C47" i="28"/>
  <c r="J299" i="28" l="1"/>
  <c r="J298" i="28"/>
  <c r="J301" i="28"/>
  <c r="J300" i="28" l="1"/>
  <c r="J302" i="28" s="1"/>
  <c r="A96" i="28"/>
  <c r="B96" i="28"/>
  <c r="C96" i="28"/>
  <c r="A98" i="28"/>
  <c r="B98" i="28"/>
  <c r="C98" i="28"/>
  <c r="E93" i="28"/>
  <c r="L93" i="28" s="1"/>
  <c r="E92" i="28"/>
  <c r="L92" i="28" s="1"/>
  <c r="A93" i="28"/>
  <c r="W93" i="28" s="1"/>
  <c r="B93" i="28"/>
  <c r="C93" i="28"/>
  <c r="C92" i="28"/>
  <c r="B92" i="28"/>
  <c r="A92" i="28"/>
  <c r="W92" i="28" s="1"/>
  <c r="E38" i="28"/>
  <c r="L38" i="28" s="1"/>
  <c r="E39" i="28"/>
  <c r="L39" i="28" s="1"/>
  <c r="E40" i="28"/>
  <c r="L40" i="28" s="1"/>
  <c r="E41" i="28"/>
  <c r="L41" i="28" s="1"/>
  <c r="E42" i="28"/>
  <c r="L42" i="28" s="1"/>
  <c r="E43" i="28"/>
  <c r="L43" i="28" s="1"/>
  <c r="E44" i="28"/>
  <c r="L44" i="28" s="1"/>
  <c r="E45" i="28"/>
  <c r="L45" i="28" s="1"/>
  <c r="E46" i="28"/>
  <c r="L46" i="28" s="1"/>
  <c r="E48" i="28"/>
  <c r="L48" i="28" s="1"/>
  <c r="E49" i="28"/>
  <c r="L49" i="28" s="1"/>
  <c r="E50" i="28"/>
  <c r="L50" i="28" s="1"/>
  <c r="E51" i="28"/>
  <c r="L51" i="28" s="1"/>
  <c r="A49" i="28"/>
  <c r="B49" i="28"/>
  <c r="C49" i="28"/>
  <c r="A50" i="28"/>
  <c r="B50" i="28"/>
  <c r="C50" i="28"/>
  <c r="A51" i="28"/>
  <c r="B51" i="28"/>
  <c r="C51" i="28"/>
  <c r="A38" i="28"/>
  <c r="B38" i="28"/>
  <c r="C38" i="28"/>
  <c r="A39" i="28"/>
  <c r="B39" i="28"/>
  <c r="C39" i="28"/>
  <c r="A40" i="28"/>
  <c r="B40" i="28"/>
  <c r="C40" i="28"/>
  <c r="A41" i="28"/>
  <c r="B41" i="28"/>
  <c r="C41" i="28"/>
  <c r="A42" i="28"/>
  <c r="B42" i="28"/>
  <c r="C42" i="28"/>
  <c r="A43" i="28"/>
  <c r="B43" i="28"/>
  <c r="C43" i="28"/>
  <c r="A44" i="28"/>
  <c r="B44" i="28"/>
  <c r="C44" i="28"/>
  <c r="A45" i="28"/>
  <c r="B45" i="28"/>
  <c r="C45" i="28"/>
  <c r="A46" i="28"/>
  <c r="B46" i="28"/>
  <c r="C46" i="28"/>
  <c r="A48" i="28"/>
  <c r="B48" i="28"/>
  <c r="C48" i="28"/>
  <c r="E113" i="28" l="1"/>
  <c r="L113" i="28" s="1"/>
  <c r="E114" i="28"/>
  <c r="L114" i="28" s="1"/>
  <c r="E104" i="28"/>
  <c r="L104" i="28" s="1"/>
  <c r="E105" i="28"/>
  <c r="L105" i="28" s="1"/>
  <c r="E106" i="28"/>
  <c r="L106" i="28" s="1"/>
  <c r="E107" i="28"/>
  <c r="L107" i="28" s="1"/>
  <c r="E108" i="28"/>
  <c r="L108" i="28" s="1"/>
  <c r="E109" i="28"/>
  <c r="L109" i="28" s="1"/>
  <c r="E99" i="28"/>
  <c r="L99" i="28" s="1"/>
  <c r="E100" i="28"/>
  <c r="L100" i="28" s="1"/>
  <c r="E101" i="28"/>
  <c r="L101" i="28" s="1"/>
  <c r="E102" i="28"/>
  <c r="L102" i="28" s="1"/>
  <c r="A113" i="28"/>
  <c r="B113" i="28"/>
  <c r="C113" i="28"/>
  <c r="A114" i="28"/>
  <c r="B114" i="28"/>
  <c r="C114" i="28"/>
  <c r="A109" i="28"/>
  <c r="B109" i="28"/>
  <c r="C109" i="28"/>
  <c r="A104" i="28"/>
  <c r="B104" i="28"/>
  <c r="C104" i="28"/>
  <c r="A105" i="28"/>
  <c r="B105" i="28"/>
  <c r="C105" i="28"/>
  <c r="A106" i="28"/>
  <c r="B106" i="28"/>
  <c r="C106" i="28"/>
  <c r="A107" i="28"/>
  <c r="B107" i="28"/>
  <c r="C107" i="28"/>
  <c r="A108" i="28"/>
  <c r="B108" i="28"/>
  <c r="C108" i="28"/>
  <c r="A99" i="28"/>
  <c r="B99" i="28"/>
  <c r="C99" i="28"/>
  <c r="A100" i="28"/>
  <c r="B100" i="28"/>
  <c r="C100" i="28"/>
  <c r="A101" i="28"/>
  <c r="B101" i="28"/>
  <c r="C101" i="28"/>
  <c r="A102" i="28"/>
  <c r="B102" i="28"/>
  <c r="C102" i="28"/>
  <c r="E85" i="28" l="1"/>
  <c r="L85" i="28" s="1"/>
  <c r="E86" i="28"/>
  <c r="L86" i="28" s="1"/>
  <c r="E87" i="28"/>
  <c r="L87" i="28" s="1"/>
  <c r="E88" i="28"/>
  <c r="L88" i="28" s="1"/>
  <c r="A85" i="28"/>
  <c r="W85" i="28" s="1"/>
  <c r="B85" i="28"/>
  <c r="C85" i="28"/>
  <c r="A86" i="28"/>
  <c r="W86" i="28" s="1"/>
  <c r="B86" i="28"/>
  <c r="C86" i="28"/>
  <c r="A87" i="28"/>
  <c r="W87" i="28" s="1"/>
  <c r="B87" i="28"/>
  <c r="C87" i="28"/>
  <c r="A88" i="28"/>
  <c r="W88" i="28" s="1"/>
  <c r="B88" i="28"/>
  <c r="C88" i="28"/>
  <c r="E296" i="1"/>
  <c r="E295" i="1"/>
  <c r="E294" i="1"/>
  <c r="E293" i="1"/>
  <c r="E292" i="1"/>
  <c r="E291" i="1"/>
  <c r="E290" i="1"/>
  <c r="E289" i="1"/>
  <c r="E286" i="1"/>
  <c r="E284" i="1"/>
  <c r="E282" i="1"/>
  <c r="E279" i="1"/>
  <c r="E278" i="1"/>
  <c r="E277" i="1"/>
  <c r="E274" i="1"/>
  <c r="E273" i="1"/>
  <c r="E272" i="1"/>
  <c r="E271" i="1"/>
  <c r="E270" i="1"/>
  <c r="E268" i="1"/>
  <c r="E267" i="1"/>
  <c r="E266" i="1"/>
  <c r="E265" i="1"/>
  <c r="E262" i="1"/>
  <c r="E260" i="1"/>
  <c r="E259" i="1"/>
  <c r="E258" i="1"/>
  <c r="E257" i="1"/>
  <c r="E255" i="1"/>
  <c r="E254" i="1"/>
  <c r="E253" i="1"/>
  <c r="E248" i="1"/>
  <c r="E247" i="1"/>
  <c r="E246" i="1"/>
  <c r="E245" i="1"/>
  <c r="E242" i="1"/>
  <c r="E241" i="1"/>
  <c r="E240" i="1"/>
  <c r="E239" i="1"/>
  <c r="E236" i="1"/>
  <c r="E235" i="1"/>
  <c r="E234" i="1"/>
  <c r="E233" i="1"/>
  <c r="E229" i="1"/>
  <c r="E228" i="1"/>
  <c r="E221" i="1"/>
  <c r="E220" i="1"/>
  <c r="E216" i="1"/>
  <c r="E214" i="1"/>
  <c r="E212" i="1"/>
  <c r="E210" i="1"/>
  <c r="E209" i="1"/>
  <c r="E208" i="1"/>
  <c r="E206" i="1"/>
  <c r="E205" i="1"/>
  <c r="E204" i="1"/>
  <c r="E199" i="1"/>
  <c r="E198" i="1"/>
  <c r="E197" i="1"/>
  <c r="E196" i="1"/>
  <c r="E195" i="1"/>
  <c r="E194" i="1"/>
  <c r="E193" i="1"/>
  <c r="E192" i="1"/>
  <c r="E191" i="1"/>
  <c r="E190" i="1"/>
  <c r="E189" i="1"/>
  <c r="E188" i="1"/>
  <c r="E187" i="1"/>
  <c r="E185" i="1"/>
  <c r="E184" i="1"/>
  <c r="E183" i="1"/>
  <c r="E182" i="1"/>
  <c r="E181" i="1"/>
  <c r="E179" i="1"/>
  <c r="E178" i="1"/>
  <c r="E177" i="1"/>
  <c r="E176" i="1"/>
  <c r="E175" i="1"/>
  <c r="E174" i="1"/>
  <c r="E173" i="1"/>
  <c r="E172" i="1"/>
  <c r="E171" i="1"/>
  <c r="E168" i="1"/>
  <c r="E167" i="1"/>
  <c r="E166" i="1"/>
  <c r="E165" i="1"/>
  <c r="E164" i="1"/>
  <c r="E163" i="1"/>
  <c r="E162" i="1"/>
  <c r="E161" i="1"/>
  <c r="E160" i="1"/>
  <c r="E159" i="1"/>
  <c r="E158" i="1"/>
  <c r="E157" i="1"/>
  <c r="E156" i="1"/>
  <c r="E155" i="1"/>
  <c r="E154" i="1"/>
  <c r="E153" i="1"/>
  <c r="E152" i="1"/>
  <c r="E151" i="1"/>
  <c r="E149" i="1"/>
  <c r="E148" i="1"/>
  <c r="E147" i="1"/>
  <c r="E146" i="1"/>
  <c r="E145" i="1"/>
  <c r="E144" i="1"/>
  <c r="E143" i="1"/>
  <c r="E142" i="1"/>
  <c r="E141" i="1"/>
  <c r="E140" i="1"/>
  <c r="E139" i="1"/>
  <c r="E138" i="1"/>
  <c r="E137" i="1"/>
  <c r="E136" i="1"/>
  <c r="E135" i="1"/>
  <c r="E134" i="1"/>
  <c r="E133" i="1"/>
  <c r="E132" i="1"/>
  <c r="E131" i="1"/>
  <c r="E101" i="1"/>
  <c r="E98" i="1"/>
  <c r="E89" i="1"/>
  <c r="E87" i="1"/>
  <c r="E86" i="1"/>
  <c r="E85" i="1"/>
  <c r="E84" i="1"/>
  <c r="E83" i="1"/>
  <c r="E82" i="1"/>
  <c r="E81" i="1"/>
  <c r="E80" i="1"/>
  <c r="E79" i="1"/>
  <c r="E78" i="1"/>
  <c r="E77" i="1"/>
  <c r="E73" i="1"/>
  <c r="E72" i="1"/>
  <c r="G89" i="1" s="1"/>
  <c r="E71" i="1"/>
  <c r="E70" i="1"/>
  <c r="E69" i="1"/>
  <c r="E68" i="1"/>
  <c r="E67" i="1"/>
  <c r="E66" i="1"/>
  <c r="E65" i="1"/>
  <c r="E64" i="1"/>
  <c r="E63" i="1"/>
  <c r="E62" i="1"/>
  <c r="E61" i="1"/>
  <c r="E60" i="1"/>
  <c r="E59" i="1"/>
  <c r="E42" i="1"/>
  <c r="E41" i="1"/>
  <c r="E39" i="1"/>
  <c r="E38" i="1"/>
  <c r="E37" i="1"/>
  <c r="E36" i="1"/>
  <c r="E35" i="1"/>
  <c r="E34" i="1"/>
  <c r="E33" i="1"/>
  <c r="E32" i="1"/>
  <c r="E31" i="1"/>
  <c r="E30" i="1"/>
  <c r="E29" i="1"/>
  <c r="E28" i="1"/>
  <c r="E26" i="1"/>
  <c r="E25" i="1"/>
  <c r="E23" i="1"/>
  <c r="E22" i="1"/>
  <c r="E21" i="1"/>
  <c r="E20" i="1"/>
  <c r="E19" i="1"/>
  <c r="E18" i="1"/>
  <c r="E17" i="1"/>
  <c r="E16" i="1"/>
  <c r="E15" i="1"/>
  <c r="E14" i="1"/>
  <c r="E13" i="1"/>
  <c r="E11" i="1"/>
  <c r="E10" i="1"/>
  <c r="E8" i="1"/>
  <c r="E7" i="1"/>
  <c r="E9" i="1" l="1"/>
  <c r="E12" i="1"/>
  <c r="H38" i="1"/>
  <c r="G38" i="1" s="1"/>
  <c r="A95" i="28"/>
  <c r="B95" i="28"/>
  <c r="C95" i="28"/>
  <c r="E95" i="28"/>
  <c r="L95" i="28" s="1"/>
  <c r="A103" i="28"/>
  <c r="B103" i="28"/>
  <c r="C103" i="28"/>
  <c r="E103" i="28"/>
  <c r="L103" i="28" s="1"/>
  <c r="A110" i="28"/>
  <c r="B110" i="28"/>
  <c r="C110" i="28"/>
  <c r="L110" i="28"/>
  <c r="A111" i="28"/>
  <c r="B111" i="28"/>
  <c r="C111" i="28"/>
  <c r="E111" i="28"/>
  <c r="L111" i="28" s="1"/>
  <c r="A112" i="28"/>
  <c r="B112" i="28"/>
  <c r="C112" i="28"/>
  <c r="E112" i="28"/>
  <c r="L112" i="28" s="1"/>
  <c r="E94" i="28"/>
  <c r="L94" i="28" s="1"/>
  <c r="C94" i="28"/>
  <c r="B94" i="28"/>
  <c r="A94" i="28"/>
  <c r="N26" i="80" l="1"/>
  <c r="D26" i="80" s="1"/>
  <c r="M23" i="73"/>
  <c r="D23" i="73" s="1"/>
  <c r="C281" i="28"/>
  <c r="F26" i="80" l="1"/>
  <c r="G87" i="53"/>
  <c r="L266" i="28" l="1"/>
  <c r="L267" i="28"/>
  <c r="N20" i="80" s="1"/>
  <c r="L268" i="28"/>
  <c r="N13" i="80" s="1"/>
  <c r="E244" i="28"/>
  <c r="L252" i="28"/>
  <c r="C252" i="28"/>
  <c r="A252" i="28"/>
  <c r="W252" i="28" s="1"/>
  <c r="G273" i="1" l="1"/>
  <c r="E290" i="28"/>
  <c r="E278" i="28" l="1"/>
  <c r="E281" i="28" l="1"/>
  <c r="E287" i="28"/>
  <c r="C290" i="28" l="1"/>
  <c r="L290" i="28"/>
  <c r="A290" i="28"/>
  <c r="E90" i="28"/>
  <c r="L90" i="28" s="1"/>
  <c r="C90" i="28"/>
  <c r="B90" i="28"/>
  <c r="A90" i="28"/>
  <c r="W90" i="28" s="1"/>
  <c r="E81" i="28"/>
  <c r="L81" i="28" s="1"/>
  <c r="E82" i="28"/>
  <c r="L82" i="28" s="1"/>
  <c r="E83" i="28"/>
  <c r="L83" i="28" s="1"/>
  <c r="E84" i="28"/>
  <c r="L84" i="28" s="1"/>
  <c r="B81" i="28"/>
  <c r="C81" i="28"/>
  <c r="B82" i="28"/>
  <c r="C82" i="28"/>
  <c r="B83" i="28"/>
  <c r="C83" i="28"/>
  <c r="B84" i="28"/>
  <c r="C84" i="28"/>
  <c r="A81" i="28"/>
  <c r="W81" i="28" s="1"/>
  <c r="A82" i="28"/>
  <c r="W82" i="28" s="1"/>
  <c r="A83" i="28"/>
  <c r="W83" i="28" s="1"/>
  <c r="A84" i="28"/>
  <c r="W84" i="28" s="1"/>
  <c r="G304" i="42" l="1"/>
  <c r="H304" i="42"/>
  <c r="I304" i="42"/>
  <c r="J304" i="42"/>
  <c r="K304" i="42"/>
  <c r="L304" i="42"/>
  <c r="M304" i="42"/>
  <c r="N304" i="42"/>
  <c r="O304" i="42"/>
  <c r="P304" i="42"/>
  <c r="Q304" i="42"/>
  <c r="R304" i="42"/>
  <c r="S304" i="42"/>
  <c r="T304" i="42"/>
  <c r="U304" i="42"/>
  <c r="V304" i="42"/>
  <c r="W304" i="42"/>
  <c r="X304" i="42"/>
  <c r="Y304" i="42"/>
  <c r="Z304" i="42"/>
  <c r="AA304" i="42"/>
  <c r="AB304" i="42"/>
  <c r="AC304" i="42"/>
  <c r="AD304" i="42"/>
  <c r="AE304" i="42"/>
  <c r="AF304" i="42"/>
  <c r="AG304" i="42"/>
  <c r="AH304" i="42"/>
  <c r="AI304" i="42"/>
  <c r="AJ304" i="42"/>
  <c r="AK304" i="42"/>
  <c r="AL304" i="42"/>
  <c r="AM304" i="42"/>
  <c r="AN304" i="42"/>
  <c r="AO304" i="42"/>
  <c r="AP304" i="42"/>
  <c r="AQ304" i="42"/>
  <c r="AR304" i="42"/>
  <c r="AS304" i="42"/>
  <c r="AT304" i="42"/>
  <c r="AU304" i="42"/>
  <c r="AV304" i="42"/>
  <c r="AW304" i="42"/>
  <c r="AX304" i="42"/>
  <c r="AY304" i="42"/>
  <c r="AZ304" i="42"/>
  <c r="BA304" i="42"/>
  <c r="BB304" i="42"/>
  <c r="BC304" i="42"/>
  <c r="BD304" i="42"/>
  <c r="BE304" i="42"/>
  <c r="BF304" i="42"/>
  <c r="BG304" i="42"/>
  <c r="BH304" i="42"/>
  <c r="BI304" i="42"/>
  <c r="BJ304" i="42"/>
  <c r="BK304" i="42"/>
  <c r="BL304" i="42"/>
  <c r="BM304" i="42"/>
  <c r="BN304" i="42"/>
  <c r="BO304" i="42"/>
  <c r="BP304" i="42"/>
  <c r="BQ304" i="42"/>
  <c r="BR304" i="42"/>
  <c r="BS304" i="42"/>
  <c r="F301" i="42"/>
  <c r="G301" i="42"/>
  <c r="H301" i="42"/>
  <c r="I301" i="42"/>
  <c r="J301" i="42"/>
  <c r="K301" i="42"/>
  <c r="L301" i="42"/>
  <c r="M301" i="42"/>
  <c r="N301" i="42"/>
  <c r="O301" i="42"/>
  <c r="P301" i="42"/>
  <c r="Q301" i="42"/>
  <c r="R301" i="42"/>
  <c r="S301" i="42"/>
  <c r="T301" i="42"/>
  <c r="U301" i="42"/>
  <c r="V301" i="42"/>
  <c r="W301" i="42"/>
  <c r="X301" i="42"/>
  <c r="Y301" i="42"/>
  <c r="Z301" i="42"/>
  <c r="AA301" i="42"/>
  <c r="AB301" i="42"/>
  <c r="AC301" i="42"/>
  <c r="AD301" i="42"/>
  <c r="AE301" i="42"/>
  <c r="AF301" i="42"/>
  <c r="AG301" i="42"/>
  <c r="AH301" i="42"/>
  <c r="AI301" i="42"/>
  <c r="AJ301" i="42"/>
  <c r="AK301" i="42"/>
  <c r="AL301" i="42"/>
  <c r="AM301" i="42"/>
  <c r="AN301" i="42"/>
  <c r="AO301" i="42"/>
  <c r="AP301" i="42"/>
  <c r="AQ301" i="42"/>
  <c r="AR301" i="42"/>
  <c r="AS301" i="42"/>
  <c r="AT301" i="42"/>
  <c r="AU301" i="42"/>
  <c r="AV301" i="42"/>
  <c r="AW301" i="42"/>
  <c r="AX301" i="42"/>
  <c r="AY301" i="42"/>
  <c r="AZ301" i="42"/>
  <c r="BA301" i="42"/>
  <c r="BB301" i="42"/>
  <c r="BC301" i="42"/>
  <c r="BD301" i="42"/>
  <c r="BE301" i="42"/>
  <c r="BF301" i="42"/>
  <c r="BG301" i="42"/>
  <c r="BH301" i="42"/>
  <c r="BI301" i="42"/>
  <c r="BJ301" i="42"/>
  <c r="BK301" i="42"/>
  <c r="BL301" i="42"/>
  <c r="BM301" i="42"/>
  <c r="BN301" i="42"/>
  <c r="BO301" i="42"/>
  <c r="BP301" i="42"/>
  <c r="BQ301" i="42"/>
  <c r="BR301" i="42"/>
  <c r="BS301" i="42"/>
  <c r="F304" i="42"/>
  <c r="E304" i="42"/>
  <c r="E301" i="42" l="1"/>
  <c r="G199" i="1" l="1"/>
  <c r="G183" i="1"/>
  <c r="G132" i="1"/>
  <c r="H74" i="53" l="1"/>
  <c r="H72" i="53"/>
  <c r="H70" i="53"/>
  <c r="H68" i="53"/>
  <c r="H66" i="53"/>
  <c r="H64" i="53"/>
  <c r="H62" i="53"/>
  <c r="H60" i="53"/>
  <c r="H55" i="53"/>
  <c r="H51" i="53"/>
  <c r="H49" i="53"/>
  <c r="H47" i="53"/>
  <c r="H45" i="53"/>
  <c r="H43" i="53"/>
  <c r="H41" i="53"/>
  <c r="H57" i="53"/>
  <c r="H78" i="53"/>
  <c r="H76" i="53"/>
  <c r="G180" i="1" l="1"/>
  <c r="D17" i="73"/>
  <c r="C17" i="73"/>
  <c r="B17" i="73"/>
  <c r="B11" i="73"/>
  <c r="C11" i="73"/>
  <c r="D11" i="73"/>
  <c r="E243" i="28" l="1"/>
  <c r="L243" i="28" s="1"/>
  <c r="B20" i="71" s="1"/>
  <c r="C243" i="28"/>
  <c r="A243" i="28"/>
  <c r="B2" i="71"/>
  <c r="W243" i="28" l="1"/>
  <c r="L253" i="28"/>
  <c r="D43" i="80" s="1"/>
  <c r="C253" i="28"/>
  <c r="A253" i="28"/>
  <c r="F43" i="80" l="1"/>
  <c r="W253" i="28"/>
  <c r="G222" i="1"/>
  <c r="C258" i="28"/>
  <c r="C257" i="28"/>
  <c r="C256" i="28"/>
  <c r="C255" i="28"/>
  <c r="C260" i="28"/>
  <c r="C259" i="28"/>
  <c r="C254" i="28"/>
  <c r="C251" i="28"/>
  <c r="C250" i="28"/>
  <c r="C249" i="28"/>
  <c r="C248" i="28"/>
  <c r="L244" i="28" l="1"/>
  <c r="H244" i="28"/>
  <c r="A244" i="28"/>
  <c r="C244" i="28"/>
  <c r="H229" i="28"/>
  <c r="A229" i="28"/>
  <c r="B229" i="28"/>
  <c r="C229" i="28"/>
  <c r="E229" i="28"/>
  <c r="L229" i="28" s="1"/>
  <c r="F19" i="71" s="1"/>
  <c r="H191" i="28"/>
  <c r="H192" i="28"/>
  <c r="H193" i="28"/>
  <c r="E191" i="28"/>
  <c r="L191" i="28" s="1"/>
  <c r="E192" i="28"/>
  <c r="L192" i="28" s="1"/>
  <c r="E193" i="28"/>
  <c r="L193" i="28" s="1"/>
  <c r="B191" i="28"/>
  <c r="C191" i="28"/>
  <c r="B192" i="28"/>
  <c r="C192" i="28"/>
  <c r="B193" i="28"/>
  <c r="C193" i="28"/>
  <c r="A191" i="28"/>
  <c r="A192" i="28"/>
  <c r="A193" i="28"/>
  <c r="H160" i="28"/>
  <c r="E161" i="28"/>
  <c r="L161" i="28" s="1"/>
  <c r="A161" i="28"/>
  <c r="B161" i="28"/>
  <c r="C161" i="28"/>
  <c r="E68" i="28"/>
  <c r="L68" i="28" s="1"/>
  <c r="E67" i="28"/>
  <c r="L67" i="28" s="1"/>
  <c r="C68" i="28"/>
  <c r="C67" i="28"/>
  <c r="B68" i="28"/>
  <c r="B67" i="28"/>
  <c r="A68" i="28"/>
  <c r="A67" i="28"/>
  <c r="L247" i="28"/>
  <c r="L47" i="80" s="1"/>
  <c r="L246" i="28"/>
  <c r="E254" i="28"/>
  <c r="C247" i="28"/>
  <c r="C246" i="28"/>
  <c r="A258" i="28"/>
  <c r="A257" i="28"/>
  <c r="A256" i="28"/>
  <c r="A255" i="28"/>
  <c r="A260" i="28"/>
  <c r="A259" i="28"/>
  <c r="A254" i="28"/>
  <c r="A251" i="28"/>
  <c r="A250" i="28"/>
  <c r="A249" i="28"/>
  <c r="A248" i="28"/>
  <c r="A247" i="28"/>
  <c r="A246" i="28"/>
  <c r="D33" i="80" l="1"/>
  <c r="F33" i="80" s="1"/>
  <c r="D45" i="80"/>
  <c r="F45" i="80" s="1"/>
  <c r="D31" i="80"/>
  <c r="F31" i="80" s="1"/>
  <c r="W246" i="28"/>
  <c r="W260" i="28"/>
  <c r="W192" i="28"/>
  <c r="W247" i="28"/>
  <c r="W255" i="28"/>
  <c r="W191" i="28"/>
  <c r="W248" i="28"/>
  <c r="W249" i="28"/>
  <c r="W257" i="28"/>
  <c r="W254" i="28"/>
  <c r="W250" i="28"/>
  <c r="W258" i="28"/>
  <c r="W161" i="28"/>
  <c r="W244" i="28"/>
  <c r="W259" i="28"/>
  <c r="W193" i="28"/>
  <c r="W256" i="28"/>
  <c r="W251" i="28"/>
  <c r="L254" i="28"/>
  <c r="D51" i="80" s="1"/>
  <c r="F51" i="80" s="1"/>
  <c r="L259" i="28"/>
  <c r="L258" i="28"/>
  <c r="D29" i="80" s="1"/>
  <c r="F29" i="80" s="1"/>
  <c r="L260" i="28"/>
  <c r="L248" i="28"/>
  <c r="M47" i="80" s="1"/>
  <c r="L249" i="28"/>
  <c r="N47" i="80" s="1"/>
  <c r="L250" i="28"/>
  <c r="L256" i="28"/>
  <c r="D35" i="80" s="1"/>
  <c r="L251" i="28"/>
  <c r="L257" i="28"/>
  <c r="D47" i="80" l="1"/>
  <c r="D41" i="80"/>
  <c r="F41" i="80" s="1"/>
  <c r="F35" i="80"/>
  <c r="F305" i="42"/>
  <c r="G305" i="42"/>
  <c r="H305" i="42"/>
  <c r="I305" i="42"/>
  <c r="J305" i="42"/>
  <c r="K305" i="42"/>
  <c r="L305" i="42"/>
  <c r="M305" i="42"/>
  <c r="N305" i="42"/>
  <c r="O305" i="42"/>
  <c r="P305" i="42"/>
  <c r="Q305" i="42"/>
  <c r="R305" i="42"/>
  <c r="S305" i="42"/>
  <c r="T305" i="42"/>
  <c r="U305" i="42"/>
  <c r="V305" i="42"/>
  <c r="W305" i="42"/>
  <c r="X305" i="42"/>
  <c r="Y305" i="42"/>
  <c r="Z305" i="42"/>
  <c r="AA305" i="42"/>
  <c r="AB305" i="42"/>
  <c r="AC305" i="42"/>
  <c r="AD305" i="42"/>
  <c r="AE305" i="42"/>
  <c r="AF305" i="42"/>
  <c r="AG305" i="42"/>
  <c r="AH305" i="42"/>
  <c r="AI305" i="42"/>
  <c r="AJ305" i="42"/>
  <c r="AK305" i="42"/>
  <c r="AL305" i="42"/>
  <c r="AM305" i="42"/>
  <c r="AN305" i="42"/>
  <c r="AO305" i="42"/>
  <c r="AP305" i="42"/>
  <c r="AQ305" i="42"/>
  <c r="AR305" i="42"/>
  <c r="AS305" i="42"/>
  <c r="AT305" i="42"/>
  <c r="AU305" i="42"/>
  <c r="AV305" i="42"/>
  <c r="AW305" i="42"/>
  <c r="AX305" i="42"/>
  <c r="AY305" i="42"/>
  <c r="AZ305" i="42"/>
  <c r="BA305" i="42"/>
  <c r="BB305" i="42"/>
  <c r="BC305" i="42"/>
  <c r="BD305" i="42"/>
  <c r="BE305" i="42"/>
  <c r="BF305" i="42"/>
  <c r="BG305" i="42"/>
  <c r="BH305" i="42"/>
  <c r="BI305" i="42"/>
  <c r="BJ305" i="42"/>
  <c r="BK305" i="42"/>
  <c r="BL305" i="42"/>
  <c r="BM305" i="42"/>
  <c r="BN305" i="42"/>
  <c r="BO305" i="42"/>
  <c r="BP305" i="42"/>
  <c r="BQ305" i="42"/>
  <c r="BR305" i="42"/>
  <c r="BS305" i="42"/>
  <c r="E305" i="42"/>
  <c r="F303" i="42"/>
  <c r="G303" i="42"/>
  <c r="H303" i="42"/>
  <c r="I303" i="42"/>
  <c r="J303" i="42"/>
  <c r="K303" i="42"/>
  <c r="L303" i="42"/>
  <c r="M303" i="42"/>
  <c r="N303" i="42"/>
  <c r="O303" i="42"/>
  <c r="P303" i="42"/>
  <c r="Q303" i="42"/>
  <c r="R303" i="42"/>
  <c r="S303" i="42"/>
  <c r="T303" i="42"/>
  <c r="U303" i="42"/>
  <c r="V303" i="42"/>
  <c r="W303" i="42"/>
  <c r="X303" i="42"/>
  <c r="Y303" i="42"/>
  <c r="Z303" i="42"/>
  <c r="AA303" i="42"/>
  <c r="AB303" i="42"/>
  <c r="AC303" i="42"/>
  <c r="AD303" i="42"/>
  <c r="AE303" i="42"/>
  <c r="AF303" i="42"/>
  <c r="AG303" i="42"/>
  <c r="AH303" i="42"/>
  <c r="AI303" i="42"/>
  <c r="AJ303" i="42"/>
  <c r="AK303" i="42"/>
  <c r="AL303" i="42"/>
  <c r="AM303" i="42"/>
  <c r="AN303" i="42"/>
  <c r="AO303" i="42"/>
  <c r="AP303" i="42"/>
  <c r="AQ303" i="42"/>
  <c r="AR303" i="42"/>
  <c r="AS303" i="42"/>
  <c r="AT303" i="42"/>
  <c r="AU303" i="42"/>
  <c r="AV303" i="42"/>
  <c r="AW303" i="42"/>
  <c r="AX303" i="42"/>
  <c r="AY303" i="42"/>
  <c r="AZ303" i="42"/>
  <c r="BA303" i="42"/>
  <c r="BB303" i="42"/>
  <c r="BC303" i="42"/>
  <c r="BD303" i="42"/>
  <c r="BE303" i="42"/>
  <c r="BF303" i="42"/>
  <c r="BG303" i="42"/>
  <c r="BH303" i="42"/>
  <c r="BI303" i="42"/>
  <c r="BJ303" i="42"/>
  <c r="BK303" i="42"/>
  <c r="BL303" i="42"/>
  <c r="BM303" i="42"/>
  <c r="BN303" i="42"/>
  <c r="BO303" i="42"/>
  <c r="BP303" i="42"/>
  <c r="BQ303" i="42"/>
  <c r="BR303" i="42"/>
  <c r="BS303" i="42"/>
  <c r="E303" i="42"/>
  <c r="F302" i="42" l="1"/>
  <c r="G302" i="42"/>
  <c r="H302" i="42"/>
  <c r="I302" i="42"/>
  <c r="J302" i="42"/>
  <c r="K302" i="42"/>
  <c r="L302" i="42"/>
  <c r="M302" i="42"/>
  <c r="N302" i="42"/>
  <c r="O302" i="42"/>
  <c r="P302" i="42"/>
  <c r="Q302" i="42"/>
  <c r="R302" i="42"/>
  <c r="S302" i="42"/>
  <c r="T302" i="42"/>
  <c r="U302" i="42"/>
  <c r="V302" i="42"/>
  <c r="W302" i="42"/>
  <c r="X302" i="42"/>
  <c r="Y302" i="42"/>
  <c r="Z302" i="42"/>
  <c r="AA302" i="42"/>
  <c r="AB302" i="42"/>
  <c r="AC302" i="42"/>
  <c r="AD302" i="42"/>
  <c r="AE302" i="42"/>
  <c r="AF302" i="42"/>
  <c r="AG302" i="42"/>
  <c r="AH302" i="42"/>
  <c r="AI302" i="42"/>
  <c r="AJ302" i="42"/>
  <c r="AK302" i="42"/>
  <c r="AL302" i="42"/>
  <c r="AM302" i="42"/>
  <c r="AN302" i="42"/>
  <c r="AO302" i="42"/>
  <c r="AP302" i="42"/>
  <c r="AQ302" i="42"/>
  <c r="AR302" i="42"/>
  <c r="AS302" i="42"/>
  <c r="AT302" i="42"/>
  <c r="AU302" i="42"/>
  <c r="AV302" i="42"/>
  <c r="AW302" i="42"/>
  <c r="AX302" i="42"/>
  <c r="AY302" i="42"/>
  <c r="AZ302" i="42"/>
  <c r="BA302" i="42"/>
  <c r="BB302" i="42"/>
  <c r="BC302" i="42"/>
  <c r="BD302" i="42"/>
  <c r="BE302" i="42"/>
  <c r="BF302" i="42"/>
  <c r="BG302" i="42"/>
  <c r="BH302" i="42"/>
  <c r="BI302" i="42"/>
  <c r="BJ302" i="42"/>
  <c r="BK302" i="42"/>
  <c r="BL302" i="42"/>
  <c r="BM302" i="42"/>
  <c r="BN302" i="42"/>
  <c r="BO302" i="42"/>
  <c r="BP302" i="42"/>
  <c r="BQ302" i="42"/>
  <c r="BR302" i="42"/>
  <c r="BS302" i="42"/>
  <c r="E302" i="42"/>
  <c r="AX300" i="42"/>
  <c r="F300" i="42"/>
  <c r="G300" i="42"/>
  <c r="H300" i="42"/>
  <c r="I300" i="42"/>
  <c r="J300" i="42"/>
  <c r="K300" i="42"/>
  <c r="L300" i="42"/>
  <c r="M300" i="42"/>
  <c r="N300" i="42"/>
  <c r="O300" i="42"/>
  <c r="P300" i="42"/>
  <c r="Q300" i="42"/>
  <c r="R300" i="42"/>
  <c r="S300" i="42"/>
  <c r="T300" i="42"/>
  <c r="U300" i="42"/>
  <c r="V300" i="42"/>
  <c r="W300" i="42"/>
  <c r="X300" i="42"/>
  <c r="Y300" i="42"/>
  <c r="Z300" i="42"/>
  <c r="AA300" i="42"/>
  <c r="AB300" i="42"/>
  <c r="AC300" i="42"/>
  <c r="AD300" i="42"/>
  <c r="AE300" i="42"/>
  <c r="AF300" i="42"/>
  <c r="AG300" i="42"/>
  <c r="AH300" i="42"/>
  <c r="AI300" i="42"/>
  <c r="AJ300" i="42"/>
  <c r="AK300" i="42"/>
  <c r="AL300" i="42"/>
  <c r="AM300" i="42"/>
  <c r="AN300" i="42"/>
  <c r="AO300" i="42"/>
  <c r="AP300" i="42"/>
  <c r="AQ300" i="42"/>
  <c r="AR300" i="42"/>
  <c r="AS300" i="42"/>
  <c r="AT300" i="42"/>
  <c r="AU300" i="42"/>
  <c r="AV300" i="42"/>
  <c r="AW300" i="42"/>
  <c r="AY300" i="42"/>
  <c r="AZ300" i="42"/>
  <c r="BA300" i="42"/>
  <c r="BB300" i="42"/>
  <c r="BC300" i="42"/>
  <c r="BD300" i="42"/>
  <c r="BE300" i="42"/>
  <c r="BF300" i="42"/>
  <c r="BG300" i="42"/>
  <c r="BH300" i="42"/>
  <c r="BI300" i="42"/>
  <c r="BJ300" i="42"/>
  <c r="BK300" i="42"/>
  <c r="BL300" i="42"/>
  <c r="BM300" i="42"/>
  <c r="BN300" i="42"/>
  <c r="BO300" i="42"/>
  <c r="BP300" i="42"/>
  <c r="BQ300" i="42"/>
  <c r="BR300" i="42"/>
  <c r="BS300" i="42"/>
  <c r="E300" i="42"/>
  <c r="B2" i="73" l="1"/>
  <c r="C9" i="73" s="1"/>
  <c r="C8" i="73" l="1"/>
  <c r="C6" i="73"/>
  <c r="L14" i="73"/>
  <c r="L13" i="73"/>
  <c r="L20" i="73"/>
  <c r="L19" i="73"/>
  <c r="L18" i="73"/>
  <c r="L12" i="73"/>
  <c r="H28" i="53"/>
  <c r="E27" i="53"/>
  <c r="G11" i="53"/>
  <c r="G88" i="53" s="1"/>
  <c r="G89" i="53" l="1"/>
  <c r="E286" i="28" l="1"/>
  <c r="L286" i="28" s="1"/>
  <c r="Q286" i="28" s="1"/>
  <c r="L287" i="28"/>
  <c r="Q287" i="28" s="1"/>
  <c r="E288" i="28"/>
  <c r="L288" i="28" s="1"/>
  <c r="Q288" i="28" s="1"/>
  <c r="E289" i="28"/>
  <c r="L289" i="28" s="1"/>
  <c r="Q289" i="28" s="1"/>
  <c r="E285" i="28"/>
  <c r="L285" i="28" s="1"/>
  <c r="Q285" i="28" s="1"/>
  <c r="A286" i="28"/>
  <c r="A287" i="28"/>
  <c r="A288" i="28"/>
  <c r="A289" i="28"/>
  <c r="A285" i="28"/>
  <c r="G310" i="1"/>
  <c r="F283" i="28" s="1"/>
  <c r="G311" i="1"/>
  <c r="F284" i="28" s="1"/>
  <c r="F281" i="28"/>
  <c r="G309" i="1"/>
  <c r="F282" i="28" s="1"/>
  <c r="G305" i="1"/>
  <c r="F278" i="28" s="1"/>
  <c r="G306" i="1"/>
  <c r="F279" i="28" s="1"/>
  <c r="G307" i="1"/>
  <c r="F280" i="28" s="1"/>
  <c r="G304" i="1"/>
  <c r="F277" i="28" s="1"/>
  <c r="C286" i="28" l="1"/>
  <c r="C287" i="28"/>
  <c r="C288" i="28"/>
  <c r="C289" i="28"/>
  <c r="C285" i="28"/>
  <c r="G263" i="1" l="1"/>
  <c r="G157" i="1"/>
  <c r="G19" i="1"/>
  <c r="F289" i="28"/>
  <c r="F288" i="28"/>
  <c r="F287" i="28"/>
  <c r="F286" i="28"/>
  <c r="F285" i="28"/>
  <c r="G147" i="1" l="1"/>
  <c r="G166" i="1" l="1"/>
  <c r="G165" i="1"/>
  <c r="G164" i="1"/>
  <c r="G163" i="1"/>
  <c r="G162" i="1"/>
  <c r="G161" i="1"/>
  <c r="G155" i="1"/>
  <c r="G146" i="1"/>
  <c r="G145" i="1"/>
  <c r="G144" i="1"/>
  <c r="G143" i="1"/>
  <c r="G142" i="1"/>
  <c r="G141" i="1"/>
  <c r="Y276" i="28" l="1"/>
  <c r="D3" i="1" l="1"/>
  <c r="B5" i="80" l="1"/>
  <c r="L4" i="28"/>
  <c r="L16" i="80"/>
  <c r="M13" i="80"/>
  <c r="M20" i="80"/>
  <c r="L24" i="80"/>
  <c r="L20" i="80"/>
  <c r="L14" i="80"/>
  <c r="D39" i="80"/>
  <c r="L23" i="80"/>
  <c r="L13" i="80"/>
  <c r="L17" i="80"/>
  <c r="L21" i="80"/>
  <c r="B3" i="71"/>
  <c r="B13" i="71"/>
  <c r="B3" i="73"/>
  <c r="Y266" i="28"/>
  <c r="B9" i="73" l="1"/>
  <c r="H39" i="80"/>
  <c r="F39" i="80"/>
  <c r="B24" i="80"/>
  <c r="B23" i="80"/>
  <c r="C23" i="80"/>
  <c r="C24" i="80"/>
  <c r="C16" i="80"/>
  <c r="C17" i="80"/>
  <c r="B16" i="80"/>
  <c r="B17" i="80"/>
  <c r="L11" i="73"/>
  <c r="L17" i="73"/>
  <c r="B8" i="73"/>
  <c r="B6" i="73"/>
  <c r="K18" i="73"/>
  <c r="K17" i="73"/>
  <c r="K14" i="73"/>
  <c r="K20" i="73"/>
  <c r="K12" i="73"/>
  <c r="K11" i="73"/>
  <c r="K19" i="73"/>
  <c r="K13" i="73"/>
  <c r="M17" i="73"/>
  <c r="M11" i="73"/>
  <c r="Y268" i="28"/>
  <c r="Y267" i="28"/>
  <c r="B18" i="73" l="1"/>
  <c r="B20" i="73"/>
  <c r="B19" i="73"/>
  <c r="B12" i="73"/>
  <c r="B14" i="73"/>
  <c r="B13" i="73"/>
  <c r="C20" i="73"/>
  <c r="C19" i="73"/>
  <c r="C18" i="73"/>
  <c r="C12" i="73"/>
  <c r="C14" i="73"/>
  <c r="C13" i="73"/>
  <c r="N236" i="28" l="1"/>
  <c r="X276" i="28"/>
  <c r="W124" i="28"/>
  <c r="W125" i="28"/>
  <c r="W126" i="28"/>
  <c r="W127" i="28"/>
  <c r="W128" i="28"/>
  <c r="W129" i="28"/>
  <c r="W221" i="28"/>
  <c r="W266" i="28"/>
  <c r="W267" i="28"/>
  <c r="W268" i="28"/>
  <c r="W276" i="28"/>
  <c r="W291" i="28"/>
  <c r="W4" i="28"/>
  <c r="E232" i="28"/>
  <c r="L232" i="28" s="1"/>
  <c r="BS298" i="42" l="1"/>
  <c r="BS299" i="42" s="1"/>
  <c r="BR298" i="42"/>
  <c r="BR299" i="42" s="1"/>
  <c r="BQ298" i="42"/>
  <c r="BQ299" i="42" s="1"/>
  <c r="BP298" i="42"/>
  <c r="BP299" i="42" s="1"/>
  <c r="BO298" i="42"/>
  <c r="BO299" i="42" s="1"/>
  <c r="BN298" i="42"/>
  <c r="BN299" i="42" s="1"/>
  <c r="BM298" i="42"/>
  <c r="BM299" i="42" s="1"/>
  <c r="BL298" i="42"/>
  <c r="BL299" i="42" s="1"/>
  <c r="BK298" i="42"/>
  <c r="BK299" i="42" s="1"/>
  <c r="BJ298" i="42"/>
  <c r="BJ299" i="42" s="1"/>
  <c r="BI298" i="42"/>
  <c r="BI299" i="42" s="1"/>
  <c r="BH298" i="42"/>
  <c r="BH299" i="42" s="1"/>
  <c r="BG298" i="42"/>
  <c r="BG299" i="42" s="1"/>
  <c r="BF298" i="42"/>
  <c r="BF299" i="42" s="1"/>
  <c r="BE298" i="42"/>
  <c r="BE299" i="42" s="1"/>
  <c r="BD298" i="42"/>
  <c r="BD299" i="42" s="1"/>
  <c r="BC298" i="42"/>
  <c r="BC299" i="42" s="1"/>
  <c r="BB298" i="42"/>
  <c r="BB299" i="42" s="1"/>
  <c r="BA298" i="42"/>
  <c r="BA299" i="42" s="1"/>
  <c r="AZ298" i="42"/>
  <c r="AZ299" i="42" s="1"/>
  <c r="AY298" i="42"/>
  <c r="AY299" i="42" s="1"/>
  <c r="AX298" i="42"/>
  <c r="AX299" i="42" s="1"/>
  <c r="AW298" i="42"/>
  <c r="AW299" i="42" s="1"/>
  <c r="AU298" i="42"/>
  <c r="AU299" i="42" s="1"/>
  <c r="AT298" i="42"/>
  <c r="AT299" i="42" s="1"/>
  <c r="AS298" i="42"/>
  <c r="AS299" i="42" s="1"/>
  <c r="AR298" i="42"/>
  <c r="AR299" i="42" s="1"/>
  <c r="AQ298" i="42"/>
  <c r="AQ299" i="42" s="1"/>
  <c r="AP298" i="42"/>
  <c r="AP299" i="42" s="1"/>
  <c r="AO298" i="42"/>
  <c r="AO299" i="42" s="1"/>
  <c r="AM298" i="42"/>
  <c r="AM299" i="42" s="1"/>
  <c r="AL298" i="42"/>
  <c r="AL299" i="42" s="1"/>
  <c r="AK298" i="42"/>
  <c r="AK299" i="42" s="1"/>
  <c r="AJ298" i="42"/>
  <c r="AJ299" i="42" s="1"/>
  <c r="AI298" i="42"/>
  <c r="AI299" i="42" s="1"/>
  <c r="AH298" i="42"/>
  <c r="AH299" i="42" s="1"/>
  <c r="AG298" i="42"/>
  <c r="AG299" i="42" s="1"/>
  <c r="AE298" i="42"/>
  <c r="AE299" i="42" s="1"/>
  <c r="AD298" i="42"/>
  <c r="AD299" i="42" s="1"/>
  <c r="AC298" i="42"/>
  <c r="AC299" i="42" s="1"/>
  <c r="AB298" i="42"/>
  <c r="AB299" i="42" s="1"/>
  <c r="AA298" i="42"/>
  <c r="AA299" i="42" s="1"/>
  <c r="Z298" i="42"/>
  <c r="Z299" i="42" s="1"/>
  <c r="Y298" i="42"/>
  <c r="Y299" i="42" s="1"/>
  <c r="W298" i="42"/>
  <c r="W299" i="42" s="1"/>
  <c r="V298" i="42"/>
  <c r="V299" i="42" s="1"/>
  <c r="U298" i="42"/>
  <c r="U299" i="42" s="1"/>
  <c r="T298" i="42"/>
  <c r="T299" i="42" s="1"/>
  <c r="S298" i="42"/>
  <c r="S299" i="42" s="1"/>
  <c r="R298" i="42"/>
  <c r="R299" i="42" s="1"/>
  <c r="Q298" i="42"/>
  <c r="Q299" i="42" s="1"/>
  <c r="O298" i="42"/>
  <c r="O299" i="42" s="1"/>
  <c r="N298" i="42"/>
  <c r="N299" i="42" s="1"/>
  <c r="M298" i="42"/>
  <c r="M299" i="42" s="1"/>
  <c r="L298" i="42"/>
  <c r="L299" i="42" s="1"/>
  <c r="K298" i="42"/>
  <c r="K299" i="42" s="1"/>
  <c r="J298" i="42"/>
  <c r="J299" i="42" s="1"/>
  <c r="I298" i="42"/>
  <c r="I299" i="42" s="1"/>
  <c r="G298" i="42"/>
  <c r="G299" i="42" s="1"/>
  <c r="F298" i="42"/>
  <c r="F299" i="42" s="1"/>
  <c r="H4" i="30"/>
  <c r="F4" i="30"/>
  <c r="B4" i="30"/>
  <c r="F295" i="28"/>
  <c r="E295" i="28"/>
  <c r="C295" i="28"/>
  <c r="B295" i="28"/>
  <c r="A295" i="28"/>
  <c r="E284" i="28"/>
  <c r="C284" i="28"/>
  <c r="A284" i="28"/>
  <c r="E283" i="28"/>
  <c r="C283" i="28"/>
  <c r="A283" i="28"/>
  <c r="E282" i="28"/>
  <c r="C282" i="28"/>
  <c r="A282" i="28"/>
  <c r="A281" i="28"/>
  <c r="E280" i="28"/>
  <c r="C280" i="28"/>
  <c r="A280" i="28"/>
  <c r="E279" i="28"/>
  <c r="C279" i="28"/>
  <c r="A279" i="28"/>
  <c r="C278" i="28"/>
  <c r="A278" i="28"/>
  <c r="E277" i="28"/>
  <c r="L277" i="28" s="1"/>
  <c r="Q277" i="28" s="1"/>
  <c r="C277" i="28"/>
  <c r="A277" i="28"/>
  <c r="H245" i="28"/>
  <c r="E245" i="28"/>
  <c r="L245" i="28" s="1"/>
  <c r="C245" i="28"/>
  <c r="A245" i="28"/>
  <c r="E242" i="28"/>
  <c r="L242" i="28" s="1"/>
  <c r="C242" i="28"/>
  <c r="A242" i="28"/>
  <c r="H241" i="28"/>
  <c r="E241" i="28"/>
  <c r="L241" i="28" s="1"/>
  <c r="C241" i="28"/>
  <c r="B241" i="28"/>
  <c r="A241" i="28"/>
  <c r="H240" i="28"/>
  <c r="E240" i="28"/>
  <c r="L240" i="28" s="1"/>
  <c r="C240" i="28"/>
  <c r="B240" i="28"/>
  <c r="A240" i="28"/>
  <c r="E239" i="28"/>
  <c r="L239" i="28" s="1"/>
  <c r="C239" i="28"/>
  <c r="B239" i="28"/>
  <c r="A239" i="28"/>
  <c r="E238" i="28"/>
  <c r="L238" i="28" s="1"/>
  <c r="C238" i="28"/>
  <c r="B238" i="28"/>
  <c r="A238" i="28"/>
  <c r="E237" i="28"/>
  <c r="L237" i="28" s="1"/>
  <c r="C237" i="28"/>
  <c r="B237" i="28"/>
  <c r="A237" i="28"/>
  <c r="E236" i="28"/>
  <c r="L236" i="28" s="1"/>
  <c r="C236" i="28"/>
  <c r="B236" i="28"/>
  <c r="A236" i="28"/>
  <c r="E235" i="28"/>
  <c r="L235" i="28" s="1"/>
  <c r="C235" i="28"/>
  <c r="B235" i="28"/>
  <c r="A235" i="28"/>
  <c r="E234" i="28"/>
  <c r="L234" i="28" s="1"/>
  <c r="C234" i="28"/>
  <c r="B234" i="28"/>
  <c r="A234" i="28"/>
  <c r="E233" i="28"/>
  <c r="L233" i="28" s="1"/>
  <c r="C233" i="28"/>
  <c r="B233" i="28"/>
  <c r="A233" i="28"/>
  <c r="H232" i="28"/>
  <c r="C232" i="28"/>
  <c r="B232" i="28"/>
  <c r="A232" i="28"/>
  <c r="H231" i="28"/>
  <c r="E231" i="28"/>
  <c r="C231" i="28"/>
  <c r="B231" i="28"/>
  <c r="A231" i="28"/>
  <c r="H230" i="28"/>
  <c r="E230" i="28"/>
  <c r="L230" i="28" s="1"/>
  <c r="C230" i="28"/>
  <c r="B230" i="28"/>
  <c r="A230" i="28"/>
  <c r="H228" i="28"/>
  <c r="E228" i="28"/>
  <c r="L228" i="28" s="1"/>
  <c r="C228" i="28"/>
  <c r="B228" i="28"/>
  <c r="A228" i="28"/>
  <c r="H227" i="28"/>
  <c r="E227" i="28"/>
  <c r="L227" i="28" s="1"/>
  <c r="C227" i="28"/>
  <c r="B227" i="28"/>
  <c r="A227" i="28"/>
  <c r="H226" i="28"/>
  <c r="E226" i="28"/>
  <c r="L226" i="28" s="1"/>
  <c r="C226" i="28"/>
  <c r="B226" i="28"/>
  <c r="A226" i="28"/>
  <c r="E225" i="28"/>
  <c r="L225" i="28" s="1"/>
  <c r="C225" i="28"/>
  <c r="B225" i="28"/>
  <c r="A225" i="28"/>
  <c r="H224" i="28"/>
  <c r="E224" i="28"/>
  <c r="L224" i="28" s="1"/>
  <c r="C224" i="28"/>
  <c r="B224" i="28"/>
  <c r="A224" i="28"/>
  <c r="H223" i="28"/>
  <c r="E223" i="28"/>
  <c r="L223" i="28" s="1"/>
  <c r="C223" i="28"/>
  <c r="B223" i="28"/>
  <c r="A223" i="28"/>
  <c r="H222" i="28"/>
  <c r="E222" i="28"/>
  <c r="L222" i="28" s="1"/>
  <c r="C222" i="28"/>
  <c r="B222" i="28"/>
  <c r="A222" i="28"/>
  <c r="E221" i="28"/>
  <c r="L221" i="28" s="1"/>
  <c r="C221" i="28"/>
  <c r="E220" i="28"/>
  <c r="L220" i="28" s="1"/>
  <c r="C220" i="28"/>
  <c r="B220" i="28"/>
  <c r="A220" i="28"/>
  <c r="H219" i="28"/>
  <c r="E219" i="28"/>
  <c r="L219" i="28" s="1"/>
  <c r="C219" i="28"/>
  <c r="B219" i="28"/>
  <c r="A219" i="28"/>
  <c r="H218" i="28"/>
  <c r="E218" i="28"/>
  <c r="L218" i="28" s="1"/>
  <c r="C218" i="28"/>
  <c r="B218" i="28"/>
  <c r="A218" i="28"/>
  <c r="H217" i="28"/>
  <c r="E217" i="28"/>
  <c r="L217" i="28" s="1"/>
  <c r="C217" i="28"/>
  <c r="B217" i="28"/>
  <c r="A217" i="28"/>
  <c r="E216" i="28"/>
  <c r="L216" i="28" s="1"/>
  <c r="C216" i="28"/>
  <c r="B216" i="28"/>
  <c r="A216" i="28"/>
  <c r="E215" i="28"/>
  <c r="L215" i="28" s="1"/>
  <c r="C215" i="28"/>
  <c r="B215" i="28"/>
  <c r="A215" i="28"/>
  <c r="H214" i="28"/>
  <c r="E214" i="28"/>
  <c r="L214" i="28" s="1"/>
  <c r="C214" i="28"/>
  <c r="B214" i="28"/>
  <c r="A214" i="28"/>
  <c r="H213" i="28"/>
  <c r="E213" i="28"/>
  <c r="L213" i="28" s="1"/>
  <c r="C213" i="28"/>
  <c r="B213" i="28"/>
  <c r="A213" i="28"/>
  <c r="H212" i="28"/>
  <c r="E212" i="28"/>
  <c r="L212" i="28" s="1"/>
  <c r="C212" i="28"/>
  <c r="B212" i="28"/>
  <c r="A212" i="28"/>
  <c r="H211" i="28"/>
  <c r="E211" i="28"/>
  <c r="L211" i="28" s="1"/>
  <c r="C211" i="28"/>
  <c r="B211" i="28"/>
  <c r="A211" i="28"/>
  <c r="H210" i="28"/>
  <c r="E210" i="28"/>
  <c r="L210" i="28" s="1"/>
  <c r="C210" i="28"/>
  <c r="B210" i="28"/>
  <c r="A210" i="28"/>
  <c r="H209" i="28"/>
  <c r="E209" i="28"/>
  <c r="L209" i="28" s="1"/>
  <c r="C209" i="28"/>
  <c r="B209" i="28"/>
  <c r="A209" i="28"/>
  <c r="H208" i="28"/>
  <c r="E208" i="28"/>
  <c r="L208" i="28" s="1"/>
  <c r="C208" i="28"/>
  <c r="B208" i="28"/>
  <c r="A208" i="28"/>
  <c r="H207" i="28"/>
  <c r="E207" i="28"/>
  <c r="L207" i="28" s="1"/>
  <c r="C207" i="28"/>
  <c r="B207" i="28"/>
  <c r="A207" i="28"/>
  <c r="H206" i="28"/>
  <c r="E206" i="28"/>
  <c r="L206" i="28" s="1"/>
  <c r="C206" i="28"/>
  <c r="B206" i="28"/>
  <c r="A206" i="28"/>
  <c r="H205" i="28"/>
  <c r="E205" i="28"/>
  <c r="L205" i="28" s="1"/>
  <c r="C205" i="28"/>
  <c r="B205" i="28"/>
  <c r="A205" i="28"/>
  <c r="H204" i="28"/>
  <c r="E204" i="28"/>
  <c r="L204" i="28" s="1"/>
  <c r="C204" i="28"/>
  <c r="B204" i="28"/>
  <c r="A204" i="28"/>
  <c r="H203" i="28"/>
  <c r="E203" i="28"/>
  <c r="L203" i="28" s="1"/>
  <c r="C203" i="28"/>
  <c r="B203" i="28"/>
  <c r="A203" i="28"/>
  <c r="H202" i="28"/>
  <c r="E202" i="28"/>
  <c r="L202" i="28" s="1"/>
  <c r="C202" i="28"/>
  <c r="B202" i="28"/>
  <c r="A202" i="28"/>
  <c r="H201" i="28"/>
  <c r="E201" i="28"/>
  <c r="L201" i="28" s="1"/>
  <c r="C201" i="28"/>
  <c r="B201" i="28"/>
  <c r="A201" i="28"/>
  <c r="H200" i="28"/>
  <c r="E200" i="28"/>
  <c r="L200" i="28" s="1"/>
  <c r="C200" i="28"/>
  <c r="B200" i="28"/>
  <c r="A200" i="28"/>
  <c r="H199" i="28"/>
  <c r="E199" i="28"/>
  <c r="L199" i="28" s="1"/>
  <c r="C199" i="28"/>
  <c r="B199" i="28"/>
  <c r="A199" i="28"/>
  <c r="H198" i="28"/>
  <c r="E198" i="28"/>
  <c r="L198" i="28" s="1"/>
  <c r="C198" i="28"/>
  <c r="B198" i="28"/>
  <c r="A198" i="28"/>
  <c r="H197" i="28"/>
  <c r="E197" i="28"/>
  <c r="L197" i="28" s="1"/>
  <c r="C197" i="28"/>
  <c r="B197" i="28"/>
  <c r="A197" i="28"/>
  <c r="H196" i="28"/>
  <c r="E196" i="28"/>
  <c r="L196" i="28" s="1"/>
  <c r="C196" i="28"/>
  <c r="B196" i="28"/>
  <c r="A196" i="28"/>
  <c r="H195" i="28"/>
  <c r="C195" i="28"/>
  <c r="B195" i="28"/>
  <c r="A195" i="28"/>
  <c r="H194" i="28"/>
  <c r="C194" i="28"/>
  <c r="B194" i="28"/>
  <c r="A194" i="28"/>
  <c r="H190" i="28"/>
  <c r="E190" i="28"/>
  <c r="L190" i="28" s="1"/>
  <c r="C190" i="28"/>
  <c r="B190" i="28"/>
  <c r="A190" i="28"/>
  <c r="H189" i="28"/>
  <c r="E189" i="28"/>
  <c r="L189" i="28" s="1"/>
  <c r="C189" i="28"/>
  <c r="B189" i="28"/>
  <c r="A189" i="28"/>
  <c r="H188" i="28"/>
  <c r="E188" i="28"/>
  <c r="L188" i="28" s="1"/>
  <c r="C188" i="28"/>
  <c r="B188" i="28"/>
  <c r="A188" i="28"/>
  <c r="E187" i="28"/>
  <c r="L187" i="28" s="1"/>
  <c r="C187" i="28"/>
  <c r="B187" i="28"/>
  <c r="A187" i="28"/>
  <c r="H186" i="28"/>
  <c r="E186" i="28"/>
  <c r="L186" i="28" s="1"/>
  <c r="C186" i="28"/>
  <c r="B186" i="28"/>
  <c r="A186" i="28"/>
  <c r="H185" i="28"/>
  <c r="E185" i="28"/>
  <c r="L185" i="28" s="1"/>
  <c r="C185" i="28"/>
  <c r="B185" i="28"/>
  <c r="A185" i="28"/>
  <c r="H184" i="28"/>
  <c r="E184" i="28"/>
  <c r="L184" i="28" s="1"/>
  <c r="C184" i="28"/>
  <c r="B184" i="28"/>
  <c r="A184" i="28"/>
  <c r="H183" i="28"/>
  <c r="E183" i="28"/>
  <c r="L183" i="28" s="1"/>
  <c r="C183" i="28"/>
  <c r="B183" i="28"/>
  <c r="A183" i="28"/>
  <c r="H182" i="28"/>
  <c r="E182" i="28"/>
  <c r="L182" i="28" s="1"/>
  <c r="C182" i="28"/>
  <c r="B182" i="28"/>
  <c r="A182" i="28"/>
  <c r="H181" i="28"/>
  <c r="E181" i="28"/>
  <c r="L181" i="28" s="1"/>
  <c r="C181" i="28"/>
  <c r="B181" i="28"/>
  <c r="A181" i="28"/>
  <c r="H180" i="28"/>
  <c r="E180" i="28"/>
  <c r="L180" i="28" s="1"/>
  <c r="C180" i="28"/>
  <c r="B180" i="28"/>
  <c r="A180" i="28"/>
  <c r="H179" i="28"/>
  <c r="E179" i="28"/>
  <c r="L179" i="28" s="1"/>
  <c r="C179" i="28"/>
  <c r="B179" i="28"/>
  <c r="A179" i="28"/>
  <c r="H178" i="28"/>
  <c r="E178" i="28"/>
  <c r="L178" i="28" s="1"/>
  <c r="C178" i="28"/>
  <c r="B178" i="28"/>
  <c r="A178" i="28"/>
  <c r="H177" i="28"/>
  <c r="E177" i="28"/>
  <c r="L177" i="28" s="1"/>
  <c r="F14" i="71" s="1"/>
  <c r="C177" i="28"/>
  <c r="B177" i="28"/>
  <c r="A177" i="28"/>
  <c r="H176" i="28"/>
  <c r="E176" i="28"/>
  <c r="L176" i="28" s="1"/>
  <c r="C176" i="28"/>
  <c r="B176" i="28"/>
  <c r="A176" i="28"/>
  <c r="H175" i="28"/>
  <c r="E175" i="28"/>
  <c r="L175" i="28" s="1"/>
  <c r="C175" i="28"/>
  <c r="B175" i="28"/>
  <c r="A175" i="28"/>
  <c r="H174" i="28"/>
  <c r="E174" i="28"/>
  <c r="L174" i="28" s="1"/>
  <c r="C174" i="28"/>
  <c r="B174" i="28"/>
  <c r="A174" i="28"/>
  <c r="H173" i="28"/>
  <c r="E173" i="28"/>
  <c r="L173" i="28" s="1"/>
  <c r="C173" i="28"/>
  <c r="B173" i="28"/>
  <c r="A173" i="28"/>
  <c r="H172" i="28"/>
  <c r="E172" i="28"/>
  <c r="L172" i="28" s="1"/>
  <c r="C172" i="28"/>
  <c r="B172" i="28"/>
  <c r="A172" i="28"/>
  <c r="H171" i="28"/>
  <c r="E171" i="28"/>
  <c r="L171" i="28" s="1"/>
  <c r="C171" i="28"/>
  <c r="B171" i="28"/>
  <c r="A171" i="28"/>
  <c r="H170" i="28"/>
  <c r="E170" i="28"/>
  <c r="L170" i="28" s="1"/>
  <c r="C170" i="28"/>
  <c r="B170" i="28"/>
  <c r="A170" i="28"/>
  <c r="H169" i="28"/>
  <c r="E169" i="28"/>
  <c r="L169" i="28" s="1"/>
  <c r="C169" i="28"/>
  <c r="B169" i="28"/>
  <c r="A169" i="28"/>
  <c r="H168" i="28"/>
  <c r="E168" i="28"/>
  <c r="L168" i="28" s="1"/>
  <c r="C168" i="28"/>
  <c r="B168" i="28"/>
  <c r="A168" i="28"/>
  <c r="H167" i="28"/>
  <c r="E167" i="28"/>
  <c r="L167" i="28" s="1"/>
  <c r="C167" i="28"/>
  <c r="B167" i="28"/>
  <c r="A167" i="28"/>
  <c r="H166" i="28"/>
  <c r="E166" i="28"/>
  <c r="L166" i="28" s="1"/>
  <c r="C166" i="28"/>
  <c r="B166" i="28"/>
  <c r="A166" i="28"/>
  <c r="H165" i="28"/>
  <c r="E165" i="28"/>
  <c r="L165" i="28" s="1"/>
  <c r="C165" i="28"/>
  <c r="B165" i="28"/>
  <c r="A165" i="28"/>
  <c r="H164" i="28"/>
  <c r="E164" i="28"/>
  <c r="L164" i="28" s="1"/>
  <c r="C164" i="28"/>
  <c r="B164" i="28"/>
  <c r="A164" i="28"/>
  <c r="H163" i="28"/>
  <c r="E163" i="28"/>
  <c r="L163" i="28" s="1"/>
  <c r="C163" i="28"/>
  <c r="B163" i="28"/>
  <c r="A163" i="28"/>
  <c r="H162" i="28"/>
  <c r="E162" i="28"/>
  <c r="L162" i="28" s="1"/>
  <c r="C162" i="28"/>
  <c r="B162" i="28"/>
  <c r="A162" i="28"/>
  <c r="E160" i="28"/>
  <c r="L160" i="28" s="1"/>
  <c r="C160" i="28"/>
  <c r="B160" i="28"/>
  <c r="A160" i="28"/>
  <c r="H159" i="28"/>
  <c r="E159" i="28"/>
  <c r="L159" i="28" s="1"/>
  <c r="C159" i="28"/>
  <c r="B159" i="28"/>
  <c r="A159" i="28"/>
  <c r="H158" i="28"/>
  <c r="E158" i="28"/>
  <c r="L158" i="28" s="1"/>
  <c r="C158" i="28"/>
  <c r="B158" i="28"/>
  <c r="A158" i="28"/>
  <c r="H157" i="28"/>
  <c r="E157" i="28"/>
  <c r="L157" i="28" s="1"/>
  <c r="C157" i="28"/>
  <c r="B157" i="28"/>
  <c r="A157" i="28"/>
  <c r="H156" i="28"/>
  <c r="E156" i="28"/>
  <c r="L156" i="28" s="1"/>
  <c r="C156" i="28"/>
  <c r="B156" i="28"/>
  <c r="A156" i="28"/>
  <c r="H155" i="28"/>
  <c r="E155" i="28"/>
  <c r="L155" i="28" s="1"/>
  <c r="C155" i="28"/>
  <c r="B155" i="28"/>
  <c r="A155" i="28"/>
  <c r="H154" i="28"/>
  <c r="E154" i="28"/>
  <c r="L154" i="28" s="1"/>
  <c r="C154" i="28"/>
  <c r="B154" i="28"/>
  <c r="A154" i="28"/>
  <c r="H153" i="28"/>
  <c r="E153" i="28"/>
  <c r="L153" i="28" s="1"/>
  <c r="C153" i="28"/>
  <c r="B153" i="28"/>
  <c r="A153" i="28"/>
  <c r="H152" i="28"/>
  <c r="E152" i="28"/>
  <c r="L152" i="28" s="1"/>
  <c r="C152" i="28"/>
  <c r="B152" i="28"/>
  <c r="A152" i="28"/>
  <c r="H151" i="28"/>
  <c r="E151" i="28"/>
  <c r="L151" i="28" s="1"/>
  <c r="C151" i="28"/>
  <c r="B151" i="28"/>
  <c r="A151" i="28"/>
  <c r="H150" i="28"/>
  <c r="E150" i="28"/>
  <c r="L150" i="28" s="1"/>
  <c r="C150" i="28"/>
  <c r="B150" i="28"/>
  <c r="A150" i="28"/>
  <c r="H149" i="28"/>
  <c r="E149" i="28"/>
  <c r="L149" i="28" s="1"/>
  <c r="C149" i="28"/>
  <c r="B149" i="28"/>
  <c r="A149" i="28"/>
  <c r="H148" i="28"/>
  <c r="E148" i="28"/>
  <c r="L148" i="28" s="1"/>
  <c r="C148" i="28"/>
  <c r="B148" i="28"/>
  <c r="A148" i="28"/>
  <c r="H147" i="28"/>
  <c r="E147" i="28"/>
  <c r="L147" i="28" s="1"/>
  <c r="C147" i="28"/>
  <c r="B147" i="28"/>
  <c r="A147" i="28"/>
  <c r="H146" i="28"/>
  <c r="E146" i="28"/>
  <c r="L146" i="28" s="1"/>
  <c r="C146" i="28"/>
  <c r="B146" i="28"/>
  <c r="A146" i="28"/>
  <c r="H145" i="28"/>
  <c r="E145" i="28"/>
  <c r="L145" i="28" s="1"/>
  <c r="C145" i="28"/>
  <c r="B145" i="28"/>
  <c r="A145" i="28"/>
  <c r="H144" i="28"/>
  <c r="E144" i="28"/>
  <c r="L144" i="28" s="1"/>
  <c r="C144" i="28"/>
  <c r="B144" i="28"/>
  <c r="A144" i="28"/>
  <c r="H143" i="28"/>
  <c r="C143" i="28"/>
  <c r="B143" i="28"/>
  <c r="A143" i="28"/>
  <c r="H142" i="28"/>
  <c r="E142" i="28"/>
  <c r="L142" i="28" s="1"/>
  <c r="C142" i="28"/>
  <c r="B142" i="28"/>
  <c r="A142" i="28"/>
  <c r="H141" i="28"/>
  <c r="E141" i="28"/>
  <c r="L141" i="28" s="1"/>
  <c r="C141" i="28"/>
  <c r="B141" i="28"/>
  <c r="A141" i="28"/>
  <c r="H140" i="28"/>
  <c r="E140" i="28"/>
  <c r="L140" i="28" s="1"/>
  <c r="C140" i="28"/>
  <c r="B140" i="28"/>
  <c r="A140" i="28"/>
  <c r="E139" i="28"/>
  <c r="L139" i="28" s="1"/>
  <c r="C139" i="28"/>
  <c r="B139" i="28"/>
  <c r="A139" i="28"/>
  <c r="H138" i="28"/>
  <c r="E138" i="28"/>
  <c r="L138" i="28" s="1"/>
  <c r="C138" i="28"/>
  <c r="B138" i="28"/>
  <c r="A138" i="28"/>
  <c r="H137" i="28"/>
  <c r="E137" i="28"/>
  <c r="L137" i="28" s="1"/>
  <c r="C137" i="28"/>
  <c r="B137" i="28"/>
  <c r="A137" i="28"/>
  <c r="E136" i="28"/>
  <c r="L136" i="28" s="1"/>
  <c r="C136" i="28"/>
  <c r="B136" i="28"/>
  <c r="A136" i="28"/>
  <c r="H135" i="28"/>
  <c r="E135" i="28"/>
  <c r="L135" i="28" s="1"/>
  <c r="C135" i="28"/>
  <c r="B135" i="28"/>
  <c r="A135" i="28"/>
  <c r="H134" i="28"/>
  <c r="E134" i="28"/>
  <c r="L134" i="28" s="1"/>
  <c r="C134" i="28"/>
  <c r="B134" i="28"/>
  <c r="A134" i="28"/>
  <c r="H133" i="28"/>
  <c r="E133" i="28"/>
  <c r="L133" i="28" s="1"/>
  <c r="C133" i="28"/>
  <c r="B133" i="28"/>
  <c r="A133" i="28"/>
  <c r="H132" i="28"/>
  <c r="E132" i="28"/>
  <c r="L132" i="28" s="1"/>
  <c r="C132" i="28"/>
  <c r="B132" i="28"/>
  <c r="A132" i="28"/>
  <c r="H131" i="28"/>
  <c r="E131" i="28"/>
  <c r="L131" i="28" s="1"/>
  <c r="C131" i="28"/>
  <c r="B131" i="28"/>
  <c r="A131" i="28"/>
  <c r="H130" i="28"/>
  <c r="E130" i="28"/>
  <c r="L130" i="28" s="1"/>
  <c r="C130" i="28"/>
  <c r="B130" i="28"/>
  <c r="A130" i="28"/>
  <c r="E129" i="28"/>
  <c r="L129" i="28" s="1"/>
  <c r="C129" i="28"/>
  <c r="B129" i="28"/>
  <c r="E128" i="28"/>
  <c r="L128" i="28" s="1"/>
  <c r="C128" i="28"/>
  <c r="B128" i="28"/>
  <c r="E127" i="28"/>
  <c r="L127" i="28" s="1"/>
  <c r="C127" i="28"/>
  <c r="B127" i="28"/>
  <c r="E126" i="28"/>
  <c r="L126" i="28" s="1"/>
  <c r="C126" i="28"/>
  <c r="B126" i="28"/>
  <c r="E125" i="28"/>
  <c r="L125" i="28" s="1"/>
  <c r="C125" i="28"/>
  <c r="B125" i="28"/>
  <c r="C124" i="28"/>
  <c r="B124" i="28"/>
  <c r="E123" i="28"/>
  <c r="L123" i="28" s="1"/>
  <c r="C123" i="28"/>
  <c r="B123" i="28"/>
  <c r="A123" i="28"/>
  <c r="H122" i="28"/>
  <c r="E122" i="28"/>
  <c r="L122" i="28" s="1"/>
  <c r="C122" i="28"/>
  <c r="B122" i="28"/>
  <c r="A122" i="28"/>
  <c r="E121" i="28"/>
  <c r="L121" i="28" s="1"/>
  <c r="C121" i="28"/>
  <c r="B121" i="28"/>
  <c r="A121" i="28"/>
  <c r="H120" i="28"/>
  <c r="E120" i="28"/>
  <c r="L120" i="28" s="1"/>
  <c r="C120" i="28"/>
  <c r="B120" i="28"/>
  <c r="A120" i="28"/>
  <c r="H119" i="28"/>
  <c r="E119" i="28"/>
  <c r="L119" i="28" s="1"/>
  <c r="C119" i="28"/>
  <c r="B119" i="28"/>
  <c r="A119" i="28"/>
  <c r="E118" i="28"/>
  <c r="L118" i="28" s="1"/>
  <c r="C118" i="28"/>
  <c r="B118" i="28"/>
  <c r="A118" i="28"/>
  <c r="H117" i="28"/>
  <c r="E117" i="28"/>
  <c r="L117" i="28" s="1"/>
  <c r="C117" i="28"/>
  <c r="B117" i="28"/>
  <c r="A117" i="28"/>
  <c r="H116" i="28"/>
  <c r="E116" i="28"/>
  <c r="L116" i="28" s="1"/>
  <c r="C116" i="28"/>
  <c r="B116" i="28"/>
  <c r="A116" i="28"/>
  <c r="H115" i="28"/>
  <c r="E115" i="28"/>
  <c r="L115" i="28" s="1"/>
  <c r="C115" i="28"/>
  <c r="A115" i="28"/>
  <c r="H91" i="28"/>
  <c r="C91" i="28"/>
  <c r="B91" i="28"/>
  <c r="A91" i="28"/>
  <c r="H89" i="28"/>
  <c r="E89" i="28"/>
  <c r="L89" i="28" s="1"/>
  <c r="C89" i="28"/>
  <c r="B89" i="28"/>
  <c r="A89" i="28"/>
  <c r="H80" i="28"/>
  <c r="E80" i="28"/>
  <c r="L80" i="28" s="1"/>
  <c r="C80" i="28"/>
  <c r="B80" i="28"/>
  <c r="A80" i="28"/>
  <c r="H79" i="28"/>
  <c r="E79" i="28"/>
  <c r="L79" i="28" s="1"/>
  <c r="C79" i="28"/>
  <c r="B79" i="28"/>
  <c r="A79" i="28"/>
  <c r="H78" i="28"/>
  <c r="E78" i="28"/>
  <c r="L78" i="28" s="1"/>
  <c r="C78" i="28"/>
  <c r="B78" i="28"/>
  <c r="A78" i="28"/>
  <c r="H77" i="28"/>
  <c r="E77" i="28"/>
  <c r="L77" i="28" s="1"/>
  <c r="C77" i="28"/>
  <c r="B77" i="28"/>
  <c r="A77" i="28"/>
  <c r="H76" i="28"/>
  <c r="E76" i="28"/>
  <c r="L76" i="28" s="1"/>
  <c r="C76" i="28"/>
  <c r="B76" i="28"/>
  <c r="A76" i="28"/>
  <c r="H75" i="28"/>
  <c r="E75" i="28"/>
  <c r="L75" i="28" s="1"/>
  <c r="C75" i="28"/>
  <c r="B75" i="28"/>
  <c r="A75" i="28"/>
  <c r="H74" i="28"/>
  <c r="E74" i="28"/>
  <c r="L74" i="28" s="1"/>
  <c r="C74" i="28"/>
  <c r="B74" i="28"/>
  <c r="A74" i="28"/>
  <c r="H73" i="28"/>
  <c r="E73" i="28"/>
  <c r="L73" i="28" s="1"/>
  <c r="C73" i="28"/>
  <c r="B73" i="28"/>
  <c r="A73" i="28"/>
  <c r="H72" i="28"/>
  <c r="E72" i="28"/>
  <c r="L72" i="28" s="1"/>
  <c r="C72" i="28"/>
  <c r="B72" i="28"/>
  <c r="A72" i="28"/>
  <c r="H71" i="28"/>
  <c r="E71" i="28"/>
  <c r="L71" i="28" s="1"/>
  <c r="C71" i="28"/>
  <c r="B71" i="28"/>
  <c r="A71" i="28"/>
  <c r="H70" i="28"/>
  <c r="E70" i="28"/>
  <c r="L70" i="28" s="1"/>
  <c r="C70" i="28"/>
  <c r="B70" i="28"/>
  <c r="A70" i="28"/>
  <c r="H69" i="28"/>
  <c r="E69" i="28"/>
  <c r="L69" i="28" s="1"/>
  <c r="C69" i="28"/>
  <c r="B69" i="28"/>
  <c r="A69" i="28"/>
  <c r="H66" i="28"/>
  <c r="E66" i="28"/>
  <c r="L66" i="28" s="1"/>
  <c r="C66" i="28"/>
  <c r="B66" i="28"/>
  <c r="A66" i="28"/>
  <c r="H65" i="28"/>
  <c r="E65" i="28"/>
  <c r="L65" i="28" s="1"/>
  <c r="D12" i="80" s="1"/>
  <c r="F12" i="80" s="1"/>
  <c r="C65" i="28"/>
  <c r="B65" i="28"/>
  <c r="A65" i="28"/>
  <c r="H64" i="28"/>
  <c r="E64" i="28"/>
  <c r="L64" i="28" s="1"/>
  <c r="C64" i="28"/>
  <c r="B64" i="28"/>
  <c r="A64" i="28"/>
  <c r="H63" i="28"/>
  <c r="E63" i="28"/>
  <c r="L63" i="28" s="1"/>
  <c r="C63" i="28"/>
  <c r="B63" i="28"/>
  <c r="A63" i="28"/>
  <c r="H62" i="28"/>
  <c r="E62" i="28"/>
  <c r="L62" i="28" s="1"/>
  <c r="C62" i="28"/>
  <c r="B62" i="28"/>
  <c r="A62" i="28"/>
  <c r="H61" i="28"/>
  <c r="E61" i="28"/>
  <c r="L61" i="28" s="1"/>
  <c r="C61" i="28"/>
  <c r="B61" i="28"/>
  <c r="A61" i="28"/>
  <c r="H60" i="28"/>
  <c r="E60" i="28"/>
  <c r="L60" i="28" s="1"/>
  <c r="C60" i="28"/>
  <c r="B60" i="28"/>
  <c r="A60" i="28"/>
  <c r="H59" i="28"/>
  <c r="E59" i="28"/>
  <c r="L59" i="28" s="1"/>
  <c r="C59" i="28"/>
  <c r="B59" i="28"/>
  <c r="A59" i="28"/>
  <c r="H58" i="28"/>
  <c r="E58" i="28"/>
  <c r="L58" i="28" s="1"/>
  <c r="C58" i="28"/>
  <c r="B58" i="28"/>
  <c r="A58" i="28"/>
  <c r="H57" i="28"/>
  <c r="E57" i="28"/>
  <c r="L57" i="28" s="1"/>
  <c r="C57" i="28"/>
  <c r="B57" i="28"/>
  <c r="A57" i="28"/>
  <c r="H56" i="28"/>
  <c r="E56" i="28"/>
  <c r="L56" i="28" s="1"/>
  <c r="C56" i="28"/>
  <c r="B56" i="28"/>
  <c r="A56" i="28"/>
  <c r="H55" i="28"/>
  <c r="E55" i="28"/>
  <c r="L55" i="28" s="1"/>
  <c r="C55" i="28"/>
  <c r="B55" i="28"/>
  <c r="A55" i="28"/>
  <c r="E54" i="28"/>
  <c r="L54" i="28" s="1"/>
  <c r="C54" i="28"/>
  <c r="B54" i="28"/>
  <c r="A54" i="28"/>
  <c r="H53" i="28"/>
  <c r="E53" i="28"/>
  <c r="L53" i="28" s="1"/>
  <c r="C53" i="28"/>
  <c r="B53" i="28"/>
  <c r="A53" i="28"/>
  <c r="H52" i="28"/>
  <c r="E52" i="28"/>
  <c r="L52" i="28" s="1"/>
  <c r="C52" i="28"/>
  <c r="B52" i="28"/>
  <c r="A52" i="28"/>
  <c r="H37" i="28"/>
  <c r="E37" i="28"/>
  <c r="L37" i="28" s="1"/>
  <c r="C37" i="28"/>
  <c r="B37" i="28"/>
  <c r="A37" i="28"/>
  <c r="H36" i="28"/>
  <c r="E36" i="28"/>
  <c r="L36" i="28" s="1"/>
  <c r="C36" i="28"/>
  <c r="B36" i="28"/>
  <c r="A36" i="28"/>
  <c r="H35" i="28"/>
  <c r="E35" i="28"/>
  <c r="L35" i="28" s="1"/>
  <c r="C35" i="28"/>
  <c r="B35" i="28"/>
  <c r="A35" i="28"/>
  <c r="H34" i="28"/>
  <c r="E34" i="28"/>
  <c r="L34" i="28" s="1"/>
  <c r="C34" i="28"/>
  <c r="B34" i="28"/>
  <c r="A34" i="28"/>
  <c r="H33" i="28"/>
  <c r="E33" i="28"/>
  <c r="L33" i="28" s="1"/>
  <c r="C33" i="28"/>
  <c r="B33" i="28"/>
  <c r="A33" i="28"/>
  <c r="H32" i="28"/>
  <c r="E32" i="28"/>
  <c r="L32" i="28" s="1"/>
  <c r="C32" i="28"/>
  <c r="B32" i="28"/>
  <c r="A32" i="28"/>
  <c r="H31" i="28"/>
  <c r="E31" i="28"/>
  <c r="L31" i="28" s="1"/>
  <c r="C31" i="28"/>
  <c r="B31" i="28"/>
  <c r="A31" i="28"/>
  <c r="H30" i="28"/>
  <c r="E30" i="28"/>
  <c r="L30" i="28" s="1"/>
  <c r="C30" i="28"/>
  <c r="B30" i="28"/>
  <c r="A30" i="28"/>
  <c r="H29" i="28"/>
  <c r="E29" i="28"/>
  <c r="L29" i="28" s="1"/>
  <c r="C29" i="28"/>
  <c r="B29" i="28"/>
  <c r="A29" i="28"/>
  <c r="H28" i="28"/>
  <c r="E28" i="28"/>
  <c r="L28" i="28" s="1"/>
  <c r="C28" i="28"/>
  <c r="B28" i="28"/>
  <c r="A28" i="28"/>
  <c r="H27" i="28"/>
  <c r="E27" i="28"/>
  <c r="L27" i="28" s="1"/>
  <c r="C27" i="28"/>
  <c r="B27" i="28"/>
  <c r="A27" i="28"/>
  <c r="H26" i="28"/>
  <c r="E26" i="28"/>
  <c r="L26" i="28" s="1"/>
  <c r="C26" i="28"/>
  <c r="B26" i="28"/>
  <c r="A26" i="28"/>
  <c r="H25" i="28"/>
  <c r="E25" i="28"/>
  <c r="L25" i="28" s="1"/>
  <c r="C25" i="28"/>
  <c r="B25" i="28"/>
  <c r="A25" i="28"/>
  <c r="H24" i="28"/>
  <c r="E24" i="28"/>
  <c r="L24" i="28" s="1"/>
  <c r="C24" i="28"/>
  <c r="B24" i="28"/>
  <c r="A24" i="28"/>
  <c r="H23" i="28"/>
  <c r="E23" i="28"/>
  <c r="L23" i="28" s="1"/>
  <c r="C23" i="28"/>
  <c r="B23" i="28"/>
  <c r="A23" i="28"/>
  <c r="H22" i="28"/>
  <c r="E22" i="28"/>
  <c r="L22" i="28" s="1"/>
  <c r="C22" i="28"/>
  <c r="B22" i="28"/>
  <c r="A22" i="28"/>
  <c r="H21" i="28"/>
  <c r="E21" i="28"/>
  <c r="L21" i="28" s="1"/>
  <c r="C21" i="28"/>
  <c r="B21" i="28"/>
  <c r="A21" i="28"/>
  <c r="H20" i="28"/>
  <c r="E20" i="28"/>
  <c r="L20" i="28" s="1"/>
  <c r="C20" i="28"/>
  <c r="B20" i="28"/>
  <c r="A20" i="28"/>
  <c r="H19" i="28"/>
  <c r="E19" i="28"/>
  <c r="L19" i="28" s="1"/>
  <c r="C19" i="28"/>
  <c r="B19" i="28"/>
  <c r="A19" i="28"/>
  <c r="H18" i="28"/>
  <c r="E18" i="28"/>
  <c r="L18" i="28" s="1"/>
  <c r="C18" i="28"/>
  <c r="B18" i="28"/>
  <c r="A18" i="28"/>
  <c r="H17" i="28"/>
  <c r="E17" i="28"/>
  <c r="C17" i="28"/>
  <c r="B17" i="28"/>
  <c r="A17" i="28"/>
  <c r="E16" i="28"/>
  <c r="L16" i="28" s="1"/>
  <c r="C16" i="28"/>
  <c r="B16" i="28"/>
  <c r="A16" i="28"/>
  <c r="E15" i="28"/>
  <c r="L15" i="28" s="1"/>
  <c r="C15" i="28"/>
  <c r="B15" i="28"/>
  <c r="A15" i="28"/>
  <c r="E14" i="28"/>
  <c r="L14" i="28" s="1"/>
  <c r="C14" i="28"/>
  <c r="B14" i="28"/>
  <c r="A14" i="28"/>
  <c r="E13" i="28"/>
  <c r="L13" i="28" s="1"/>
  <c r="C13" i="28"/>
  <c r="B13" i="28"/>
  <c r="A13" i="28"/>
  <c r="E12" i="28"/>
  <c r="L12" i="28" s="1"/>
  <c r="C12" i="28"/>
  <c r="B12" i="28"/>
  <c r="A12" i="28"/>
  <c r="E11" i="28"/>
  <c r="L11" i="28" s="1"/>
  <c r="C11" i="28"/>
  <c r="B11" i="28"/>
  <c r="A11" i="28"/>
  <c r="H10" i="28"/>
  <c r="C10" i="28"/>
  <c r="B10" i="28"/>
  <c r="A10" i="28"/>
  <c r="H9" i="28"/>
  <c r="E9" i="28"/>
  <c r="L9" i="28" s="1"/>
  <c r="C9" i="28"/>
  <c r="B9" i="28"/>
  <c r="A9" i="28"/>
  <c r="H8" i="28"/>
  <c r="E8" i="28"/>
  <c r="L8" i="28" s="1"/>
  <c r="C8" i="28"/>
  <c r="B8" i="28"/>
  <c r="A8" i="28"/>
  <c r="H7" i="28"/>
  <c r="G7" i="28"/>
  <c r="E7" i="28"/>
  <c r="C7" i="28"/>
  <c r="B7" i="28"/>
  <c r="A7" i="28"/>
  <c r="H6" i="28"/>
  <c r="E6" i="28"/>
  <c r="L6" i="28" s="1"/>
  <c r="C6" i="28"/>
  <c r="B6" i="28"/>
  <c r="A6" i="28"/>
  <c r="H5" i="28"/>
  <c r="E5" i="28"/>
  <c r="L5" i="28" s="1"/>
  <c r="C5" i="28"/>
  <c r="B5" i="28"/>
  <c r="A5" i="28"/>
  <c r="C2" i="28"/>
  <c r="G302" i="1"/>
  <c r="G298" i="1"/>
  <c r="H295" i="1"/>
  <c r="G295" i="1" s="1"/>
  <c r="H294" i="1"/>
  <c r="G294" i="1" s="1"/>
  <c r="H293" i="1"/>
  <c r="G293" i="1" s="1"/>
  <c r="G292" i="1"/>
  <c r="G291" i="1"/>
  <c r="G290" i="1"/>
  <c r="G289" i="1"/>
  <c r="G282" i="1"/>
  <c r="G279" i="1"/>
  <c r="G278" i="1"/>
  <c r="G277" i="1"/>
  <c r="H274" i="1"/>
  <c r="G274" i="1" s="1"/>
  <c r="H273" i="1"/>
  <c r="H272" i="1"/>
  <c r="G271" i="1"/>
  <c r="H268" i="1"/>
  <c r="G268" i="1" s="1"/>
  <c r="H267" i="1"/>
  <c r="G267" i="1"/>
  <c r="H266" i="1"/>
  <c r="G266" i="1"/>
  <c r="G265" i="1"/>
  <c r="L260" i="1"/>
  <c r="G260" i="1"/>
  <c r="G259" i="1"/>
  <c r="G258" i="1"/>
  <c r="G257" i="1"/>
  <c r="G255" i="1"/>
  <c r="F249" i="1"/>
  <c r="G248" i="1"/>
  <c r="G247" i="1"/>
  <c r="G246" i="1"/>
  <c r="G245" i="1"/>
  <c r="F243" i="1"/>
  <c r="G242" i="1"/>
  <c r="G241" i="1"/>
  <c r="G240" i="1"/>
  <c r="G239" i="1"/>
  <c r="F237" i="1"/>
  <c r="E195" i="28"/>
  <c r="L195" i="28" s="1"/>
  <c r="E194" i="28"/>
  <c r="L194" i="28" s="1"/>
  <c r="G221" i="1"/>
  <c r="G216" i="1"/>
  <c r="G212" i="1"/>
  <c r="G210" i="1"/>
  <c r="G209" i="1"/>
  <c r="G206" i="1"/>
  <c r="G205" i="1"/>
  <c r="H198" i="1"/>
  <c r="G198" i="1" s="1"/>
  <c r="G197" i="1"/>
  <c r="G196" i="1"/>
  <c r="G195" i="1"/>
  <c r="G194" i="1"/>
  <c r="G193" i="1"/>
  <c r="G192" i="1"/>
  <c r="G191" i="1"/>
  <c r="G190" i="1"/>
  <c r="G189" i="1"/>
  <c r="G188" i="1"/>
  <c r="H182" i="1"/>
  <c r="G182" i="1" s="1"/>
  <c r="G181" i="1"/>
  <c r="G179" i="1"/>
  <c r="G178" i="1"/>
  <c r="G177" i="1"/>
  <c r="G175" i="1"/>
  <c r="G174" i="1"/>
  <c r="G173" i="1"/>
  <c r="H168" i="1"/>
  <c r="G168" i="1" s="1"/>
  <c r="G154" i="1"/>
  <c r="G152" i="1"/>
  <c r="G151" i="1"/>
  <c r="H149" i="1"/>
  <c r="G149" i="1"/>
  <c r="H183" i="1"/>
  <c r="E124" i="28"/>
  <c r="L124" i="28" s="1"/>
  <c r="G138" i="1"/>
  <c r="G136" i="1"/>
  <c r="G116" i="28"/>
  <c r="G101" i="1"/>
  <c r="G98" i="1"/>
  <c r="H87" i="1"/>
  <c r="G87" i="1" s="1"/>
  <c r="G85" i="1"/>
  <c r="G82" i="1"/>
  <c r="G80" i="1"/>
  <c r="G79" i="1"/>
  <c r="H72" i="1"/>
  <c r="G72" i="1"/>
  <c r="H89" i="1"/>
  <c r="G71" i="1"/>
  <c r="G70" i="1"/>
  <c r="G69" i="1"/>
  <c r="G68" i="1"/>
  <c r="G67" i="1"/>
  <c r="G66" i="1"/>
  <c r="G65" i="1"/>
  <c r="G64" i="1"/>
  <c r="G63" i="1"/>
  <c r="G62" i="1"/>
  <c r="G61" i="1"/>
  <c r="G60" i="1"/>
  <c r="G59" i="1"/>
  <c r="G42" i="1"/>
  <c r="G39" i="1"/>
  <c r="O34" i="28"/>
  <c r="H37" i="1"/>
  <c r="G37" i="1" s="1"/>
  <c r="O33" i="28"/>
  <c r="G35" i="1"/>
  <c r="G34" i="1"/>
  <c r="G33" i="1"/>
  <c r="G32" i="1"/>
  <c r="G31" i="1"/>
  <c r="G30" i="1"/>
  <c r="G29" i="1"/>
  <c r="G28" i="1"/>
  <c r="G26" i="1"/>
  <c r="G25" i="1"/>
  <c r="H23" i="1"/>
  <c r="G23" i="1" s="1"/>
  <c r="O21" i="28"/>
  <c r="O20" i="28"/>
  <c r="G20" i="1"/>
  <c r="G18" i="1"/>
  <c r="G11" i="1"/>
  <c r="G10" i="1"/>
  <c r="G8" i="1"/>
  <c r="G7" i="1"/>
  <c r="L291" i="28"/>
  <c r="Y291" i="28" s="1"/>
  <c r="N24" i="80" l="1"/>
  <c r="D24" i="80" s="1"/>
  <c r="F24" i="80" s="1"/>
  <c r="N23" i="80"/>
  <c r="D23" i="80" s="1"/>
  <c r="F23" i="80" s="1"/>
  <c r="M18" i="80"/>
  <c r="D18" i="80" s="1"/>
  <c r="D37" i="80"/>
  <c r="F37" i="80" s="1"/>
  <c r="N16" i="80"/>
  <c r="D16" i="80" s="1"/>
  <c r="F16" i="80" s="1"/>
  <c r="N17" i="80"/>
  <c r="D17" i="80" s="1"/>
  <c r="F17" i="80" s="1"/>
  <c r="N14" i="80"/>
  <c r="L7" i="80"/>
  <c r="E9" i="80" s="1"/>
  <c r="M20" i="73"/>
  <c r="F20" i="73" s="1"/>
  <c r="M14" i="73"/>
  <c r="D14" i="73" s="1"/>
  <c r="D9" i="73"/>
  <c r="D8" i="73"/>
  <c r="D6" i="73"/>
  <c r="M12" i="73"/>
  <c r="F12" i="73" s="1"/>
  <c r="F14" i="80" s="1"/>
  <c r="M19" i="73"/>
  <c r="D19" i="73" s="1"/>
  <c r="F19" i="73" s="1"/>
  <c r="G124" i="28"/>
  <c r="F124" i="28"/>
  <c r="K15" i="73"/>
  <c r="K5" i="73"/>
  <c r="E6" i="73" s="1"/>
  <c r="H298" i="42"/>
  <c r="H299" i="42" s="1"/>
  <c r="P298" i="42"/>
  <c r="P299" i="42" s="1"/>
  <c r="X298" i="42"/>
  <c r="X299" i="42" s="1"/>
  <c r="AF298" i="42"/>
  <c r="AF299" i="42" s="1"/>
  <c r="AN298" i="42"/>
  <c r="AN299" i="42" s="1"/>
  <c r="AV298" i="42"/>
  <c r="AV299" i="42" s="1"/>
  <c r="E298" i="42"/>
  <c r="E299" i="42" s="1"/>
  <c r="D10" i="73"/>
  <c r="F10" i="73" s="1"/>
  <c r="L263" i="28"/>
  <c r="L262" i="28"/>
  <c r="M13" i="73"/>
  <c r="W180" i="28"/>
  <c r="W198" i="28"/>
  <c r="W280" i="28"/>
  <c r="W7" i="28"/>
  <c r="W56" i="28"/>
  <c r="W64" i="28"/>
  <c r="W74" i="28"/>
  <c r="W91" i="28"/>
  <c r="W116" i="28"/>
  <c r="W121" i="28"/>
  <c r="W132" i="28"/>
  <c r="W137" i="28"/>
  <c r="W142" i="28"/>
  <c r="W147" i="28"/>
  <c r="W155" i="28"/>
  <c r="W169" i="28"/>
  <c r="W177" i="28"/>
  <c r="W185" i="28"/>
  <c r="W190" i="28"/>
  <c r="W203" i="28"/>
  <c r="W211" i="28"/>
  <c r="W216" i="28"/>
  <c r="W225" i="28"/>
  <c r="W231" i="28"/>
  <c r="W283" i="28"/>
  <c r="W150" i="28"/>
  <c r="W18" i="28"/>
  <c r="W26" i="28"/>
  <c r="W34" i="28"/>
  <c r="W61" i="28"/>
  <c r="W71" i="28"/>
  <c r="W79" i="28"/>
  <c r="W123" i="28"/>
  <c r="W144" i="28"/>
  <c r="W152" i="28"/>
  <c r="W160" i="28"/>
  <c r="W166" i="28"/>
  <c r="W174" i="28"/>
  <c r="W182" i="28"/>
  <c r="W195" i="28"/>
  <c r="W200" i="28"/>
  <c r="W208" i="28"/>
  <c r="W218" i="28"/>
  <c r="W222" i="28"/>
  <c r="W227" i="28"/>
  <c r="W233" i="28"/>
  <c r="W235" i="28"/>
  <c r="W237" i="28"/>
  <c r="W239" i="28"/>
  <c r="W278" i="28"/>
  <c r="W206" i="28"/>
  <c r="W16" i="28"/>
  <c r="W37" i="28"/>
  <c r="W23" i="28"/>
  <c r="W53" i="28"/>
  <c r="W58" i="28"/>
  <c r="W66" i="28"/>
  <c r="W139" i="28"/>
  <c r="W149" i="28"/>
  <c r="W157" i="28"/>
  <c r="W163" i="28"/>
  <c r="W171" i="28"/>
  <c r="W179" i="28"/>
  <c r="W187" i="28"/>
  <c r="W197" i="28"/>
  <c r="W205" i="28"/>
  <c r="W213" i="28"/>
  <c r="W241" i="28"/>
  <c r="W245" i="28"/>
  <c r="W281" i="28"/>
  <c r="W32" i="28"/>
  <c r="W6" i="28"/>
  <c r="W9" i="28"/>
  <c r="W20" i="28"/>
  <c r="W28" i="28"/>
  <c r="W36" i="28"/>
  <c r="W55" i="28"/>
  <c r="W63" i="28"/>
  <c r="W73" i="28"/>
  <c r="W89" i="28"/>
  <c r="W120" i="28"/>
  <c r="W131" i="28"/>
  <c r="W141" i="28"/>
  <c r="W146" i="28"/>
  <c r="W154" i="28"/>
  <c r="W168" i="28"/>
  <c r="W176" i="28"/>
  <c r="W184" i="28"/>
  <c r="W189" i="28"/>
  <c r="W202" i="28"/>
  <c r="W210" i="28"/>
  <c r="W220" i="28"/>
  <c r="W224" i="28"/>
  <c r="W230" i="28"/>
  <c r="W284" i="28"/>
  <c r="W24" i="28"/>
  <c r="W54" i="28"/>
  <c r="W59" i="28"/>
  <c r="W69" i="28"/>
  <c r="W77" i="28"/>
  <c r="W214" i="28"/>
  <c r="W242" i="28"/>
  <c r="W12" i="28"/>
  <c r="W21" i="28"/>
  <c r="W29" i="28"/>
  <c r="W118" i="28"/>
  <c r="W11" i="28"/>
  <c r="W13" i="28"/>
  <c r="W15" i="28"/>
  <c r="W17" i="28"/>
  <c r="W25" i="28"/>
  <c r="W33" i="28"/>
  <c r="W60" i="28"/>
  <c r="W70" i="28"/>
  <c r="W78" i="28"/>
  <c r="W115" i="28"/>
  <c r="W122" i="28"/>
  <c r="W136" i="28"/>
  <c r="W151" i="28"/>
  <c r="W159" i="28"/>
  <c r="W165" i="28"/>
  <c r="W173" i="28"/>
  <c r="W181" i="28"/>
  <c r="W199" i="28"/>
  <c r="W207" i="28"/>
  <c r="W215" i="28"/>
  <c r="W217" i="28"/>
  <c r="W226" i="28"/>
  <c r="W279" i="28"/>
  <c r="W135" i="28"/>
  <c r="W164" i="28"/>
  <c r="W172" i="28"/>
  <c r="W14" i="28"/>
  <c r="W31" i="28"/>
  <c r="W76" i="28"/>
  <c r="W134" i="28"/>
  <c r="W22" i="28"/>
  <c r="W30" i="28"/>
  <c r="W52" i="28"/>
  <c r="W57" i="28"/>
  <c r="W65" i="28"/>
  <c r="W75" i="28"/>
  <c r="W117" i="28"/>
  <c r="W133" i="28"/>
  <c r="W138" i="28"/>
  <c r="W143" i="28"/>
  <c r="W148" i="28"/>
  <c r="W156" i="28"/>
  <c r="W162" i="28"/>
  <c r="W170" i="28"/>
  <c r="W178" i="28"/>
  <c r="W186" i="28"/>
  <c r="W194" i="28"/>
  <c r="W196" i="28"/>
  <c r="W204" i="28"/>
  <c r="W212" i="28"/>
  <c r="W232" i="28"/>
  <c r="W234" i="28"/>
  <c r="W236" i="28"/>
  <c r="W238" i="28"/>
  <c r="W240" i="28"/>
  <c r="W282" i="28"/>
  <c r="W158" i="28"/>
  <c r="W10" i="28"/>
  <c r="W5" i="28"/>
  <c r="W8" i="28"/>
  <c r="W19" i="28"/>
  <c r="W27" i="28"/>
  <c r="W35" i="28"/>
  <c r="W62" i="28"/>
  <c r="W72" i="28"/>
  <c r="W80" i="28"/>
  <c r="W119" i="28"/>
  <c r="W130" i="28"/>
  <c r="W140" i="28"/>
  <c r="W145" i="28"/>
  <c r="W153" i="28"/>
  <c r="W167" i="28"/>
  <c r="W175" i="28"/>
  <c r="W183" i="28"/>
  <c r="W188" i="28"/>
  <c r="W201" i="28"/>
  <c r="W209" i="28"/>
  <c r="W219" i="28"/>
  <c r="W223" i="28"/>
  <c r="W228" i="28"/>
  <c r="W277" i="28"/>
  <c r="L231" i="28"/>
  <c r="Y231" i="28" s="1"/>
  <c r="L7" i="28"/>
  <c r="L17" i="28"/>
  <c r="F233" i="28"/>
  <c r="Y233" i="28"/>
  <c r="Y277" i="28"/>
  <c r="O151" i="28"/>
  <c r="L279" i="28"/>
  <c r="L282" i="28"/>
  <c r="Q282" i="28" s="1"/>
  <c r="L280" i="28"/>
  <c r="X233" i="28"/>
  <c r="L283" i="28"/>
  <c r="Q283" i="28" s="1"/>
  <c r="L278" i="28"/>
  <c r="L281" i="28"/>
  <c r="Y170" i="28"/>
  <c r="L284" i="28"/>
  <c r="Q284" i="28" s="1"/>
  <c r="X266" i="28"/>
  <c r="X267" i="28"/>
  <c r="E143" i="28"/>
  <c r="L143" i="28" s="1"/>
  <c r="M18" i="73" s="1"/>
  <c r="F18" i="73" s="1"/>
  <c r="F21" i="80" s="1"/>
  <c r="E230" i="1"/>
  <c r="E10" i="28"/>
  <c r="L10" i="28" s="1"/>
  <c r="L261" i="28" s="1"/>
  <c r="G12" i="1"/>
  <c r="Y66" i="28"/>
  <c r="G13" i="1"/>
  <c r="G14" i="1"/>
  <c r="G15" i="1"/>
  <c r="G16" i="1"/>
  <c r="G17" i="1"/>
  <c r="E91" i="28"/>
  <c r="L91" i="28" s="1"/>
  <c r="O133" i="28"/>
  <c r="E237" i="1"/>
  <c r="O65" i="28"/>
  <c r="O19" i="28"/>
  <c r="E243" i="1"/>
  <c r="X268" i="28"/>
  <c r="Y55" i="28"/>
  <c r="F9" i="28"/>
  <c r="Y136" i="28"/>
  <c r="E249" i="1"/>
  <c r="H199" i="1"/>
  <c r="F230" i="1"/>
  <c r="F250" i="1" s="1"/>
  <c r="Y156" i="28"/>
  <c r="L8" i="80" l="1"/>
  <c r="N21" i="80"/>
  <c r="K9" i="73"/>
  <c r="F9" i="73" s="1"/>
  <c r="L11" i="80"/>
  <c r="D20" i="73"/>
  <c r="G143" i="28"/>
  <c r="F143" i="28"/>
  <c r="D12" i="73"/>
  <c r="F14" i="73"/>
  <c r="D13" i="73"/>
  <c r="F13" i="73" s="1"/>
  <c r="D15" i="73"/>
  <c r="F15" i="73" s="1"/>
  <c r="K8" i="73"/>
  <c r="L8" i="73" s="1"/>
  <c r="L10" i="80" s="1"/>
  <c r="E8" i="73"/>
  <c r="K6" i="73"/>
  <c r="L6" i="73" s="1"/>
  <c r="L9" i="80" s="1"/>
  <c r="L265" i="28"/>
  <c r="B19" i="71"/>
  <c r="B21" i="71" s="1"/>
  <c r="G19" i="71" s="1"/>
  <c r="B9" i="71"/>
  <c r="F27" i="71" s="1"/>
  <c r="X231" i="28"/>
  <c r="F34" i="28"/>
  <c r="G178" i="28"/>
  <c r="Q178" i="28" s="1"/>
  <c r="Q138" i="28"/>
  <c r="F80" i="28"/>
  <c r="Q153" i="28"/>
  <c r="G153" i="28" s="1"/>
  <c r="Q120" i="28"/>
  <c r="G120" i="28" s="1"/>
  <c r="F164" i="28"/>
  <c r="Q55" i="28"/>
  <c r="G55" i="28" s="1"/>
  <c r="F131" i="28"/>
  <c r="Q168" i="28"/>
  <c r="G168" i="28" s="1"/>
  <c r="Y280" i="28"/>
  <c r="Q280" i="28"/>
  <c r="Y281" i="28"/>
  <c r="Q281" i="28"/>
  <c r="Q151" i="28"/>
  <c r="Y237" i="28"/>
  <c r="Y279" i="28"/>
  <c r="Q279" i="28"/>
  <c r="Y122" i="28"/>
  <c r="Q122" i="28"/>
  <c r="G122" i="28" s="1"/>
  <c r="Y238" i="28"/>
  <c r="Y239" i="28"/>
  <c r="Y278" i="28"/>
  <c r="Q278" i="28"/>
  <c r="Q131" i="28"/>
  <c r="G131" i="28" s="1"/>
  <c r="F162" i="28"/>
  <c r="Y162" i="28"/>
  <c r="F148" i="28"/>
  <c r="Y148" i="28"/>
  <c r="Y283" i="28"/>
  <c r="X151" i="28"/>
  <c r="Y151" i="28"/>
  <c r="Y73" i="28"/>
  <c r="X129" i="28"/>
  <c r="Y129" i="28"/>
  <c r="F214" i="28"/>
  <c r="Y214" i="28"/>
  <c r="F18" i="28"/>
  <c r="Y18" i="28"/>
  <c r="F142" i="28"/>
  <c r="Y142" i="28"/>
  <c r="X21" i="28"/>
  <c r="Y21" i="28"/>
  <c r="F213" i="28"/>
  <c r="Y213" i="28"/>
  <c r="X241" i="28"/>
  <c r="Y241" i="28"/>
  <c r="F76" i="28"/>
  <c r="Y76" i="28"/>
  <c r="F25" i="28"/>
  <c r="Y25" i="28"/>
  <c r="X201" i="28"/>
  <c r="Y201" i="28"/>
  <c r="X117" i="28"/>
  <c r="Y117" i="28"/>
  <c r="F228" i="28"/>
  <c r="Y228" i="28"/>
  <c r="X178" i="28"/>
  <c r="Y178" i="28"/>
  <c r="X78" i="28"/>
  <c r="Y78" i="28"/>
  <c r="X5" i="28"/>
  <c r="Y5" i="28"/>
  <c r="X150" i="28"/>
  <c r="Y150" i="28"/>
  <c r="F140" i="28"/>
  <c r="Y140" i="28"/>
  <c r="F138" i="28"/>
  <c r="Y138" i="28"/>
  <c r="X127" i="28"/>
  <c r="Y127" i="28"/>
  <c r="X242" i="28"/>
  <c r="Y242" i="28"/>
  <c r="F63" i="28"/>
  <c r="Y63" i="28"/>
  <c r="X216" i="28"/>
  <c r="Y216" i="28"/>
  <c r="X58" i="28"/>
  <c r="Y58" i="28"/>
  <c r="X206" i="28"/>
  <c r="Y206" i="28"/>
  <c r="F137" i="28"/>
  <c r="Y137" i="28"/>
  <c r="X16" i="28"/>
  <c r="Y16" i="28"/>
  <c r="X219" i="28"/>
  <c r="Y219" i="28"/>
  <c r="X208" i="28"/>
  <c r="Y208" i="28"/>
  <c r="F235" i="28"/>
  <c r="Y235" i="28"/>
  <c r="X72" i="28"/>
  <c r="Y72" i="28"/>
  <c r="F169" i="28"/>
  <c r="Y169" i="28"/>
  <c r="Y180" i="28"/>
  <c r="X74" i="28"/>
  <c r="Y74" i="28"/>
  <c r="F227" i="28"/>
  <c r="Y227" i="28"/>
  <c r="F184" i="28"/>
  <c r="Y184" i="28"/>
  <c r="Y284" i="28"/>
  <c r="F135" i="28"/>
  <c r="Y135" i="28"/>
  <c r="X245" i="28"/>
  <c r="Y245" i="28"/>
  <c r="F130" i="28"/>
  <c r="Y130" i="28"/>
  <c r="F224" i="28"/>
  <c r="Y224" i="28"/>
  <c r="X133" i="28"/>
  <c r="Y133" i="28"/>
  <c r="X197" i="28"/>
  <c r="Y197" i="28"/>
  <c r="X222" i="28"/>
  <c r="Y222" i="28"/>
  <c r="X36" i="28"/>
  <c r="Y36" i="28"/>
  <c r="X190" i="28"/>
  <c r="Y190" i="28"/>
  <c r="X53" i="28"/>
  <c r="Y53" i="28"/>
  <c r="X198" i="28"/>
  <c r="Y198" i="28"/>
  <c r="F223" i="28"/>
  <c r="Y223" i="28"/>
  <c r="X132" i="28"/>
  <c r="Y132" i="28"/>
  <c r="X14" i="28"/>
  <c r="Y14" i="28"/>
  <c r="X167" i="28"/>
  <c r="Y167" i="28"/>
  <c r="X185" i="28"/>
  <c r="Y185" i="28"/>
  <c r="X200" i="28"/>
  <c r="Y200" i="28"/>
  <c r="Y65" i="28"/>
  <c r="F177" i="28"/>
  <c r="Y177" i="28"/>
  <c r="F218" i="28"/>
  <c r="Y218" i="28"/>
  <c r="X17" i="28"/>
  <c r="Y17" i="28"/>
  <c r="F212" i="28"/>
  <c r="Y212" i="28"/>
  <c r="F77" i="28"/>
  <c r="Y77" i="28"/>
  <c r="F226" i="28"/>
  <c r="Y226" i="28"/>
  <c r="X80" i="28"/>
  <c r="Y80" i="28"/>
  <c r="X210" i="28"/>
  <c r="Y210" i="28"/>
  <c r="F9" i="30"/>
  <c r="H9" i="30" s="1"/>
  <c r="Y57" i="28"/>
  <c r="X179" i="28"/>
  <c r="Y179" i="28"/>
  <c r="X33" i="28"/>
  <c r="Y33" i="28"/>
  <c r="F174" i="28"/>
  <c r="Y174" i="28"/>
  <c r="X20" i="28"/>
  <c r="Y20" i="28"/>
  <c r="X160" i="28"/>
  <c r="Y160" i="28"/>
  <c r="X195" i="28"/>
  <c r="Y195" i="28"/>
  <c r="F144" i="28"/>
  <c r="Y144" i="28"/>
  <c r="Y183" i="28"/>
  <c r="F116" i="28"/>
  <c r="Y116" i="28"/>
  <c r="X194" i="28"/>
  <c r="Y194" i="28"/>
  <c r="X199" i="28"/>
  <c r="Y199" i="28"/>
  <c r="X118" i="28"/>
  <c r="Y118" i="28"/>
  <c r="X24" i="28"/>
  <c r="Y24" i="28"/>
  <c r="X131" i="28"/>
  <c r="Y131" i="28"/>
  <c r="F20" i="30"/>
  <c r="Y60" i="28"/>
  <c r="X164" i="28"/>
  <c r="Y164" i="28"/>
  <c r="X12" i="28"/>
  <c r="Y12" i="28"/>
  <c r="F211" i="28"/>
  <c r="Y211" i="28"/>
  <c r="Y79" i="28"/>
  <c r="X165" i="28"/>
  <c r="Y165" i="28"/>
  <c r="X34" i="28"/>
  <c r="Y34" i="28"/>
  <c r="F8" i="28"/>
  <c r="Y8" i="28"/>
  <c r="X230" i="28"/>
  <c r="Y230" i="28"/>
  <c r="X204" i="28"/>
  <c r="Y204" i="28"/>
  <c r="X157" i="28"/>
  <c r="Y157" i="28"/>
  <c r="X75" i="28"/>
  <c r="Y75" i="28"/>
  <c r="X155" i="28"/>
  <c r="Y155" i="28"/>
  <c r="X32" i="28"/>
  <c r="Y32" i="28"/>
  <c r="X119" i="28"/>
  <c r="Y119" i="28"/>
  <c r="X7" i="28"/>
  <c r="Y7" i="28"/>
  <c r="X196" i="28"/>
  <c r="Y196" i="28"/>
  <c r="X69" i="28"/>
  <c r="Y69" i="28"/>
  <c r="X215" i="28"/>
  <c r="Y215" i="28"/>
  <c r="F62" i="28"/>
  <c r="Y62" i="28"/>
  <c r="X202" i="28"/>
  <c r="Y202" i="28"/>
  <c r="X52" i="28"/>
  <c r="Y52" i="28"/>
  <c r="X171" i="28"/>
  <c r="Y171" i="28"/>
  <c r="X15" i="28"/>
  <c r="Y15" i="28"/>
  <c r="F146" i="28"/>
  <c r="Y146" i="28"/>
  <c r="X9" i="28"/>
  <c r="Y9" i="28"/>
  <c r="F149" i="28"/>
  <c r="Y149" i="28"/>
  <c r="Y282" i="28"/>
  <c r="X126" i="28"/>
  <c r="Y126" i="28"/>
  <c r="F175" i="28"/>
  <c r="Y175" i="28"/>
  <c r="F64" i="28"/>
  <c r="Y64" i="28"/>
  <c r="X124" i="28"/>
  <c r="Y124" i="28"/>
  <c r="F145" i="28"/>
  <c r="Y145" i="28"/>
  <c r="F35" i="28"/>
  <c r="Y35" i="28"/>
  <c r="X70" i="28"/>
  <c r="Y70" i="28"/>
  <c r="F221" i="28"/>
  <c r="Y221" i="28"/>
  <c r="X220" i="28"/>
  <c r="Y220" i="28"/>
  <c r="F182" i="28"/>
  <c r="Y182" i="28"/>
  <c r="F31" i="28"/>
  <c r="Y31" i="28"/>
  <c r="X121" i="28"/>
  <c r="Y121" i="28"/>
  <c r="X203" i="28"/>
  <c r="Y203" i="28"/>
  <c r="X225" i="28"/>
  <c r="Y225" i="28"/>
  <c r="X232" i="28"/>
  <c r="Y232" i="28"/>
  <c r="X153" i="28"/>
  <c r="Y153" i="28"/>
  <c r="F71" i="28"/>
  <c r="Y71" i="28"/>
  <c r="X152" i="28"/>
  <c r="Y152" i="28"/>
  <c r="F6" i="28"/>
  <c r="Y6" i="28"/>
  <c r="F186" i="28"/>
  <c r="Y186" i="28"/>
  <c r="F59" i="28"/>
  <c r="Y59" i="28"/>
  <c r="F181" i="28"/>
  <c r="Y181" i="28"/>
  <c r="F27" i="28"/>
  <c r="Y27" i="28"/>
  <c r="X189" i="28"/>
  <c r="Y189" i="28"/>
  <c r="F30" i="28"/>
  <c r="Y30" i="28"/>
  <c r="X163" i="28"/>
  <c r="Y163" i="28"/>
  <c r="X13" i="28"/>
  <c r="Y13" i="28"/>
  <c r="F141" i="28"/>
  <c r="Y141" i="28"/>
  <c r="X240" i="28"/>
  <c r="Y240" i="28"/>
  <c r="F139" i="28"/>
  <c r="Y139" i="28"/>
  <c r="F236" i="28"/>
  <c r="Y236" i="28"/>
  <c r="X61" i="28"/>
  <c r="Y61" i="28"/>
  <c r="X158" i="28"/>
  <c r="Y158" i="28"/>
  <c r="F56" i="28"/>
  <c r="Y56" i="28"/>
  <c r="F29" i="28"/>
  <c r="Y29" i="28"/>
  <c r="X120" i="28"/>
  <c r="Y120" i="28"/>
  <c r="F217" i="28"/>
  <c r="Y217" i="28"/>
  <c r="X168" i="28"/>
  <c r="Y168" i="28"/>
  <c r="F172" i="28"/>
  <c r="Y172" i="28"/>
  <c r="X128" i="28"/>
  <c r="Y128" i="28"/>
  <c r="X125" i="28"/>
  <c r="Y125" i="28"/>
  <c r="X187" i="28"/>
  <c r="Y187" i="28"/>
  <c r="F28" i="28"/>
  <c r="Y28" i="28"/>
  <c r="X209" i="28"/>
  <c r="Y209" i="28"/>
  <c r="X207" i="28"/>
  <c r="Y207" i="28"/>
  <c r="X188" i="28"/>
  <c r="Y188" i="28"/>
  <c r="X115" i="28"/>
  <c r="Y115" i="28"/>
  <c r="X166" i="28"/>
  <c r="Y166" i="28"/>
  <c r="X123" i="28"/>
  <c r="Y123" i="28"/>
  <c r="F23" i="28"/>
  <c r="Y23" i="28"/>
  <c r="X205" i="28"/>
  <c r="Y205" i="28"/>
  <c r="X176" i="28"/>
  <c r="Y176" i="28"/>
  <c r="X54" i="28"/>
  <c r="Y54" i="28"/>
  <c r="X173" i="28"/>
  <c r="Y173" i="28"/>
  <c r="X19" i="28"/>
  <c r="Y19" i="28"/>
  <c r="F159" i="28"/>
  <c r="Y159" i="28"/>
  <c r="F22" i="28"/>
  <c r="Y22" i="28"/>
  <c r="F154" i="28"/>
  <c r="Y154" i="28"/>
  <c r="X11" i="28"/>
  <c r="Y11" i="28"/>
  <c r="X89" i="28"/>
  <c r="Y89" i="28"/>
  <c r="F134" i="28"/>
  <c r="Y134" i="28"/>
  <c r="X234" i="28"/>
  <c r="Y234" i="28"/>
  <c r="X26" i="28"/>
  <c r="Y26" i="28"/>
  <c r="F147" i="28"/>
  <c r="Y147" i="28"/>
  <c r="F37" i="28"/>
  <c r="Y37" i="28"/>
  <c r="X4" i="28"/>
  <c r="Y4" i="28"/>
  <c r="X122" i="28"/>
  <c r="F122" i="28"/>
  <c r="X278" i="28"/>
  <c r="X283" i="28"/>
  <c r="X280" i="28"/>
  <c r="X279" i="28"/>
  <c r="X291" i="28"/>
  <c r="X281" i="28"/>
  <c r="X284" i="28"/>
  <c r="X282" i="28"/>
  <c r="F11" i="30"/>
  <c r="H11" i="30" s="1"/>
  <c r="F61" i="28"/>
  <c r="F17" i="30"/>
  <c r="F171" i="28"/>
  <c r="X277" i="28"/>
  <c r="F60" i="28"/>
  <c r="F26" i="28"/>
  <c r="F24" i="28"/>
  <c r="X238" i="28"/>
  <c r="X237" i="28"/>
  <c r="X239" i="28"/>
  <c r="X18" i="28"/>
  <c r="X130" i="28"/>
  <c r="X212" i="28"/>
  <c r="F52" i="28"/>
  <c r="F7" i="30"/>
  <c r="H7" i="30" s="1"/>
  <c r="F73" i="28"/>
  <c r="X116" i="28"/>
  <c r="F120" i="28"/>
  <c r="X35" i="28"/>
  <c r="X57" i="28"/>
  <c r="X139" i="28"/>
  <c r="X223" i="28"/>
  <c r="X137" i="28"/>
  <c r="F8" i="30"/>
  <c r="F53" i="28"/>
  <c r="X138" i="28"/>
  <c r="F57" i="28"/>
  <c r="X186" i="28"/>
  <c r="X56" i="28"/>
  <c r="D1" i="28"/>
  <c r="G151" i="28"/>
  <c r="X60" i="28"/>
  <c r="H239" i="28"/>
  <c r="Q239" i="28" s="1"/>
  <c r="F14" i="30"/>
  <c r="X227" i="28"/>
  <c r="X62" i="28"/>
  <c r="X140" i="28"/>
  <c r="X182" i="28"/>
  <c r="X147" i="28"/>
  <c r="X141" i="28"/>
  <c r="G164" i="28"/>
  <c r="Q164" i="28" s="1"/>
  <c r="X148" i="28"/>
  <c r="X218" i="28"/>
  <c r="X28" i="28"/>
  <c r="X64" i="28"/>
  <c r="X226" i="28"/>
  <c r="X156" i="28"/>
  <c r="X31" i="28"/>
  <c r="X170" i="28"/>
  <c r="X77" i="28"/>
  <c r="X217" i="28"/>
  <c r="X174" i="28"/>
  <c r="X134" i="28"/>
  <c r="X214" i="28"/>
  <c r="X23" i="28"/>
  <c r="F170" i="28"/>
  <c r="X162" i="28"/>
  <c r="X181" i="28"/>
  <c r="X27" i="28"/>
  <c r="X235" i="28"/>
  <c r="X22" i="28"/>
  <c r="X65" i="28"/>
  <c r="X146" i="28"/>
  <c r="X169" i="28"/>
  <c r="X76" i="28"/>
  <c r="X142" i="28"/>
  <c r="X25" i="28"/>
  <c r="F234" i="28"/>
  <c r="X8" i="28"/>
  <c r="X224" i="28"/>
  <c r="X154" i="28"/>
  <c r="X73" i="28"/>
  <c r="X211" i="28"/>
  <c r="X236" i="28"/>
  <c r="X144" i="28"/>
  <c r="X228" i="28"/>
  <c r="X183" i="28"/>
  <c r="X37" i="28"/>
  <c r="F151" i="28"/>
  <c r="Y143" i="28"/>
  <c r="X221" i="28"/>
  <c r="X135" i="28"/>
  <c r="X59" i="28"/>
  <c r="X184" i="28"/>
  <c r="X63" i="28"/>
  <c r="X149" i="28"/>
  <c r="X180" i="28"/>
  <c r="X175" i="28"/>
  <c r="X29" i="28"/>
  <c r="X172" i="28"/>
  <c r="H225" i="28"/>
  <c r="Q225" i="28" s="1"/>
  <c r="X213" i="28"/>
  <c r="X136" i="28"/>
  <c r="X55" i="28"/>
  <c r="X66" i="28"/>
  <c r="F58" i="28"/>
  <c r="X145" i="28"/>
  <c r="X159" i="28"/>
  <c r="X30" i="28"/>
  <c r="X6" i="28"/>
  <c r="X177" i="28"/>
  <c r="X79" i="28"/>
  <c r="X71" i="28"/>
  <c r="F17" i="28"/>
  <c r="F5" i="28"/>
  <c r="F179" i="28"/>
  <c r="F55" i="28"/>
  <c r="G34" i="28"/>
  <c r="Q34" i="28" s="1"/>
  <c r="G65" i="28"/>
  <c r="Q65" i="28" s="1"/>
  <c r="F66" i="28"/>
  <c r="F65" i="28"/>
  <c r="F21" i="28"/>
  <c r="E250" i="1"/>
  <c r="H238" i="28"/>
  <c r="Q238" i="28" s="1"/>
  <c r="G21" i="28"/>
  <c r="Q21" i="28" s="1"/>
  <c r="G179" i="28"/>
  <c r="Q179" i="28" s="1"/>
  <c r="F185" i="28"/>
  <c r="F188" i="28"/>
  <c r="F133" i="28"/>
  <c r="G133" i="28"/>
  <c r="Q133" i="28" s="1"/>
  <c r="F153" i="28"/>
  <c r="F117" i="28"/>
  <c r="F168" i="28"/>
  <c r="F167" i="28"/>
  <c r="F29" i="30"/>
  <c r="F75" i="28"/>
  <c r="F74" i="28"/>
  <c r="F28" i="30"/>
  <c r="H28" i="30" s="1"/>
  <c r="F33" i="28"/>
  <c r="F7" i="28"/>
  <c r="G163" i="28"/>
  <c r="Q163" i="28" s="1"/>
  <c r="F163" i="28"/>
  <c r="F79" i="28"/>
  <c r="G79" i="28"/>
  <c r="Q79" i="28" s="1"/>
  <c r="G80" i="28"/>
  <c r="Q80" i="28" s="1"/>
  <c r="G33" i="28"/>
  <c r="Q33" i="28" s="1"/>
  <c r="F72" i="28"/>
  <c r="F26" i="30"/>
  <c r="H26" i="30" s="1"/>
  <c r="F178" i="28"/>
  <c r="H220" i="28"/>
  <c r="Q220" i="28" s="1"/>
  <c r="F219" i="28"/>
  <c r="H237" i="28"/>
  <c r="Q237" i="28" s="1"/>
  <c r="F230" i="28"/>
  <c r="F10" i="30"/>
  <c r="F222" i="28"/>
  <c r="D18" i="73" l="1"/>
  <c r="F32" i="71"/>
  <c r="F23" i="71"/>
  <c r="F29" i="71" s="1"/>
  <c r="G239" i="28"/>
  <c r="G237" i="28"/>
  <c r="X10" i="28"/>
  <c r="Y10" i="28"/>
  <c r="F91" i="28"/>
  <c r="Y91" i="28"/>
  <c r="G238" i="28"/>
  <c r="F239" i="28"/>
  <c r="F10" i="28"/>
  <c r="X91" i="28"/>
  <c r="X143" i="28"/>
  <c r="F225" i="28"/>
  <c r="F238" i="28"/>
  <c r="F30" i="30"/>
  <c r="H29" i="30"/>
  <c r="H30" i="30" s="1"/>
  <c r="F220" i="28"/>
  <c r="F12" i="30"/>
  <c r="H10" i="30"/>
  <c r="H12" i="30" s="1"/>
  <c r="F237" i="28"/>
  <c r="D49" i="80" l="1"/>
  <c r="F49" i="80" s="1"/>
  <c r="F30" i="71"/>
  <c r="L295" i="28"/>
  <c r="J295" i="28"/>
  <c r="H32" i="30"/>
  <c r="F15" i="30"/>
  <c r="F18" i="30" s="1"/>
  <c r="F32" i="30"/>
  <c r="C22" i="30" l="1"/>
  <c r="F21" i="30"/>
  <c r="C21" i="30"/>
  <c r="F23" i="73" l="1"/>
</calcChain>
</file>

<file path=xl/sharedStrings.xml><?xml version="1.0" encoding="utf-8"?>
<sst xmlns="http://schemas.openxmlformats.org/spreadsheetml/2006/main" count="4339" uniqueCount="1828">
  <si>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</si>
  <si>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</si>
  <si>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</si>
  <si>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</si>
  <si>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</si>
  <si>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</si>
  <si>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</si>
  <si>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</si>
  <si>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</si>
  <si>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</si>
  <si>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</si>
  <si>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</si>
  <si>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</si>
  <si>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</si>
  <si>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</si>
  <si>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</si>
  <si>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</si>
  <si>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</si>
  <si>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</si>
  <si>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</si>
  <si>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</si>
  <si>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</si>
  <si>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</si>
  <si>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</si>
  <si>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</si>
  <si>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</si>
  <si>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</si>
  <si>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</si>
  <si>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</si>
  <si>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</si>
  <si>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</si>
  <si>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</si>
  <si>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</si>
  <si>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</si>
  <si>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</si>
  <si>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</si>
  <si>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</si>
  <si>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</si>
  <si>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</si>
  <si>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</si>
  <si>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</si>
  <si>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</si>
  <si>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</si>
  <si>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</si>
  <si>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</si>
  <si>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</si>
  <si>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</si>
  <si>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</si>
  <si>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</si>
  <si>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</si>
  <si>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</si>
  <si>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</si>
  <si>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</si>
  <si>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</si>
  <si>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</si>
  <si>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</si>
  <si>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</si>
  <si>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</si>
  <si>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</si>
  <si>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</si>
  <si>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</si>
  <si>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</si>
  <si>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</si>
  <si>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</si>
  <si>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</si>
  <si>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</si>
  <si>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</si>
  <si>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</si>
  <si>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</si>
  <si>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</si>
  <si>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</si>
  <si>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</si>
  <si>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</si>
  <si>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</si>
  <si>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</si>
  <si>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</si>
  <si>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</si>
  <si>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</si>
  <si>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</si>
  <si>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</si>
  <si>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</si>
  <si>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</si>
  <si>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</si>
  <si>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</si>
  <si>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</si>
  <si>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</si>
  <si>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</si>
  <si>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</si>
  <si>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</si>
  <si>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</si>
  <si>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</si>
  <si>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</si>
  <si>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</si>
  <si>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</si>
  <si>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</si>
  <si>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</si>
  <si>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</si>
  <si>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</si>
  <si>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</si>
  <si>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</si>
  <si>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</si>
  <si>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</si>
  <si>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</si>
  <si>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</si>
  <si>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</si>
  <si>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</si>
  <si>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</si>
  <si>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</si>
  <si>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</si>
  <si>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</si>
  <si>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</si>
  <si>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</si>
  <si>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</si>
  <si>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</si>
  <si>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</si>
  <si>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</si>
  <si>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</si>
  <si>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</si>
  <si>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</si>
  <si>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</si>
  <si>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</si>
  <si>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</si>
  <si>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</si>
  <si>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</si>
  <si>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</si>
  <si>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</si>
  <si>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</si>
  <si>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</si>
  <si>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</si>
  <si>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</si>
  <si>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</si>
  <si>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</si>
  <si>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</si>
  <si>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</si>
  <si>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</si>
  <si>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</si>
  <si>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</si>
  <si>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</si>
  <si>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</si>
  <si>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</si>
  <si>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</si>
  <si>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</si>
  <si>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</si>
  <si>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</si>
  <si>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</si>
  <si>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</si>
  <si>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</si>
  <si>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</si>
  <si>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</si>
  <si>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</si>
  <si>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</si>
  <si>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</si>
  <si>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</si>
  <si>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</si>
  <si>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</si>
  <si>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</si>
  <si>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</si>
  <si>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</si>
  <si>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</si>
  <si>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</si>
  <si>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</si>
  <si>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</si>
  <si>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</si>
  <si>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</si>
  <si>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</si>
  <si>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</si>
  <si>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</si>
  <si>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</si>
  <si>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</si>
  <si>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</si>
  <si>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</si>
  <si>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</si>
  <si>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</si>
  <si>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</si>
  <si>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</si>
  <si>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</si>
  <si>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</si>
  <si>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</si>
  <si>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</si>
  <si>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</si>
  <si>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</si>
  <si>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</si>
  <si>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</si>
  <si>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</si>
  <si>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</si>
  <si>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</si>
  <si>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</si>
  <si>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</si>
  <si>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</si>
  <si>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</si>
  <si>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</si>
  <si>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</si>
  <si>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</si>
  <si>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</si>
  <si>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</si>
  <si>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</si>
  <si>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</si>
  <si>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</si>
  <si>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</si>
  <si>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</si>
  <si>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</si>
  <si>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</si>
  <si>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</si>
  <si>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</si>
  <si>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</si>
  <si>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</si>
  <si>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</si>
  <si>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</si>
  <si>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</si>
  <si>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</si>
  <si>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</si>
  <si>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</si>
  <si>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</si>
  <si>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</si>
  <si>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</si>
  <si>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</si>
  <si>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</si>
  <si>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</si>
  <si>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</si>
  <si>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</si>
  <si>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</si>
  <si>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</si>
  <si>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</si>
  <si>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</si>
  <si>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</si>
  <si>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</si>
  <si>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</si>
  <si>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</si>
  <si>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</si>
  <si>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</si>
  <si>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</si>
  <si>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</si>
  <si>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</si>
  <si>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</si>
  <si>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</si>
  <si>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</si>
  <si>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</si>
  <si>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</si>
  <si>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</si>
  <si>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</si>
  <si>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</si>
  <si>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</si>
  <si>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</si>
  <si>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</si>
  <si>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</si>
  <si>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</si>
  <si>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</si>
  <si>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</si>
  <si>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</si>
  <si>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</si>
  <si>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</si>
  <si>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</si>
  <si>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</si>
  <si>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</si>
  <si>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</si>
  <si>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</si>
  <si>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</si>
  <si>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ARC</t>
  </si>
  <si>
    <t>OPEB- Obligation</t>
  </si>
  <si>
    <t>OPEB- Actuarial Value of Assets</t>
  </si>
  <si>
    <t>OPEB- UAAL</t>
  </si>
  <si>
    <t>OPEB- UAAL % of Payroll</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</si>
  <si>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</si>
  <si>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</si>
  <si>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</si>
  <si>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</si>
  <si>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</si>
  <si>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</si>
  <si>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</si>
  <si>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</si>
  <si>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</si>
  <si>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</si>
  <si>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</si>
  <si>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</si>
  <si>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</si>
  <si>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</si>
  <si>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</si>
  <si>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</si>
  <si>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</si>
  <si>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</si>
  <si>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</si>
  <si>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</si>
  <si>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</si>
  <si>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</si>
  <si>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</si>
  <si>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</si>
  <si>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</si>
  <si>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</si>
  <si>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</si>
  <si>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</si>
  <si>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</si>
  <si>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</si>
  <si>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</si>
  <si>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</si>
  <si>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</si>
  <si>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</si>
  <si>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</si>
  <si>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Unit Number</t>
  </si>
  <si>
    <t>CCH 4</t>
  </si>
  <si>
    <t>CCH 5</t>
  </si>
  <si>
    <t>CCH 6</t>
  </si>
  <si>
    <t>CCH 7</t>
  </si>
  <si>
    <t>CCH 9</t>
  </si>
  <si>
    <t>CCH 11</t>
  </si>
  <si>
    <t>CCH 12</t>
  </si>
  <si>
    <t>CCH 13</t>
  </si>
  <si>
    <t>C-EF- Current liabilities (Inc. Def Rev, Excl. BANs &amp; Comp Abs)</t>
  </si>
  <si>
    <t>CCH 14</t>
  </si>
  <si>
    <t>CCH 16</t>
  </si>
  <si>
    <t>CCH 17</t>
  </si>
  <si>
    <t>CCH 19</t>
  </si>
  <si>
    <t>CCH 20</t>
  </si>
  <si>
    <t>CCH 21</t>
  </si>
  <si>
    <t>CCH 22</t>
  </si>
  <si>
    <t>CCH 23</t>
  </si>
  <si>
    <t>CCH 31</t>
  </si>
  <si>
    <t xml:space="preserve">Combined Totals of all Proprietary Funds - Depreciation &amp; Amortization Expense </t>
  </si>
  <si>
    <t>CCH 32</t>
  </si>
  <si>
    <t>Combined Totals of all Proprietary Funds - Cash Flow from Operating</t>
  </si>
  <si>
    <t>CCH 33</t>
  </si>
  <si>
    <t>Hospital-EF- Unrestricted Cash &amp; Invest</t>
  </si>
  <si>
    <t>CCH 34</t>
  </si>
  <si>
    <t>CCH 35</t>
  </si>
  <si>
    <t>CCH 36</t>
  </si>
  <si>
    <t xml:space="preserve">Hospital-EF- Total LT Debt (non current portion only) (BS) </t>
  </si>
  <si>
    <t>CCH 37</t>
  </si>
  <si>
    <t>CCH 38</t>
  </si>
  <si>
    <t>Hospital-EF- Principal Paid on LTD (SCF)</t>
  </si>
  <si>
    <t>CCH 39</t>
  </si>
  <si>
    <t>Hospital-EF- Net Patient Revenue (IS)</t>
  </si>
  <si>
    <t>CCH 40</t>
  </si>
  <si>
    <t>Hospital-EF- Interest expenses (IS)</t>
  </si>
  <si>
    <t>CCH 41</t>
  </si>
  <si>
    <t>WS-EF- Current Assets (unrestricted, excl. inventory and prepaids)</t>
  </si>
  <si>
    <t>CCH 43</t>
  </si>
  <si>
    <t>CCH 44</t>
  </si>
  <si>
    <t>CCH 45</t>
  </si>
  <si>
    <t>CCH 46</t>
  </si>
  <si>
    <t>CCH 47</t>
  </si>
  <si>
    <t>CCH 48</t>
  </si>
  <si>
    <t>CCH 49</t>
  </si>
  <si>
    <t>CCH 50</t>
  </si>
  <si>
    <t>CCH 51</t>
  </si>
  <si>
    <t>CCH 52</t>
  </si>
  <si>
    <t>CCH 53</t>
  </si>
  <si>
    <t>CCH 54</t>
  </si>
  <si>
    <t>CCH 55</t>
  </si>
  <si>
    <t>CCH 61</t>
  </si>
  <si>
    <t>CCH 80</t>
  </si>
  <si>
    <t>CCH 81</t>
  </si>
  <si>
    <t>CCH 82</t>
  </si>
  <si>
    <t>CCH 83</t>
  </si>
  <si>
    <t>CCH 84</t>
  </si>
  <si>
    <t>CCH 85</t>
  </si>
  <si>
    <t>CCH 88</t>
  </si>
  <si>
    <t>CCH 89</t>
  </si>
  <si>
    <t>CCH 90</t>
  </si>
  <si>
    <t>CCH 91</t>
  </si>
  <si>
    <t>CCH 92</t>
  </si>
  <si>
    <t>CCH 93</t>
  </si>
  <si>
    <t>CCH 94</t>
  </si>
  <si>
    <t>CCH 97</t>
  </si>
  <si>
    <t>CCH 98</t>
  </si>
  <si>
    <t>CCH 99</t>
  </si>
  <si>
    <t>CCH 100</t>
  </si>
  <si>
    <t>CCH 101</t>
  </si>
  <si>
    <t>CCH 102</t>
  </si>
  <si>
    <t>CCH 103</t>
  </si>
  <si>
    <t>Hospital-EF- Capital Outlays</t>
  </si>
  <si>
    <t>CCH 104</t>
  </si>
  <si>
    <t>CCH 107</t>
  </si>
  <si>
    <t>CCH 108</t>
  </si>
  <si>
    <t xml:space="preserve">Counties Only- Local Current Expense to BOEs </t>
  </si>
  <si>
    <t>CCH 147</t>
  </si>
  <si>
    <t xml:space="preserve">Counties Only- Capital Outlay Contribution to BOEs </t>
  </si>
  <si>
    <t>CCH 148</t>
  </si>
  <si>
    <t xml:space="preserve">BOE Only-- Local Current Exp. Revenue from County. </t>
  </si>
  <si>
    <t>CCH 149</t>
  </si>
  <si>
    <t xml:space="preserve">BOE- Only-- Capital outlay revenue from county (GF, SRF, CPF) </t>
  </si>
  <si>
    <t>CCH 150</t>
  </si>
  <si>
    <t>CCH 171</t>
  </si>
  <si>
    <t>CCH 191</t>
  </si>
  <si>
    <t>CCH 192</t>
  </si>
  <si>
    <t>Combined Totals of all Proprietary Funds - Capital Contributions</t>
  </si>
  <si>
    <t>CCH 193</t>
  </si>
  <si>
    <t>Hospital-EF- Capital contributions (only positive)</t>
  </si>
  <si>
    <t>CCH 194</t>
  </si>
  <si>
    <t>GF- Total cash &amp; investments (restricted &amp; unrestricted)</t>
  </si>
  <si>
    <t>CCH 231</t>
  </si>
  <si>
    <t>All cash and investments (unit-wide, w/ fiduciary fds, &amp; restricted cash)</t>
  </si>
  <si>
    <t>CCH 251</t>
  </si>
  <si>
    <t>CCH 252</t>
  </si>
  <si>
    <t>CCH 253</t>
  </si>
  <si>
    <t>CCH 254</t>
  </si>
  <si>
    <t>CCH 255</t>
  </si>
  <si>
    <t>BOE Only- Timber Receipts Revenue</t>
  </si>
  <si>
    <t>CCH 274</t>
  </si>
  <si>
    <t>CCH 294</t>
  </si>
  <si>
    <t>Public Housing Authority- HUD Capital grants amount (SCF, don't include operating grants)</t>
  </si>
  <si>
    <t>CCH 314</t>
  </si>
  <si>
    <t>Public Housing Authority- Amount paid for capital asset acquisition (SCF)</t>
  </si>
  <si>
    <t>CCH 315</t>
  </si>
  <si>
    <t>Public Housing Authority - Operating income (loss)</t>
  </si>
  <si>
    <t>CCH 316</t>
  </si>
  <si>
    <t>CCH 320</t>
  </si>
  <si>
    <t>CCH 321</t>
  </si>
  <si>
    <t>CCH 322</t>
  </si>
  <si>
    <t>CCH 323</t>
  </si>
  <si>
    <t>CCH 324</t>
  </si>
  <si>
    <t>CCH 325</t>
  </si>
  <si>
    <t>CCH 326</t>
  </si>
  <si>
    <t>CCH 327</t>
  </si>
  <si>
    <t>CCH 328</t>
  </si>
  <si>
    <t>CCH 330</t>
  </si>
  <si>
    <t>CCH 331</t>
  </si>
  <si>
    <t>CCH 332</t>
  </si>
  <si>
    <t>CCH 333</t>
  </si>
  <si>
    <t>CCH 334</t>
  </si>
  <si>
    <t>CCH 335</t>
  </si>
  <si>
    <t>CCH 336</t>
  </si>
  <si>
    <t>CCH 337</t>
  </si>
  <si>
    <t>CCH 338</t>
  </si>
  <si>
    <t>CCH 339</t>
  </si>
  <si>
    <t>CCH 340</t>
  </si>
  <si>
    <t>CCH 341</t>
  </si>
  <si>
    <t>CCH 342</t>
  </si>
  <si>
    <t>CCH 343</t>
  </si>
  <si>
    <t>CCH 344</t>
  </si>
  <si>
    <t>CCH 346</t>
  </si>
  <si>
    <t>CCH 347</t>
  </si>
  <si>
    <t>CCH 349</t>
  </si>
  <si>
    <t>CCH 350</t>
  </si>
  <si>
    <t>CCH 351</t>
  </si>
  <si>
    <t>CCH 352</t>
  </si>
  <si>
    <t>CCH 353</t>
  </si>
  <si>
    <t>CCH 354</t>
  </si>
  <si>
    <t>CCH 357</t>
  </si>
  <si>
    <t>CCH 359</t>
  </si>
  <si>
    <t>CCH 360</t>
  </si>
  <si>
    <t>CCH 361</t>
  </si>
  <si>
    <t>CCH 362</t>
  </si>
  <si>
    <t>CCH 363</t>
  </si>
  <si>
    <t>CCH 364</t>
  </si>
  <si>
    <t>CCH 365</t>
  </si>
  <si>
    <t>CCH 366</t>
  </si>
  <si>
    <t>CCH 367</t>
  </si>
  <si>
    <t>CCH 368</t>
  </si>
  <si>
    <t>CCH 369</t>
  </si>
  <si>
    <t>CCH 370</t>
  </si>
  <si>
    <t>CCH 371</t>
  </si>
  <si>
    <t>CCH 373</t>
  </si>
  <si>
    <t>CCH 375</t>
  </si>
  <si>
    <t>CCH 376</t>
  </si>
  <si>
    <t>CCH 377</t>
  </si>
  <si>
    <t>CCH 378</t>
  </si>
  <si>
    <t>CCH 379</t>
  </si>
  <si>
    <t>CCH 380</t>
  </si>
  <si>
    <t>CCH 381</t>
  </si>
  <si>
    <t>CCH 382</t>
  </si>
  <si>
    <t>CCH 383</t>
  </si>
  <si>
    <t>CCH 384</t>
  </si>
  <si>
    <t>CCH 385</t>
  </si>
  <si>
    <t>CCH 386</t>
  </si>
  <si>
    <t>CCH 387</t>
  </si>
  <si>
    <t>CCH 388</t>
  </si>
  <si>
    <t>CCH 389</t>
  </si>
  <si>
    <t>CCH 391</t>
  </si>
  <si>
    <t>CCH 500</t>
  </si>
  <si>
    <t>CCH 501</t>
  </si>
  <si>
    <t>CCH 502</t>
  </si>
  <si>
    <t>CCH 503</t>
  </si>
  <si>
    <t>CCH 504</t>
  </si>
  <si>
    <t>CCH 505</t>
  </si>
  <si>
    <t>CCH 506</t>
  </si>
  <si>
    <t>CCH 507</t>
  </si>
  <si>
    <t>CCH 508</t>
  </si>
  <si>
    <t>CCH 509</t>
  </si>
  <si>
    <t>CCH 510</t>
  </si>
  <si>
    <t>CCH 511</t>
  </si>
  <si>
    <t>CCH 512</t>
  </si>
  <si>
    <t>CCH 513</t>
  </si>
  <si>
    <t>CCH 514</t>
  </si>
  <si>
    <t>CCH 515</t>
  </si>
  <si>
    <t>CCH 516</t>
  </si>
  <si>
    <t>CCH 517</t>
  </si>
  <si>
    <t>CCH 518</t>
  </si>
  <si>
    <t>CCH 519</t>
  </si>
  <si>
    <t>CCH 520</t>
  </si>
  <si>
    <t>CCH 521</t>
  </si>
  <si>
    <t>CCH 522</t>
  </si>
  <si>
    <t>CCH 523</t>
  </si>
  <si>
    <t>CCH 524</t>
  </si>
  <si>
    <t>CCH 525</t>
  </si>
  <si>
    <t>CCH 526</t>
  </si>
  <si>
    <t>CCH 527</t>
  </si>
  <si>
    <t>CCH 528</t>
  </si>
  <si>
    <t>CCH 529</t>
  </si>
  <si>
    <t>CCH 530</t>
  </si>
  <si>
    <t>CCH 531</t>
  </si>
  <si>
    <t>CCH 532</t>
  </si>
  <si>
    <t>CCH 533</t>
  </si>
  <si>
    <t>CCH 534</t>
  </si>
  <si>
    <t>CCH 535</t>
  </si>
  <si>
    <t>CCH 536</t>
  </si>
  <si>
    <t>CCH 537</t>
  </si>
  <si>
    <t>CCH 538</t>
  </si>
  <si>
    <t>CCH 539</t>
  </si>
  <si>
    <t>CCH 540</t>
  </si>
  <si>
    <t>CCH 541</t>
  </si>
  <si>
    <t>CCH 542</t>
  </si>
  <si>
    <t>CCH 543</t>
  </si>
  <si>
    <t>CCH 544</t>
  </si>
  <si>
    <t>CCH 545</t>
  </si>
  <si>
    <t>CCH 546</t>
  </si>
  <si>
    <t>CCH 547</t>
  </si>
  <si>
    <t>Hospital - No Budget required</t>
  </si>
  <si>
    <t>CCH 993</t>
  </si>
  <si>
    <t>Hospital - No Contract required</t>
  </si>
  <si>
    <t>CCH 994</t>
  </si>
  <si>
    <t>Units with Electric Operations have. 07,. 08,. 09</t>
  </si>
  <si>
    <t>CCH 995</t>
  </si>
  <si>
    <t>Units with Water Sewer Operations have. 01</t>
  </si>
  <si>
    <t>CCH 996</t>
  </si>
  <si>
    <t>CCH 998</t>
  </si>
  <si>
    <t>CCH 999</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</si>
  <si>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</si>
  <si>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</si>
  <si>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</si>
  <si>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</si>
  <si>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</si>
  <si>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</si>
  <si>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</si>
  <si>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</si>
  <si>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</si>
  <si>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</si>
  <si>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</si>
  <si>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</si>
  <si>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</si>
  <si>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</si>
  <si>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</si>
  <si>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Unit paid to Officers under LEO</t>
  </si>
  <si>
    <t xml:space="preserve">OPEB 
1-implicit rate only  
2-no benefit 
3-benfit 
4- state health plan  </t>
  </si>
  <si>
    <t>Law Enforcement Officers - Actuarial value of Assets</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</si>
  <si>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</si>
  <si>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</si>
  <si>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</si>
  <si>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</si>
  <si>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</si>
  <si>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</si>
  <si>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</si>
  <si>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</si>
  <si>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</si>
  <si>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</si>
  <si>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</si>
  <si>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</si>
  <si>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</si>
  <si>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</si>
  <si>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</si>
  <si>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</si>
  <si>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</si>
  <si>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</si>
  <si>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</si>
  <si>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</si>
  <si>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</si>
  <si>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</si>
  <si>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</si>
  <si>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</si>
  <si>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use on upload template</t>
  </si>
  <si>
    <t>Gen Fund - Total Expenditures</t>
  </si>
  <si>
    <t>Gen Fund - Proceeds from LTD</t>
  </si>
  <si>
    <t>CCH 548</t>
  </si>
  <si>
    <t>CCH 549</t>
  </si>
  <si>
    <t>Debt Service payments made from Bond investments</t>
  </si>
  <si>
    <t>CCH 550</t>
  </si>
  <si>
    <t>CCH 551</t>
  </si>
  <si>
    <t>CCH 552</t>
  </si>
  <si>
    <t>CCH 553</t>
  </si>
  <si>
    <t>Single Audit Only - total amount of federal awards and grants expended as found on SEFSA</t>
  </si>
  <si>
    <t>CCH 554</t>
  </si>
  <si>
    <t>Single Audit Only - Total amount of federal awards and grants that were audited as major as found on SEFSA</t>
  </si>
  <si>
    <t>CCH 555</t>
  </si>
  <si>
    <t>Single Audit Only - total amount of state awards and grants expended as found on SEFSA</t>
  </si>
  <si>
    <t>CCH 556</t>
  </si>
  <si>
    <t>Single Audit Only - Total amount of state awards and grants that were audited as major as found on SEFSA</t>
  </si>
  <si>
    <t>CCH 557</t>
  </si>
  <si>
    <t>CCH 558</t>
  </si>
  <si>
    <t>CCH 559</t>
  </si>
  <si>
    <t>CCH 560</t>
  </si>
  <si>
    <t>CCH 561</t>
  </si>
  <si>
    <t>CCH 562</t>
  </si>
  <si>
    <t>CCH 563</t>
  </si>
  <si>
    <t>CCH 564</t>
  </si>
  <si>
    <t>CCH 565</t>
  </si>
  <si>
    <t>CCH 566</t>
  </si>
  <si>
    <t>CCH 567</t>
  </si>
  <si>
    <t>CCH 568</t>
  </si>
  <si>
    <t>CCH 569</t>
  </si>
  <si>
    <t>CCH 570</t>
  </si>
  <si>
    <t>CCH 571</t>
  </si>
  <si>
    <t>CCH 572</t>
  </si>
  <si>
    <t>CCH 573</t>
  </si>
  <si>
    <t>CCH 574</t>
  </si>
  <si>
    <t>CCH 992</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</si>
  <si>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</si>
  <si>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</si>
  <si>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</si>
  <si>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</si>
  <si>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</si>
  <si>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</si>
  <si>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</si>
  <si>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</si>
  <si>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</si>
  <si>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</si>
  <si>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</si>
  <si>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</si>
  <si>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</si>
  <si>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</si>
  <si>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Gen Fund - Current Liabilities</t>
  </si>
  <si>
    <t>C-EF- Current Assets (unrestricted, excl. inventory and prepaids)</t>
  </si>
  <si>
    <t>C-EF Current Assets (unrestricted, incl. inventory and prepaids)</t>
  </si>
  <si>
    <t>GF- Total expenditures</t>
  </si>
  <si>
    <t>GF- Proceeds from all LT debt issuance (COPs, IPs, Notes, CLs, etc.)</t>
  </si>
  <si>
    <t>C-EF- Change in Net Assets</t>
  </si>
  <si>
    <t>Hospital-EF - Patient A/Rec, net</t>
  </si>
  <si>
    <t>Hospital-EF- Total Gross Capital Assets (BS), w/o acc. dep.</t>
  </si>
  <si>
    <t xml:space="preserve">Hospital-EF- Unrestricted Fund Equity/Net Assets </t>
  </si>
  <si>
    <t>WS - Total Current Assets</t>
  </si>
  <si>
    <t>WS - Select Current Liabilities</t>
  </si>
  <si>
    <t>E-EF- Current Assets (unrestricted, excl. inventory and prepaids)</t>
  </si>
  <si>
    <t>Electric - Total Current Assets</t>
  </si>
  <si>
    <t>E-EF- Net Transfers In(Out)- with GF only</t>
  </si>
  <si>
    <t>E-EF- Gross Capital Assets</t>
  </si>
  <si>
    <t>Hospital-EF - Total Operating Revenues</t>
  </si>
  <si>
    <t xml:space="preserve">Hospital-EF- Total Operating Expenses. May include Interest Exp. </t>
  </si>
  <si>
    <t>WS Cap Asset - Land &amp; other Non-Construction</t>
  </si>
  <si>
    <t>WS-EF- Accumulated Infrastructure Deprec Expense</t>
  </si>
  <si>
    <t>Gov - Select Current Liabilities</t>
  </si>
  <si>
    <t>GA- Total Program revenues (SOA)</t>
  </si>
  <si>
    <t>GA- Total Net transfers in(out) (SOA)</t>
  </si>
  <si>
    <t>WS-EF- Total depreciable capital assets, gross</t>
  </si>
  <si>
    <t>WS-EF- Total Accum Deprec on all capital assets.</t>
  </si>
  <si>
    <t>GF- Restricted cash &amp; investments</t>
  </si>
  <si>
    <t>CCH 575</t>
  </si>
  <si>
    <t>CCH 576</t>
  </si>
  <si>
    <t>Yes  or "1" indicates unit has defined benefit other than the ones adm. By the state</t>
  </si>
  <si>
    <t>CCH 577</t>
  </si>
  <si>
    <t>WS-Advance From - Liability</t>
  </si>
  <si>
    <t>CCH 578</t>
  </si>
  <si>
    <t>WS-Advance To - Asset</t>
  </si>
  <si>
    <t>CCH 579</t>
  </si>
  <si>
    <t>EF-Advance From - Liability</t>
  </si>
  <si>
    <t>CCH 580</t>
  </si>
  <si>
    <t>EF-Advance To - Asset</t>
  </si>
  <si>
    <t>CCH 581</t>
  </si>
  <si>
    <t>TDA- Government Wide current and long-term debt</t>
  </si>
  <si>
    <t>CCH 582</t>
  </si>
  <si>
    <t>Bus- Total Expenses</t>
  </si>
  <si>
    <t>CCH 583</t>
  </si>
  <si>
    <t>Bus-Total Revenues</t>
  </si>
  <si>
    <t>CCH 584</t>
  </si>
  <si>
    <t>County only-timber receipts sent to the schools</t>
  </si>
  <si>
    <t>CCH 585</t>
  </si>
  <si>
    <t>GF - Advance from</t>
  </si>
  <si>
    <t>CCH 586</t>
  </si>
  <si>
    <t>Local Curr Exp trx to Fund 8</t>
  </si>
  <si>
    <t>CCH 587</t>
  </si>
  <si>
    <t>Capital Outlay trx to Fund 8</t>
  </si>
  <si>
    <t>CCH 588</t>
  </si>
  <si>
    <t>County-supplemental school tax reported in Agency fund</t>
  </si>
  <si>
    <t>CCH 589</t>
  </si>
  <si>
    <t xml:space="preserve">This is a description question that is retained on the data input tab - This information is not uploaded to CCH or our data base </t>
  </si>
  <si>
    <t>CCH 590</t>
  </si>
  <si>
    <t>Statement of Activities                               (all governmental and business funds)</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</si>
  <si>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</si>
  <si>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</si>
  <si>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</si>
  <si>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</si>
  <si>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</si>
  <si>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</si>
  <si>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</si>
  <si>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</si>
  <si>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</si>
  <si>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Unit Contact Question</t>
  </si>
  <si>
    <t>Interest income from statement of activitites</t>
  </si>
  <si>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</si>
  <si>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</si>
  <si>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</si>
  <si>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</si>
  <si>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</si>
  <si>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</si>
  <si>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</si>
  <si>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</si>
  <si>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</si>
  <si>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</si>
  <si>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</si>
  <si>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</si>
  <si>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</si>
  <si>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</si>
  <si>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</si>
  <si>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</si>
  <si>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</si>
  <si>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</si>
  <si>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</si>
  <si>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Data Import</t>
  </si>
  <si>
    <t/>
  </si>
  <si>
    <t>If you have LEO pension assets and are reporting under GASB 68 please enter "Plan Fiduciary Net Position" which can be found on your RSI schedules.</t>
  </si>
  <si>
    <t>Health benefits - plan's fiduary net postion as a % of total OPEB liability</t>
  </si>
  <si>
    <t>Vision benefits - plan's fiduary net postion as a % of total OPEB liability</t>
  </si>
  <si>
    <t>Dental benefits - plan's fiduary net postion as a % of total OPEB liability</t>
  </si>
  <si>
    <t>Other benefits - plan's fiduary net postion as a % of total OPEB liability</t>
  </si>
  <si>
    <t>LEOSSA – What is the plan’s fiduciary net position as a percentage of the total pension liability?  Please enter as percentage value; for example, 83.5% should be entered as 83.5.  If assets have not been set aside in a trust, please enter 0.0</t>
  </si>
  <si>
    <t>LEO - plan's fiduary net position as a % of total pension liability</t>
  </si>
  <si>
    <t>FS., OPEB  note or RSI</t>
  </si>
  <si>
    <t>Compliance opinion - enter "1" for clean Opinion or "2" for other than clean opinion</t>
  </si>
  <si>
    <t>FS., Pension note or RSI</t>
  </si>
  <si>
    <t>Notes to the Financial Statements - Pension Note</t>
  </si>
  <si>
    <t>Net OPEB Liability (RHBF)</t>
  </si>
  <si>
    <t>FS., OPEB note or RSI</t>
  </si>
  <si>
    <t>Does the County collect real estate property taxes on your behalf? Select "1" for "yes and "2" for "No"</t>
  </si>
  <si>
    <t>Not loaded to CCH</t>
  </si>
  <si>
    <t>County collects real estate property on your behalf</t>
  </si>
  <si>
    <t>Net Pension Liability</t>
  </si>
  <si>
    <t>Determination of Fiscal Health</t>
  </si>
  <si>
    <t>Fund Balance, Unassigned</t>
  </si>
  <si>
    <t>Debt Service Fund</t>
  </si>
  <si>
    <t>Please enter the Total Fund Balance for any Debt Service Funds</t>
  </si>
  <si>
    <t>Water Sewer Net Position Statement</t>
  </si>
  <si>
    <t>Total Fund Balance</t>
  </si>
  <si>
    <t>Quick Ratio</t>
  </si>
  <si>
    <t>General fund:</t>
  </si>
  <si>
    <t>Electric Fund:</t>
  </si>
  <si>
    <t>Water Sewer Funds:</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</si>
  <si>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</si>
  <si>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</si>
  <si>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</si>
  <si>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</si>
  <si>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</si>
  <si>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</si>
  <si>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</si>
  <si>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</si>
  <si>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</si>
  <si>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</si>
  <si>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</si>
  <si>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</si>
  <si>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</si>
  <si>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</si>
  <si>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</si>
  <si>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</si>
  <si>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</si>
  <si>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</si>
  <si>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</si>
  <si>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</si>
  <si>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</si>
  <si>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</si>
  <si>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</si>
  <si>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t>Fund balance, Assigned (total of all assigned components)</t>
  </si>
  <si>
    <t>Amount of the General Fund Balance appropriated in next year's budget. As reported on the General Fund Balance Sheet.</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</si>
  <si>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</si>
  <si>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</si>
  <si>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</si>
  <si>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</si>
  <si>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</si>
  <si>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</si>
  <si>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</si>
  <si>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</si>
  <si>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</si>
  <si>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</si>
  <si>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</si>
  <si>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</si>
  <si>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</si>
  <si>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</si>
  <si>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</si>
  <si>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</si>
  <si>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</si>
  <si>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</si>
  <si>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</si>
  <si>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</si>
  <si>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</si>
  <si>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</si>
  <si>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</si>
  <si>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</si>
  <si>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</si>
  <si>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</si>
  <si>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</si>
  <si>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</si>
  <si>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</si>
  <si>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</si>
  <si>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</si>
  <si>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</si>
  <si>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Total FB for Debt Service Funds</t>
  </si>
  <si>
    <t>GF  FBA</t>
  </si>
  <si>
    <t>GF Exp and Tran out</t>
  </si>
  <si>
    <t>GF FBA% of Exp</t>
  </si>
  <si>
    <t>(506+536-4-5-6)+647</t>
  </si>
  <si>
    <t>WS debt service</t>
  </si>
  <si>
    <t>100+98</t>
  </si>
  <si>
    <t>44-510</t>
  </si>
  <si>
    <t>WS Current asset</t>
  </si>
  <si>
    <t>(506+536-4-5-6)+647/(532+20+509-533-508)</t>
  </si>
  <si>
    <t>532+20+509-533-508</t>
  </si>
  <si>
    <t>331+89</t>
  </si>
  <si>
    <t>WS Days in Sales</t>
  </si>
  <si>
    <t xml:space="preserve">Electric Days in Sales </t>
  </si>
  <si>
    <t>81*365/88</t>
  </si>
  <si>
    <t>91*365/97</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</si>
  <si>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</si>
  <si>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</si>
  <si>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</si>
  <si>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</si>
  <si>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</si>
  <si>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</si>
  <si>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</si>
  <si>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</si>
  <si>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</si>
  <si>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</si>
  <si>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Do you use prepared food/occupancy tax revenue stream to support debt?  Select "1" for Yes and "2" for No</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</si>
  <si>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</si>
  <si>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</si>
  <si>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</si>
  <si>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Unit was issued:
1) No UL
2) No UL but visit is needed
3) UL with response
4) SUL requiring written response
5) Communication to DPI</t>
  </si>
  <si>
    <t>OPEB-Plan's fiduciary net position as a % of total OPEB liability</t>
  </si>
  <si>
    <t>Do you use prepared food/occupancy tax revenue stream to support debt.  Yes =1 No=2</t>
  </si>
  <si>
    <t>(654-655-579-510)/(633-634-635-636-637-638-578)</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</si>
  <si>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</si>
  <si>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</si>
  <si>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</si>
  <si>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</si>
  <si>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</si>
  <si>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</si>
  <si>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</si>
  <si>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</si>
  <si>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</si>
  <si>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</si>
  <si>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</si>
  <si>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</si>
  <si>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</si>
  <si>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</si>
  <si>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</si>
  <si>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</si>
  <si>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</si>
  <si>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</si>
  <si>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</si>
  <si>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</si>
  <si>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Love Valley</t>
  </si>
  <si>
    <t>Lucama</t>
  </si>
  <si>
    <t>Lumberton</t>
  </si>
  <si>
    <t>Macclesfield</t>
  </si>
  <si>
    <t>Magnolia</t>
  </si>
  <si>
    <t>Maysville</t>
  </si>
  <si>
    <t>Supplemental School Tax</t>
  </si>
  <si>
    <t>Electric cash flow - debt service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</si>
  <si>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</si>
  <si>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</si>
  <si>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</si>
  <si>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</si>
  <si>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</si>
  <si>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</si>
  <si>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</si>
  <si>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</si>
  <si>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</si>
  <si>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</si>
  <si>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</si>
  <si>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</si>
  <si>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</si>
  <si>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</si>
  <si>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</si>
  <si>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</si>
  <si>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</si>
  <si>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</si>
  <si>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</si>
  <si>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</si>
  <si>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</si>
  <si>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GF FBA Less Powell Bill</t>
  </si>
  <si>
    <t>GF FBA% of Exp less Powell Bill</t>
  </si>
  <si>
    <t>(506+536-4-5-6-11)+647/(532+20+509-533-508)</t>
  </si>
  <si>
    <t>(506+536-4-5-6-11)+647</t>
  </si>
  <si>
    <t>Available Fund Balance + debt service fund balance less Powell Bill / Total Expenditures and Transfers-out less bond proceeds</t>
  </si>
  <si>
    <t>N/A</t>
  </si>
  <si>
    <t>NC DEPARTMENT OF STATE TREASURER- STATE AND LOCAL GOVERNMENT FINANCE DIVISION
 AUDIT REPORT TRANSMITTAL DOCUMENT
PORTAL ADDRESS: https://nctreasurerslgfd.leapfile.net</t>
  </si>
  <si>
    <t>Transmittal Instructions</t>
  </si>
  <si>
    <t>Please see the INSTRUCTIONS worksheet before completing this form</t>
  </si>
  <si>
    <t>Please have the completed audit report available to complete this form.  ALL questions must be answered before submitting to the portal</t>
  </si>
  <si>
    <t>Section 1: Contact and General Info</t>
  </si>
  <si>
    <r>
      <t>Name of Primary Governmental Unit:</t>
    </r>
    <r>
      <rPr>
        <sz val="10"/>
        <color rgb="FF00B050"/>
        <rFont val="Verdana"/>
        <family val="2"/>
      </rPr>
      <t xml:space="preserve"> </t>
    </r>
    <r>
      <rPr>
        <i/>
        <sz val="10"/>
        <rFont val="Verdana"/>
        <family val="2"/>
      </rPr>
      <t>ie. City of Dogwood = Dogwood</t>
    </r>
  </si>
  <si>
    <t>Does this unit have a Tourism Development Authority as a discretely presented component unit?</t>
  </si>
  <si>
    <t>E-mail address to notify the Primary Government Unit that report has been reviewed</t>
  </si>
  <si>
    <t xml:space="preserve">Name of Audit Firm </t>
  </si>
  <si>
    <t>Name of Auditor</t>
  </si>
  <si>
    <t>E-mail address to notify the Auditor that the report has been reviewed</t>
  </si>
  <si>
    <r>
      <t xml:space="preserve">E-mail address to send approved invoices </t>
    </r>
    <r>
      <rPr>
        <i/>
        <sz val="9.5"/>
        <rFont val="Verdana"/>
        <family val="2"/>
      </rPr>
      <t>(should be at the audit firm)</t>
    </r>
  </si>
  <si>
    <t>Unit Type</t>
  </si>
  <si>
    <t>Did the Auditor prepare the Unit's financial statements?</t>
  </si>
  <si>
    <r>
      <t xml:space="preserve">Type of Audit </t>
    </r>
    <r>
      <rPr>
        <i/>
        <sz val="10"/>
        <color rgb="FF000000"/>
        <rFont val="Verdana"/>
        <family val="2"/>
      </rPr>
      <t>(Financial Only, Yellow Book, Single Audit)</t>
    </r>
  </si>
  <si>
    <t>Who is the designated person with skills, knowledge and experience (SKE) for the unit?</t>
  </si>
  <si>
    <t>What is the designated SKE's title?</t>
  </si>
  <si>
    <t>Who is the designated SKE's employer?</t>
  </si>
  <si>
    <t>Is the Independent Auditor's Report Opinion Unmodified?</t>
  </si>
  <si>
    <r>
      <t xml:space="preserve">Is there a </t>
    </r>
    <r>
      <rPr>
        <b/>
        <i/>
        <sz val="10"/>
        <color rgb="FF000000"/>
        <rFont val="Verdana"/>
        <family val="2"/>
      </rPr>
      <t>finding</t>
    </r>
    <r>
      <rPr>
        <i/>
        <sz val="10"/>
        <color rgb="FF000000"/>
        <rFont val="Verdana"/>
        <family val="2"/>
      </rPr>
      <t xml:space="preserve"> </t>
    </r>
    <r>
      <rPr>
        <sz val="10"/>
        <color rgb="FF000000"/>
        <rFont val="Verdana"/>
        <family val="2"/>
      </rPr>
      <t xml:space="preserve">for lack of segregation of duties at this unit? </t>
    </r>
  </si>
  <si>
    <r>
      <t>Is there a</t>
    </r>
    <r>
      <rPr>
        <b/>
        <i/>
        <sz val="10"/>
        <color rgb="FF000000"/>
        <rFont val="Verdana"/>
        <family val="2"/>
      </rPr>
      <t xml:space="preserve"> finding</t>
    </r>
    <r>
      <rPr>
        <sz val="10"/>
        <color rgb="FF000000"/>
        <rFont val="Verdana"/>
        <family val="2"/>
      </rPr>
      <t xml:space="preserve"> for lack of technical skills, knowledge and experience (SKE) at this unit?</t>
    </r>
  </si>
  <si>
    <r>
      <t>Is there is a going concern</t>
    </r>
    <r>
      <rPr>
        <i/>
        <sz val="10"/>
        <color rgb="FF000000"/>
        <rFont val="Verdana"/>
        <family val="2"/>
      </rPr>
      <t xml:space="preserve"> </t>
    </r>
    <r>
      <rPr>
        <b/>
        <i/>
        <sz val="10"/>
        <color rgb="FF000000"/>
        <rFont val="Verdana"/>
        <family val="2"/>
      </rPr>
      <t>finding</t>
    </r>
    <r>
      <rPr>
        <sz val="10"/>
        <color rgb="FF000000"/>
        <rFont val="Verdana"/>
        <family val="2"/>
      </rPr>
      <t xml:space="preserve"> noted in the audit report? </t>
    </r>
  </si>
  <si>
    <r>
      <t xml:space="preserve">Number of significant deficiency </t>
    </r>
    <r>
      <rPr>
        <b/>
        <i/>
        <sz val="10"/>
        <color rgb="FF000000"/>
        <rFont val="Verdana"/>
        <family val="2"/>
      </rPr>
      <t>findings</t>
    </r>
    <r>
      <rPr>
        <sz val="10"/>
        <color rgb="FF000000"/>
        <rFont val="Verdana"/>
        <family val="2"/>
      </rPr>
      <t xml:space="preserve"> </t>
    </r>
    <r>
      <rPr>
        <i/>
        <sz val="10"/>
        <color rgb="FF000000"/>
        <rFont val="Verdana"/>
        <family val="2"/>
      </rPr>
      <t>(other than in Questions 15-18 )</t>
    </r>
  </si>
  <si>
    <r>
      <t xml:space="preserve">Number of material weaknesses </t>
    </r>
    <r>
      <rPr>
        <b/>
        <i/>
        <sz val="10"/>
        <color rgb="FF000000"/>
        <rFont val="Verdana"/>
        <family val="2"/>
      </rPr>
      <t>findings</t>
    </r>
    <r>
      <rPr>
        <sz val="10"/>
        <color rgb="FF000000"/>
        <rFont val="Verdana"/>
        <family val="2"/>
      </rPr>
      <t xml:space="preserve"> </t>
    </r>
    <r>
      <rPr>
        <i/>
        <sz val="10"/>
        <color rgb="FF000000"/>
        <rFont val="Verdana"/>
        <family val="2"/>
      </rPr>
      <t>(other than in Questions 15-18)</t>
    </r>
  </si>
  <si>
    <t xml:space="preserve">Is the Finance Officer bonded for at least $50,000? (GS 159-42(h) </t>
  </si>
  <si>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</si>
  <si>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</si>
  <si>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</si>
  <si>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</si>
  <si>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</si>
  <si>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</si>
  <si>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</si>
  <si>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</si>
  <si>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</si>
  <si>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</si>
  <si>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 xml:space="preserve">Is there is a going concern finding noted in the audit report </t>
  </si>
  <si>
    <t>Did the Unit have debt service payments deferred or restructured in this fiscal year (does not include refinancings designed to take advantage of lower interest rates)</t>
  </si>
  <si>
    <t>Were debt service payments made late  Deferred payments authorized by LGC or other state agencies should not be counted as late for purposes of this question.</t>
  </si>
  <si>
    <t>Were all bond covenants met</t>
  </si>
  <si>
    <t xml:space="preserve">Is the Finance Officer bonded for at least $50,000 (GS 159-42(h) </t>
  </si>
  <si>
    <t>TD-UL Issued based on report  (Y/N)</t>
  </si>
  <si>
    <t>TD-SUL Issued based on report (Y/N)</t>
  </si>
  <si>
    <t>TD-DPI Issued based on  report (Y/N)</t>
  </si>
  <si>
    <t>TD-Unit Visit Needed based on report (Y/N)</t>
  </si>
  <si>
    <t>TD-Choose one of the following related to Internal Controls:</t>
  </si>
  <si>
    <t># of significant deficiency findings (other than in Questions 15-17 )</t>
  </si>
  <si>
    <t># of material weaknesses findings (other than in Questions 15-17)</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</si>
  <si>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</si>
  <si>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</si>
  <si>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</si>
  <si>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</si>
  <si>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</si>
  <si>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</si>
  <si>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</si>
  <si>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</si>
  <si>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</si>
  <si>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</si>
  <si>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</si>
  <si>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</si>
  <si>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</si>
  <si>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</si>
  <si>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</si>
  <si>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</si>
  <si>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</si>
  <si>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</si>
  <si>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</si>
  <si>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</si>
  <si>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</si>
  <si>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</si>
  <si>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</si>
  <si>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</si>
  <si>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</si>
  <si>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</si>
  <si>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</si>
  <si>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</si>
  <si>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</si>
  <si>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</si>
  <si>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</si>
  <si>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</si>
  <si>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</si>
  <si>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</si>
  <si>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</si>
  <si>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Fork Township Sanitary District</t>
  </si>
  <si>
    <t>Four Oaks</t>
  </si>
  <si>
    <t>Franklinville</t>
  </si>
  <si>
    <t>Fremont</t>
  </si>
  <si>
    <t>Glen Alpine</t>
  </si>
  <si>
    <t>Goldsboro</t>
  </si>
  <si>
    <t>Greenevers</t>
  </si>
  <si>
    <t>Grover</t>
  </si>
  <si>
    <t>Halifax</t>
  </si>
  <si>
    <t>Hamilton</t>
  </si>
  <si>
    <t>Hamlet</t>
  </si>
  <si>
    <t>Hoffman</t>
  </si>
  <si>
    <t>Holly Ridge</t>
  </si>
  <si>
    <t>Hookerton</t>
  </si>
  <si>
    <t>Hyde County</t>
  </si>
  <si>
    <t>Madison County</t>
  </si>
  <si>
    <t>Milton</t>
  </si>
  <si>
    <t>Montreat</t>
  </si>
  <si>
    <t>Mount Olive</t>
  </si>
  <si>
    <t>Navassa</t>
  </si>
  <si>
    <t>Newport</t>
  </si>
  <si>
    <t>Newton Grove</t>
  </si>
  <si>
    <t>Norlina</t>
  </si>
  <si>
    <t>Norman</t>
  </si>
  <si>
    <t>Northampton County</t>
  </si>
  <si>
    <t>Norwood</t>
  </si>
  <si>
    <t>Oak City</t>
  </si>
  <si>
    <t>Orange County</t>
  </si>
  <si>
    <t>Pender County</t>
  </si>
  <si>
    <t>Pikeville</t>
  </si>
  <si>
    <t>Pilot Mountain</t>
  </si>
  <si>
    <t>Polkville</t>
  </si>
  <si>
    <t>Pollocksville</t>
  </si>
  <si>
    <t>Princeville</t>
  </si>
  <si>
    <t>Proctorville</t>
  </si>
  <si>
    <t>Ramseur</t>
  </si>
  <si>
    <t>Ranlo</t>
  </si>
  <si>
    <t>Red Springs</t>
  </si>
  <si>
    <t>Rich Square</t>
  </si>
  <si>
    <t>Robbins</t>
  </si>
  <si>
    <t>Robersonville</t>
  </si>
  <si>
    <t>Ronda</t>
  </si>
  <si>
    <t>Saint Pauls</t>
  </si>
  <si>
    <t>Scotland County</t>
  </si>
  <si>
    <t>Scotland Neck</t>
  </si>
  <si>
    <t>Sedalia</t>
  </si>
  <si>
    <t>Sharpsburg</t>
  </si>
  <si>
    <t>Snow Hill</t>
  </si>
  <si>
    <t>Spring Lake</t>
  </si>
  <si>
    <t>Stanly Water &amp; Sewer Authority</t>
  </si>
  <si>
    <t>Taylorsville</t>
  </si>
  <si>
    <t>Taylortown</t>
  </si>
  <si>
    <t>Tryon</t>
  </si>
  <si>
    <t>Tyrrell County</t>
  </si>
  <si>
    <t>Vanceboro</t>
  </si>
  <si>
    <t>Vass</t>
  </si>
  <si>
    <t>Whitakers</t>
  </si>
  <si>
    <t>Wilkesboro</t>
  </si>
  <si>
    <t>Data not collected in 2020</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</si>
  <si>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</si>
  <si>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</si>
  <si>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</si>
  <si>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</si>
  <si>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</si>
  <si>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</si>
  <si>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</si>
  <si>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</si>
  <si>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</si>
  <si>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</si>
  <si>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</si>
  <si>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</si>
  <si>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</si>
  <si>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</si>
  <si>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</si>
  <si>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 xml:space="preserve">Amount Transferred minus PILOT </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</si>
  <si>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</si>
  <si>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</si>
  <si>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</si>
  <si>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</si>
  <si>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</si>
  <si>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</si>
  <si>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</si>
  <si>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</si>
  <si>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</si>
  <si>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Avery, Bladen, Chowan, Craven, Duplin, Guilford, Harnett, Hoke, Jones, Mitchell, Onslow, Pasquotank, Watauga</t>
  </si>
  <si>
    <t>Increase</t>
  </si>
  <si>
    <t>Decrease</t>
  </si>
  <si>
    <t>No Change</t>
  </si>
  <si>
    <t>Performance Indicator</t>
  </si>
  <si>
    <t>This information was not collected in 2020</t>
  </si>
  <si>
    <t>Performance Indicator Worksheet</t>
  </si>
  <si>
    <t>Fiscal Year</t>
  </si>
  <si>
    <t>Unit Number:</t>
  </si>
  <si>
    <t>Explanation of Performance Indicator</t>
  </si>
  <si>
    <t>Equal or greater than 1</t>
  </si>
  <si>
    <t>The unit must address the material and/or significant findings or any other findings that the auditor reported to them.</t>
  </si>
  <si>
    <t>Less than 3%</t>
  </si>
  <si>
    <t>Unit results</t>
  </si>
  <si>
    <t>Unit Data from Audit Worksheet tab: '(506+536-4-5-6)+647/(532+509+20-533-508)</t>
  </si>
  <si>
    <t>Unit Data from Audit Worksheet tab : (654-655-579-510)/(633-634-635-636-637-638-578)</t>
  </si>
  <si>
    <t>901</t>
  </si>
  <si>
    <t>902</t>
  </si>
  <si>
    <t>903</t>
  </si>
  <si>
    <t>904</t>
  </si>
  <si>
    <t>905</t>
  </si>
  <si>
    <t>967</t>
  </si>
  <si>
    <t>969</t>
  </si>
  <si>
    <t>970</t>
  </si>
  <si>
    <t>971</t>
  </si>
  <si>
    <t>972</t>
  </si>
  <si>
    <t>Date the Auditor presented or plans to present the Audit to the Governing Board</t>
  </si>
  <si>
    <t>Did the audit disclose any statutory violations in the notes that were not covered by findings?  Select Yes or No</t>
  </si>
  <si>
    <t>The Auditor will submit the Audit Report to the LGC by December 1, 2021   Select Yes or No</t>
  </si>
  <si>
    <t>The Performance Indicator Tab in this worksheet has at least one performance indicator of concern (indicated by a red shaded cell)</t>
  </si>
  <si>
    <t>TD Info Completed by Auditor : CCH acct # 979</t>
  </si>
  <si>
    <t>TD Info Completed by Auditor : CCH acct # 977</t>
  </si>
  <si>
    <t>If TD Info Completed by Auditor : CCH accts # 907, 951, 953, 955, 957, 973 had entries they would trigger this indicator</t>
  </si>
  <si>
    <t>Of the transfers-in above in acct # 352, list amount of transfers-in that were used to support Water Sewer operations  (exclude capital transfers)</t>
  </si>
  <si>
    <t>This information was not collected in 2021</t>
  </si>
  <si>
    <t>Unit Data from Audit worksheet tab : (984-985)/985</t>
  </si>
  <si>
    <t>Unit Data from Audit worksheet tab :  CCH acct # 991</t>
  </si>
  <si>
    <t>Unit Data from Audit worksheet tab :  CCH acct # 987</t>
  </si>
  <si>
    <t>TD Info Completed by Auditor : CCH acct # 978</t>
  </si>
  <si>
    <t xml:space="preserve">Electric Transfers-out have exceeded the amounts described in GS 159B-39.  If your unit is a member of the North Carolina Eastern Municipal Power Agency it appears you have violated the GS.  If you are not a member of the Eastern Municipal Power Agency we would like to understand what you are funding with the transfers-out and do you plan to continue this practice.  </t>
  </si>
  <si>
    <t>No over-expenditures</t>
  </si>
  <si>
    <t>The General Fund had a fund balance less than zero - Fund Deficit</t>
  </si>
  <si>
    <t>Unit Data from Audit worksheet tab :  CCH acct # 9</t>
  </si>
  <si>
    <t>In your response letter please review all the Electric performance indicators highlighted in red and provide a detailed financial plan that addresses these Electric issues.</t>
  </si>
  <si>
    <t xml:space="preserve">A Quick ratio less than 1 indicates that the amount the unit owes is larger than their cash investments and receivables.  This can indicate that the Fund may have difficulty in paying its current bills.  If this financial pattern remains the water and/or sewer system may not be sustainable in its current form.  </t>
  </si>
  <si>
    <t xml:space="preserve">This calculation subtracts (operating expenses - depreciation + debt principal paid) from operating revenues.  A negative balance in this indicates that your rate structure is not covering your operating expenses.  </t>
  </si>
  <si>
    <t>Please explain where the operating transfers-in are coming from, why they are being made, and if they will be continued.  Please exclude all capital transfers-in.  Only discuss transfers-in that are being used to support the operations of the Water Sewer Fund.  The rate structure of the Water Sewer fund should support the expenses of the Water Sewer Fund without operating subsidies from other funds.</t>
  </si>
  <si>
    <t>hidden data</t>
  </si>
  <si>
    <t>(532+509+20-533-508)</t>
  </si>
  <si>
    <t>GF  FBA without Powell Bill</t>
  </si>
  <si>
    <t>GF FBA% of Exp w/o Powell Bill</t>
  </si>
  <si>
    <t>WS Quick Ratio</t>
  </si>
  <si>
    <t>Operating Net Income (loss) excluding depreciation+ debt service principal</t>
  </si>
  <si>
    <t>+row295/CCH45</t>
  </si>
  <si>
    <t>Unrestricted cash / Total expenses less depreciation+depbt service principal</t>
  </si>
  <si>
    <t>Unit data from Audit Worksheet tab ; 84-85-49+331</t>
  </si>
  <si>
    <t>Unit Data from Audit worksheet tab : 80/(85+351-49+331)</t>
  </si>
  <si>
    <t>Elec  Quick Ratio</t>
  </si>
  <si>
    <t>Elec Quick ratio</t>
  </si>
  <si>
    <t>WS Unrestricted cash / Total expenses less depreciation+depbt service principal</t>
  </si>
  <si>
    <t>WS Operating Net Income (loss) excluding depreciation+ debt service principal</t>
  </si>
  <si>
    <t>80/(85+351-49+331)</t>
  </si>
  <si>
    <t>(657-658-511-581)/(639-640-641-642-643-644-580)</t>
  </si>
  <si>
    <t>Unit Data from Audit worksheet tab : (657-658-511-581)/(639-640-641-642-643-644-580)</t>
  </si>
  <si>
    <t>Elec Operating Net Income (loss) excluding depreciation+ debt service principal</t>
  </si>
  <si>
    <t>Elec Unrestricted cash / Total expenses less depreciation+depbt service principal</t>
  </si>
  <si>
    <t>47-511/48</t>
  </si>
  <si>
    <t>(90/(364+94-52+100)</t>
  </si>
  <si>
    <t>Unit Data from Audit worksheet tab : (90/(364+94-52+100)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</si>
  <si>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</si>
  <si>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</si>
  <si>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</si>
  <si>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</si>
  <si>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</si>
  <si>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</si>
  <si>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</si>
  <si>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</si>
  <si>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Unit Data from Audit worksheet tab :  CCH acct # 989 equaled "No"</t>
  </si>
  <si>
    <t>It is not uncommon for an Electric System with multiple performance indicators of concern to find that a proposed solution to one of the indicators also solves other performance indicators of concern.</t>
  </si>
  <si>
    <t>Unrestricted cash / Total expenses less depreciation+debt service principal</t>
  </si>
  <si>
    <t>Uni Number</t>
  </si>
  <si>
    <t>Electric Gross Annual Revenue</t>
  </si>
  <si>
    <t>527+356</t>
  </si>
  <si>
    <t>Tax rate for year audited</t>
  </si>
  <si>
    <t>Electric worksheet</t>
  </si>
  <si>
    <t>In addition to the any significant and material findings the Auditor can describe any additional issues the unit should address that affect the fiscal health or internal controls of the unit that were communicated to the unit during the Audit Presentation.</t>
  </si>
  <si>
    <t>Prior year CCH accounts 527, 356 and 93 along with current CCH account of this Data Input worksheet 648,366, 990 were used in this calculation</t>
  </si>
  <si>
    <t>Location of Documents for the 2021 Audit Submission Process</t>
  </si>
  <si>
    <t>Instructions for Audits with a Fiscal Year Ending Earlier than June 30, 2021</t>
  </si>
  <si>
    <t>Unit Name:</t>
  </si>
  <si>
    <t>A</t>
  </si>
  <si>
    <t>B</t>
  </si>
  <si>
    <t>C</t>
  </si>
  <si>
    <t>D</t>
  </si>
  <si>
    <t>E</t>
  </si>
  <si>
    <t>F</t>
  </si>
  <si>
    <t>G</t>
  </si>
  <si>
    <t>H</t>
  </si>
  <si>
    <t>Total expenditures used to determine a Unit's expenditure group</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</si>
  <si>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</si>
  <si>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</si>
  <si>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</si>
  <si>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</si>
  <si>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</si>
  <si>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</si>
  <si>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</si>
  <si>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</si>
  <si>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</si>
  <si>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</si>
  <si>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</si>
  <si>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</si>
  <si>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</si>
  <si>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</si>
  <si>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</si>
  <si>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</si>
  <si>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</si>
  <si>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</si>
  <si>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</si>
  <si>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</si>
  <si>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</si>
  <si>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</si>
  <si>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</si>
  <si>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</si>
  <si>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</si>
  <si>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</si>
  <si>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</si>
  <si>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</si>
  <si>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</si>
  <si>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</si>
  <si>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</si>
  <si>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</si>
  <si>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</si>
  <si>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</si>
  <si>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</si>
  <si>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</si>
  <si>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</si>
  <si>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</si>
  <si>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</si>
  <si>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</si>
  <si>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</si>
  <si>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</si>
  <si>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</si>
  <si>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</si>
  <si>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</si>
  <si>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</si>
  <si>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</si>
  <si>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</si>
  <si>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</si>
  <si>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</si>
  <si>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</si>
  <si>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</si>
  <si>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</si>
  <si>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</si>
  <si>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</si>
  <si>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</si>
  <si>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</si>
  <si>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</si>
  <si>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</si>
  <si>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</si>
  <si>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</si>
  <si>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</si>
  <si>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</si>
  <si>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</si>
  <si>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</si>
  <si>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</si>
  <si>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</si>
  <si>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</si>
  <si>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</si>
  <si>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</si>
  <si>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</si>
  <si>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</si>
  <si>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</si>
  <si>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</si>
  <si>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</si>
  <si>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</si>
  <si>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</si>
  <si>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</si>
  <si>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</si>
  <si>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</si>
  <si>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</si>
  <si>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</si>
  <si>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</si>
  <si>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</si>
  <si>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</si>
  <si>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</si>
  <si>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</si>
  <si>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</si>
  <si>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</si>
  <si>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</si>
  <si>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</si>
  <si>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</si>
  <si>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</si>
  <si>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</si>
  <si>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</si>
  <si>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</si>
  <si>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</si>
  <si>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</si>
  <si>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</si>
  <si>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</si>
  <si>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</si>
  <si>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</si>
  <si>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</si>
  <si>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</si>
  <si>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</si>
  <si>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</si>
  <si>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</si>
  <si>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</si>
  <si>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</si>
  <si>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</si>
  <si>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</si>
  <si>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</si>
  <si>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</si>
  <si>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</si>
  <si>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</si>
  <si>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</si>
  <si>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</si>
  <si>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</si>
  <si>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The budgeted tax levy for the General fund had more than 3% uncollected for the fiscal year audited - decreases are shown by a negative %</t>
  </si>
  <si>
    <t>The local government had a mandate placed on them by DEQ, a court order or some similar requirement (that has no realistic appeal path) that the financial effect will be greater than 3% of the WS Budget and is not yet budgeted.</t>
  </si>
  <si>
    <t>This tab need to have the most up-to-date UAL list on it at the time it is finalized</t>
  </si>
  <si>
    <t>34% -- Average of similar units is 68%</t>
  </si>
  <si>
    <t>25% -- Average of similar units is 50%</t>
  </si>
  <si>
    <t>71% -- Average of similar units is 142%</t>
  </si>
  <si>
    <t>100 -- Average of similar units is 300%</t>
  </si>
  <si>
    <t>Total of above CCH Accounts</t>
  </si>
  <si>
    <t>Total from Master Upload file</t>
  </si>
  <si>
    <t>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t>
  </si>
  <si>
    <t>84-85+49-331</t>
  </si>
  <si>
    <t>93-94+52-100</t>
  </si>
  <si>
    <t xml:space="preserve"> 93-94+52-100</t>
  </si>
  <si>
    <t>School Current Expense Report</t>
  </si>
  <si>
    <t>General Fund-Rev, Exp. Change in Fund Balance or General Fund Budget Actual</t>
  </si>
  <si>
    <t>Local Current Expense sent to Boards of Education (some units present this information in the detailed general fund statements after the notes)
Exclude: amounts for community colleges and 
                  supplemental taxes
Include: amounts spent on resource officers, 
                  nurses and Timber receipts</t>
  </si>
  <si>
    <t xml:space="preserve">How much of the above number in account 147 is from Timber Receipts sent to the schools </t>
  </si>
  <si>
    <t>Amount of Supplemental School Tax revenue recorded in the governmental funds.</t>
  </si>
  <si>
    <t>Amount of Supplemental School Tax revenue recorded in agency funds.</t>
  </si>
  <si>
    <t>All Gov. Funds Rev, Exp. Change in Fund Balance</t>
  </si>
  <si>
    <t>Capital Outlay contributions to the BOEs (include amounts from general fund, capital project funds and any other fund sent to the BOE as part of capital outlay)</t>
  </si>
  <si>
    <t>School Capital Outlay Report to the Legislature</t>
  </si>
  <si>
    <t xml:space="preserve">Amount of Supplemental School Tax revenue recorded in agency funds.
</t>
  </si>
  <si>
    <t># of other matters that auditor asked the unit to respond to.</t>
  </si>
  <si>
    <t>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t>
  </si>
  <si>
    <t>If the unit had PIs of concern, the issues were presented to the board and informed they needed to send Response Letter in 60 days</t>
  </si>
  <si>
    <t>item</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</si>
  <si>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</si>
  <si>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</si>
  <si>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</si>
  <si>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</si>
  <si>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</si>
  <si>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</si>
  <si>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</si>
  <si>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</si>
  <si>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Governmental Activities - Benchmarking Tool uses account 336 in the code to calculate liquidity quick ratio.  Must be included on imported to CCH and SQL database.</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</si>
  <si>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</si>
  <si>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</si>
  <si>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</si>
  <si>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</si>
  <si>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</si>
  <si>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</si>
  <si>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</si>
  <si>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</si>
  <si>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</si>
  <si>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</si>
  <si>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</si>
  <si>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Version Date 5/11/2021</t>
  </si>
  <si>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increasing revenues or decreasing expenditures.  </t>
  </si>
  <si>
    <t>This performance indicator calculates the number of months the unit has cash to pay it's annualized expenses (excluding depreciation)  The normal billing cycle is one month and an extra month gives a unit cash balance to handle unusual monthly expenditures.  This 16% would be a bare minimum necessary to keep the fund from experiencing cash flow issues</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</si>
  <si>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</si>
  <si>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Do you operate a landfill that will be closing  or have a significant portion closing within the next 5 years?  Select "1" for Yes and "2" for No</t>
  </si>
  <si>
    <t>Does the entity have an  effective pre-audit process to ensure that pervasive budgetary over- expenditures do not occur at the budget ordinance level? Select Yes or No</t>
  </si>
  <si>
    <t xml:space="preserve">Does the entity have an  effective pre-audit process to ensure that pervasive budgetary over- expenditures do not occur at the budget ordinance level? </t>
  </si>
  <si>
    <t xml:space="preserve">Estimated cost not yet budgeted of any mandate placed on unit by DEQ, a court order or some similar requirement (that has no realistic appeal path). </t>
  </si>
  <si>
    <t>The Unit had Statutory Violations listed in the Audit Report that should be addressed in the Unit Response Letter</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</si>
  <si>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</si>
  <si>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</si>
  <si>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</si>
  <si>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</si>
  <si>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</si>
  <si>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</si>
  <si>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</si>
  <si>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</si>
  <si>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</si>
  <si>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If unit is an employer participant in one of the State Cost Sharing Plans rows 182 - 184 should be blank.  Unless they have an additional single employer plan.</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</si>
  <si>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</si>
  <si>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</si>
  <si>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</si>
  <si>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</si>
  <si>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The Counties listed in cell H256 are scheduled to revalue property listing by 1/1/2022 according to the Dept. of Revenue records.  Please indicate if you expect your revaluation to: 
Enter  "20" for increase, 
            "21" for decrease, 
            "22" for no change,
            "23" if this question is not applicable</t>
  </si>
  <si>
    <t>Did the Unit have any of the following occur:
1.  Bond covenants were not met
2.  Debt service payments made late?  Deferred payments authorized by LGC or other state
     agencies should not be counted as late for purposes of this question.</t>
  </si>
  <si>
    <t>The unit had problems with debt service payments being late and/or did not comply with the bond covenants?</t>
  </si>
  <si>
    <t>TD Info Completed by Auditor : CCH acct # 974</t>
  </si>
  <si>
    <r>
      <t xml:space="preserve">Primary Government's  FYE </t>
    </r>
    <r>
      <rPr>
        <i/>
        <sz val="10"/>
        <color rgb="FF000000"/>
        <rFont val="Verdana"/>
        <family val="2"/>
      </rPr>
      <t>(MM/DD/YYYY)</t>
    </r>
  </si>
  <si>
    <r>
      <t xml:space="preserve">Date </t>
    </r>
    <r>
      <rPr>
        <i/>
        <sz val="10"/>
        <color theme="1"/>
        <rFont val="Verdana"/>
        <family val="2"/>
      </rPr>
      <t>(MM/DD/YYYY)</t>
    </r>
  </si>
  <si>
    <t>Hide This Column</t>
  </si>
  <si>
    <t>Muni</t>
  </si>
  <si>
    <t>Muni, county, utility authority</t>
  </si>
  <si>
    <t>Muni, Utility Authority</t>
  </si>
  <si>
    <t>As of the creation of this worksheet your unit was on the Unit Assistance List.  Please provide details of what progress you have made to date to improve the issues that placed you on the list and future progress you intend to make.  If you are unaware that you are on the Unit Assistance List please email LGCMonitoring@nctreasurer.com and request a copy of the letter notifying you of your status on the Unit Assistance List.</t>
  </si>
  <si>
    <t>Minimum Threshold</t>
  </si>
  <si>
    <t>In your response letter please review all the Water Sewer performance indicators highlighted in red and provide a detailed financial plan that addresses these water sewer issues.  It is not uncommon for a Water Sewer System with multiple performance indicators of concern to find that a proposed solution to one of the indicators also solves other performance indicators of concern.</t>
  </si>
  <si>
    <r>
      <t xml:space="preserve">If any </t>
    </r>
    <r>
      <rPr>
        <i/>
        <sz val="14"/>
        <color theme="1"/>
        <rFont val="Calibri"/>
        <family val="2"/>
        <scheme val="minor"/>
      </rPr>
      <t>Units Results</t>
    </r>
    <r>
      <rPr>
        <sz val="14"/>
        <color theme="1"/>
        <rFont val="Calibri"/>
        <family val="2"/>
        <scheme val="minor"/>
      </rPr>
      <t xml:space="preserve"> in Column F are shaded red then the unit must submit a "Response to the Auditor's Findings, Recommendations, and Fiscal Matters"  within 60 days from the Auditors board presentation.  The Response must address all performance indicators shaded in red.</t>
    </r>
  </si>
  <si>
    <t>Enterprise Funds:</t>
  </si>
  <si>
    <t>Miscellaneous</t>
  </si>
  <si>
    <t>Less than zero is below threshold</t>
  </si>
  <si>
    <t>Enterprise Funds other than WS and Electric</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</si>
  <si>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</si>
  <si>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</si>
  <si>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</si>
  <si>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</si>
  <si>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</si>
  <si>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</si>
  <si>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Combined Proprietary Funds - Change in Cash Flow Statement</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</si>
  <si>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</si>
  <si>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</si>
  <si>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</si>
  <si>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</si>
  <si>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BOE</t>
  </si>
  <si>
    <t>Hospital</t>
  </si>
  <si>
    <t>Net Position</t>
  </si>
  <si>
    <t>Unrestricted Cash &amp; Investments - all but exclude "Held by Trustee" or "3rd party restricted"</t>
  </si>
  <si>
    <t>Net Patient Accounts Receivable</t>
  </si>
  <si>
    <t>Unrestricted fund equity or net position</t>
  </si>
  <si>
    <t>Revenue, Expenses, Changes in Net Position</t>
  </si>
  <si>
    <t>Net Patient Revenues</t>
  </si>
  <si>
    <t>Total Operating Revenues</t>
  </si>
  <si>
    <t xml:space="preserve">Capital Contributions </t>
  </si>
  <si>
    <t>Change in Net Position</t>
  </si>
  <si>
    <t>Cash Flows</t>
  </si>
  <si>
    <t>Capital Outlays</t>
  </si>
  <si>
    <t>Principal Paid - Long-term Debt</t>
  </si>
  <si>
    <t>Total Long-term debt (non current portion only) - enter as a positive</t>
  </si>
  <si>
    <t>Total Operating Expenses. May include Interest Expense - Enter as a positive</t>
  </si>
  <si>
    <t xml:space="preserve">Interest Expense - Enter as a positive </t>
  </si>
  <si>
    <r>
      <t>Gross Capital Assets-</t>
    </r>
    <r>
      <rPr>
        <b/>
        <sz val="11"/>
        <rFont val="Calibri"/>
        <family val="2"/>
        <scheme val="minor"/>
      </rPr>
      <t>Prior Year</t>
    </r>
  </si>
  <si>
    <r>
      <t>Gross Annual Revenue-</t>
    </r>
    <r>
      <rPr>
        <b/>
        <sz val="11"/>
        <rFont val="Calibri"/>
        <family val="2"/>
        <scheme val="minor"/>
      </rPr>
      <t>Prior Year</t>
    </r>
  </si>
  <si>
    <r>
      <rPr>
        <b/>
        <i/>
        <sz val="11"/>
        <rFont val="Calibri"/>
        <family val="2"/>
        <scheme val="minor"/>
      </rPr>
      <t>Amount Transferred minus PILOT (cell F23)</t>
    </r>
    <r>
      <rPr>
        <i/>
        <sz val="11"/>
        <rFont val="Calibri"/>
        <family val="2"/>
        <scheme val="minor"/>
      </rPr>
      <t xml:space="preserve"> is calculated by taking the Amount Transferred per Audit (cell F14) and subtracting the greater amount of PILOT (cells F19 and G19). When cell F23 exceeds the statutory calculation in cell F27, you will get an error message "No, unit exceeds limit by:"</t>
    </r>
  </si>
  <si>
    <r>
      <rPr>
        <b/>
        <i/>
        <sz val="11"/>
        <rFont val="Calibri"/>
        <family val="2"/>
        <scheme val="minor"/>
      </rPr>
      <t>Payment in Lieu of Taxes Error (cells F32 - F33):</t>
    </r>
    <r>
      <rPr>
        <i/>
        <sz val="11"/>
        <rFont val="Calibri"/>
        <family val="2"/>
        <scheme val="minor"/>
      </rPr>
      <t xml:space="preserve">  When the "Actual Pilot" (cell F19) doesn't agree with the "Calculated Pilot" (cell G19) you will get an error message requiring you to investigate variance.</t>
    </r>
  </si>
  <si>
    <r>
      <t xml:space="preserve">Notes From Auditor
</t>
    </r>
    <r>
      <rPr>
        <sz val="11"/>
        <color theme="1"/>
        <rFont val="Calibri"/>
        <family val="2"/>
        <scheme val="minor"/>
      </rPr>
      <t>The Auditor can use the cells below to provide additional details that are pertinent to the performance indicator.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</si>
  <si>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</si>
  <si>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</si>
  <si>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</si>
  <si>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Total Gross Capital Assets - without accumulated depreciation</t>
  </si>
  <si>
    <t>Combined Totals of all Proprietary Funds - Amount of Inventories and Prepaids in current assets</t>
  </si>
  <si>
    <t>Statement of Net Position - combined totals from all Proprietary Funds</t>
  </si>
  <si>
    <t>Mental Health Net Position - Net Investment in Capital Assets</t>
  </si>
  <si>
    <t>Mental Health Net Position - Restricted Net Position</t>
  </si>
  <si>
    <t>Total Transfers in    (Preference is that transfers-in  are not netted against transfers-out)</t>
  </si>
  <si>
    <t>Total Transfers out    (Preference is that transfers-in  are not netted against transfers-out)</t>
  </si>
  <si>
    <t>Mental Health-Balance Sheet - Non GAAP</t>
  </si>
  <si>
    <t>Total Liabilities payable from restricted assets (only complete if this if unit has listed this account in their financial statements for the Mental Health Enterprise Fund Non GAAP and the auditor has listed the cash to be used to pay the liabilities as restricted)</t>
  </si>
  <si>
    <t>Current Liabilities 
Exclude: all deferred inflows
                 current debt service payments
Include: Liabilities payable from restricted assets.</t>
  </si>
  <si>
    <t xml:space="preserve">Mental Health Enterprise Fund Non GAAP deferred inflows or liabilities derived from cash receipts.   </t>
  </si>
  <si>
    <t>Total expenditures  
Exclude: expenditures in the ""other financing sources (uses)"" section.</t>
  </si>
  <si>
    <t xml:space="preserve">All unrestricted cash and investments.  
Exclude restricted cash and cash held by a third party. </t>
  </si>
  <si>
    <t>Total Proceeds from all long-term debt issuances 
Exclude: proceeds from refundings</t>
  </si>
  <si>
    <t>Mental Health Enterprise Fund Non GAAP-Rev, Exp. Change in Fund Balance</t>
  </si>
  <si>
    <t>Mental Health Enterprise Fund Non GAAP -  Total Encumbrances.  You will have to refer to the note disclosure where the amount of encumbrances is listed.</t>
  </si>
  <si>
    <t>Please enter the principal and interest due next fiscal year on existing borrowings.</t>
  </si>
  <si>
    <t>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t>
  </si>
  <si>
    <t>Please enter your tax rate for ad valorem in effect for fiscal year audited.  Example 60 cents per 100 would be entered as .60</t>
  </si>
  <si>
    <t>Business Type - Total Transfers In</t>
  </si>
  <si>
    <t>Business Type - Total Transfers Out</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</si>
  <si>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</si>
  <si>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</si>
  <si>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</si>
  <si>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</si>
  <si>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Liabilities from Restricted Assets</t>
  </si>
  <si>
    <t xml:space="preserve">MH Enterprise Fund Non GAAP - Total Expenditures </t>
  </si>
  <si>
    <t xml:space="preserve">MH- Proceeds from LTD </t>
  </si>
  <si>
    <t>MH Enterprise Fund Non GAAP - Positive debt refund</t>
  </si>
  <si>
    <t>MH Enterprise Fund Non GAAP - Transfers Out</t>
  </si>
  <si>
    <t>MH Enterprise Fund Non GAAP - Encumbrances</t>
  </si>
  <si>
    <t>MH Enterprise Fund P &amp; I Due next year</t>
  </si>
  <si>
    <t>Hospital/MH -EF- Total Gross Capital Assets (BS), w/o acc. dep.</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</si>
  <si>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</si>
  <si>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</si>
  <si>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</si>
  <si>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</si>
  <si>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</si>
  <si>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</si>
  <si>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</si>
  <si>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</si>
  <si>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</si>
  <si>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</si>
  <si>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</si>
  <si>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</si>
  <si>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</si>
  <si>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</si>
  <si>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</si>
  <si>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</si>
  <si>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</si>
  <si>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</si>
  <si>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</si>
  <si>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</si>
  <si>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</si>
  <si>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</si>
  <si>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</si>
  <si>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</si>
  <si>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</si>
  <si>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</si>
  <si>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</si>
  <si>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</si>
  <si>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</si>
  <si>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</si>
  <si>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</si>
  <si>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</si>
  <si>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</si>
  <si>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</si>
  <si>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</si>
  <si>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</si>
  <si>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</si>
  <si>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</si>
  <si>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</si>
  <si>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</si>
  <si>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</si>
  <si>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</si>
  <si>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</si>
  <si>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</si>
  <si>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</si>
  <si>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</si>
  <si>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t xml:space="preserve">Amount of </t>
    </r>
    <r>
      <rPr>
        <u/>
        <sz val="11"/>
        <color indexed="8"/>
        <rFont val="Calibri"/>
        <family val="2"/>
        <scheme val="minor"/>
      </rPr>
      <t>Local Current Expense Funds</t>
    </r>
    <r>
      <rPr>
        <sz val="11"/>
        <color indexed="8"/>
        <rFont val="Calibri"/>
        <family val="2"/>
        <scheme val="minor"/>
      </rPr>
      <t xml:space="preserve"> received from the County transferred to Fund 8 this year.</t>
    </r>
  </si>
  <si>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</si>
  <si>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</si>
  <si>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t xml:space="preserve">Total Long-term debt (non current portion only) - </t>
    </r>
    <r>
      <rPr>
        <sz val="11"/>
        <color indexed="10"/>
        <rFont val="Calibri"/>
        <family val="2"/>
        <scheme val="minor"/>
      </rPr>
      <t>enter as a positive</t>
    </r>
  </si>
  <si>
    <r>
      <t xml:space="preserve">Total Operating Expenses. May include Interest Expense - </t>
    </r>
    <r>
      <rPr>
        <sz val="11"/>
        <color indexed="10"/>
        <rFont val="Calibri"/>
        <family val="2"/>
        <scheme val="minor"/>
      </rPr>
      <t>Enter as a positive</t>
    </r>
  </si>
  <si>
    <r>
      <t xml:space="preserve">Interest Expense - </t>
    </r>
    <r>
      <rPr>
        <sz val="11"/>
        <color indexed="10"/>
        <rFont val="Calibri"/>
        <family val="2"/>
        <scheme val="minor"/>
      </rPr>
      <t xml:space="preserve">Enter as a positive </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</si>
  <si>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</si>
  <si>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</si>
  <si>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</si>
  <si>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</si>
  <si>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</si>
  <si>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</si>
  <si>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</si>
  <si>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</si>
  <si>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</si>
  <si>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</si>
  <si>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</si>
  <si>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</si>
  <si>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</si>
  <si>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</si>
  <si>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</si>
  <si>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</si>
  <si>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</si>
  <si>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</si>
  <si>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</si>
  <si>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</si>
  <si>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</si>
  <si>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</si>
  <si>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or No</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</si>
  <si>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 or No</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</si>
  <si>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</si>
  <si>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</si>
  <si>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</si>
  <si>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</si>
  <si>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</si>
  <si>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</si>
  <si>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</si>
  <si>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</si>
  <si>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</si>
  <si>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</si>
  <si>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</si>
  <si>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</si>
  <si>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</si>
  <si>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</si>
  <si>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</si>
  <si>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</si>
  <si>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</si>
  <si>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</si>
  <si>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</si>
  <si>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</si>
  <si>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</si>
  <si>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</si>
  <si>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</si>
  <si>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</si>
  <si>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</si>
  <si>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</si>
  <si>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</si>
  <si>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</si>
  <si>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</si>
  <si>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</si>
  <si>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</si>
  <si>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</si>
  <si>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</si>
  <si>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</si>
  <si>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</si>
  <si>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</si>
  <si>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</si>
  <si>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</si>
  <si>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</si>
  <si>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</si>
  <si>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</si>
  <si>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</si>
  <si>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</si>
  <si>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</si>
  <si>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</si>
  <si>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</si>
  <si>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</si>
  <si>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</si>
  <si>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Hospital-EF- Unrestricted Cash &amp; Invest. [Incl.all but Held by Trustee or 3rd party restricted](BS)</t>
  </si>
  <si>
    <t>Unit Data from Audit Worksheet tab: '(506+536-4-5-6-11)+647/(532+509+20-533-508)</t>
  </si>
  <si>
    <t>County only</t>
  </si>
  <si>
    <t>hide for muni, county, utility</t>
  </si>
  <si>
    <t>MH Enterprise Fund Non GAAP - Negative debt refund</t>
  </si>
  <si>
    <t>Mental Health Net Position - Unrestricted Net Position</t>
  </si>
  <si>
    <t>Messages</t>
  </si>
  <si>
    <t>not on 2020 Data</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</si>
  <si>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</si>
  <si>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</si>
  <si>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t>Comb-Proprietary Funds-Current Assets 
Exclude: any restricted assets
                  deferred outflows</t>
  </si>
  <si>
    <t>Mental Health Enterprise Fund Non GAAP (Budget Actual Statements behind the notes)</t>
  </si>
  <si>
    <t>Mental Health or Hospital-EF- Patient Accounts Receivable, Net of Allowance for Bad Debt</t>
  </si>
  <si>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</si>
  <si>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</si>
  <si>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</si>
  <si>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</si>
  <si>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</si>
  <si>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</si>
  <si>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</si>
  <si>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</si>
  <si>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</si>
  <si>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</si>
  <si>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</si>
  <si>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</si>
  <si>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</si>
  <si>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</si>
  <si>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</si>
  <si>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</si>
  <si>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</si>
  <si>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Debt Service Fund Balance</t>
  </si>
  <si>
    <t>Is there is a going concern finding noted in the audit report</t>
  </si>
  <si>
    <t>Did unit have problems with debt service payments being late, debt restructured or not meeting bond covenants</t>
  </si>
  <si>
    <t>Were there statutory violations disclosed in the audit</t>
  </si>
  <si>
    <t>Were major funds overspent</t>
  </si>
  <si>
    <t>If you answered "yes" to question CCH #988 above, will you have the closure/postclosure cost fully funded by the date of closure</t>
  </si>
  <si>
    <t>Greater than 16% (2 months)</t>
  </si>
  <si>
    <t>It appears your Water Sewer fund(s) have  transfers-in for the support of operations that are greater than 3% of the total of operating and non-operating expenses.  Please discuss the purpose of such transfers-in and if you plan to continue these transfers-in.</t>
  </si>
  <si>
    <t>Unit Data from Audit worksheet tab :  CCH acct # 986 is greater than (CCH 85+CCH 351)*.03</t>
  </si>
  <si>
    <t>If you encounter an Excel error in the various indicators such as "false", "#DIV/0!" OR "#NA", normally the reason is you did not to answer one of the questions used to calculate the formula - Column G provides the accounts and formula used in the calculation.  If the Unit Results cell is red, please verify that the data is entered correctly in the "Unit Data From Audit Worksheet" or "TD Info Completed by Auditor" as indicated for accounts listed in Column G.</t>
  </si>
  <si>
    <t>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increase revenues or decrease expenditures.  The Threshold tab in this worksheet discusses the various expenditure groupings.</t>
  </si>
  <si>
    <t>On the Unit Assistance List</t>
  </si>
  <si>
    <t>You have indicated that you have a  landfill that will be closing  or have a significant portion closing within the next 5 years  and will have the closure/postclosure cost fully funded by the date of closure.</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</si>
  <si>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</si>
  <si>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Note one month of expenditures is equal to 8.33%.  In your Response Letter please provide detail plans on how your unit will improve your available fund balance.  Normally, a unit has to either increasing revenues or decreasing expenditures.  </t>
  </si>
  <si>
    <t>Unit Data from Audit Worksheet tab: (13-534)/14</t>
  </si>
  <si>
    <t>Available Fund Balance + debt service fund balance / Total Expenditures and Transfers-out less bond proceeds</t>
  </si>
  <si>
    <t>Select Unit Name from Drop Down List</t>
  </si>
  <si>
    <t>The General Fund had a fund balance available less than 8% or one month of expenditures</t>
  </si>
  <si>
    <t>Section 1: Data Collection NOTE:  the data submitted below may be used in various published reports</t>
  </si>
  <si>
    <t>The  name of the Primary Government for the file name and in question 1 should not contain the words "Town of", Village of" etc…..The City of Dogwood = Dogwood</t>
  </si>
  <si>
    <t>Copy of final Ual as of 4/23/2021 based on June 30 2020 audited financals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</si>
  <si>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</si>
  <si>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</si>
  <si>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</si>
  <si>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</si>
  <si>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</si>
  <si>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</si>
  <si>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</si>
  <si>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</si>
  <si>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</si>
  <si>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</si>
  <si>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</si>
  <si>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</si>
  <si>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</si>
  <si>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</si>
  <si>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</si>
  <si>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</si>
  <si>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</si>
  <si>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</si>
  <si>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</si>
  <si>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</si>
  <si>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</si>
  <si>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</si>
  <si>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</si>
  <si>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</si>
  <si>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</si>
  <si>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</si>
  <si>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</si>
  <si>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</si>
  <si>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</si>
  <si>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</si>
  <si>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</si>
  <si>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</si>
  <si>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</si>
  <si>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</si>
  <si>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</si>
  <si>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</si>
  <si>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</si>
  <si>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</si>
  <si>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</si>
  <si>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</si>
  <si>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</si>
  <si>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</si>
  <si>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</si>
  <si>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</si>
  <si>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</si>
  <si>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Davie County</t>
  </si>
  <si>
    <t>Graham County</t>
  </si>
  <si>
    <t>Martin County</t>
  </si>
  <si>
    <t>Person County</t>
  </si>
  <si>
    <t>Bay River Metropolitan Sewer District</t>
  </si>
  <si>
    <t>Brunswick Regional Water Sewer - H2GO</t>
  </si>
  <si>
    <t>Maggie Valley Sanitary District</t>
  </si>
  <si>
    <t>Ocracoke Sanitary District</t>
  </si>
  <si>
    <t>Swan Quarter Sanitary District</t>
  </si>
  <si>
    <t>PERFORMANCE INDICATORS OF CONCERN</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</si>
  <si>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then the unit must submit a "Response to the Auditor's Findings, Recommendations, and Fiscal Matters" within 60 days from the auditor's board presentation.  The response must address all performance indicators shaded in red.</t>
  </si>
  <si>
    <t>Fiscal Year 2021</t>
  </si>
  <si>
    <t>In the past, units of government have been grouped by population to evaluate various ratios and benchmarking.  This year we have also grouped units by expenditure which is a more effective comparison for some ratios.  Beginning with this year, units of government have been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</si>
  <si>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GENERAL FUND:</t>
  </si>
  <si>
    <t>Unit Results</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</si>
  <si>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less Powell Bill.  This number is them divided by the total of total expenditures plus transfers out less bond proceeds.</t>
  </si>
  <si>
    <t>It is not uncommon for a Water Sewer System with multiple performance indicators of concern to find that a proposed solution to one of the indicators also solves other performance indicators of concern.</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</si>
  <si>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</si>
  <si>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2019</t>
  </si>
  <si>
    <t>2020</t>
  </si>
  <si>
    <t>2021</t>
  </si>
  <si>
    <t>Greater than zero</t>
  </si>
  <si>
    <t xml:space="preserve">This calculation subtracts operating expenses (which also includes depreciation and debt principal paid) from operating revenues.  A negative balance indicates that your rates are not covering your operating expenses.  </t>
  </si>
  <si>
    <t>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This 16% would be the bare minimum necessary to keep the fund from experiencing cash flow issues.</t>
  </si>
  <si>
    <t>Unit Data from Audit worksheet tab :  CCH acct # 986 is greater than (CCH 112+CCH 109)*.03</t>
  </si>
  <si>
    <t>The rate structure of the Water Sewer fund should support the expenses of the Fund without operating subsidies or transfers from other funds.</t>
  </si>
  <si>
    <t>ELECTRIC FUND:</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</si>
  <si>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</si>
  <si>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 xml:space="preserve">This calculation subtracts operating expenses (which also includes depreciation and debt principal paid) from operating revenues.  A negative balance in this indicates that your rates are not covering your operating expenses.  </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</si>
  <si>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</si>
  <si>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</si>
  <si>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</si>
  <si>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shows that the local government did not collect 3% (or more) of its budgeted tax levy.  This could be an indicator of negative economic events, inaccurate budgeting, and/or issues with the collection process.  Uncollected revenues at the 3% level represent several pennies of the tax rate.</t>
  </si>
  <si>
    <t>You indicated that you expect a decrease in property value for your next property revaluation.   In your Response Letter please discuss the magnitude of the drop in valuation, the overall cause of the drop and how your County plans to recover the lost revenues.</t>
  </si>
  <si>
    <t>Any estimated decrease</t>
  </si>
  <si>
    <t>You indicated that you expect a decrease in property value for your next property revaluation which could result in lost tax revenue.</t>
  </si>
  <si>
    <t>The unit had expenditures that exceeded the legal budget ordinance.  This indicates that the unit's purchase order system, contract approval process and / or payment process is not in compliance with North Carolina General Statute 159.</t>
  </si>
  <si>
    <t xml:space="preserve">The local government has indicated there is substantial unbudgeted costs that could significantly impact their operations and/or customer rates.  </t>
  </si>
  <si>
    <t>If a unit has no performance indicators of concern that would require them to submit a Response to Audit Findings, Recommendations and Fiscal Matters, but they are currently on the  Unit Assistance List, they must still submit a Response to Audit Findings, Recommendations and Fiscal Matters.  Their response should discuss the financial plan they have developed to address the issues that placed them on the Unit Assistance List and the progress they have made to date.</t>
  </si>
  <si>
    <t>This indicator lists whether the unit has a statutory violation.</t>
  </si>
  <si>
    <t>This indicator lists whether or not the unit has issues with debt service payments or bond covenants.</t>
  </si>
  <si>
    <t>This indicator tells if you have a landfill that is estimated to close within 5 years but the unit may not have enough funds for the closure/post closure costs.</t>
  </si>
  <si>
    <t>This indicator states whether or not your auditor has identified material and/or significant findings or any other findings for your unit.</t>
  </si>
  <si>
    <t>This indicator shows if there were transfer out of the Electric Fund.  This only applies to units that are subject to  GS 159B-39 : Apex, Ayden, Belhaven, Benson, Clayton, Edenton, Elizabeth City, Farmville, Fremont, Greenville, Hamilton, Hertford, Hobgood, Hookerton, Kinston, LaGrange, Laurinburg, Louisburg, Lumberton, New Bern, Pikeville, Red Springs, Robersonville, Rocky Mount, Scotland Neck, Selma, Smithfield, Southport, Tarboro, Wake Forest, Washington, and Wilson.</t>
  </si>
  <si>
    <t>Please explain the additional issue the unit needs to address in column H to the right.</t>
  </si>
  <si>
    <t>This indicator lists any other issues that the unit should address.</t>
  </si>
  <si>
    <t>If you encounter an Excel error in the various indicators such as "false", "#DIV/0!" OR "#NA", normally the reason is you did not to answer one of the questions used to calculate the formula - This column provides the accounts and formula used in the calculation.  If the Unit Results cell is red, please verify that the data is entered correctly in the "Unit Data From Audit Worksheet" or "TD Info Completed by Auditor" as indicated for accounts listed in Column G.</t>
  </si>
  <si>
    <t>Print Area is set to exclude column I and J</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</si>
  <si>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This number is them divided by the total of total expenditures plus transfers out less bond proceeds.</t>
  </si>
  <si>
    <t>Water Sewer Fund</t>
  </si>
  <si>
    <t>The Auditor will submit the Audit Report to the LGC within five months plus one day after the fiscal year end.  (for units with a June 30th fiscal year-end this would be December 1)   Select Yes or No</t>
  </si>
  <si>
    <t>The 2021 Audit Report is expected to be submitted within five months plus one day from the fiscal year end per the auditor.  (December 1st for most units)</t>
  </si>
  <si>
    <t>5 months plus one day after the fiscal year end</t>
  </si>
  <si>
    <t>Unit data from Audit Worksheet tab ; 84-85+49-331</t>
  </si>
  <si>
    <t>Unit Data from Audit worksheet tab : 93-94+52-100</t>
  </si>
  <si>
    <t>Year 2019</t>
  </si>
  <si>
    <t xml:space="preserve">                                     -  </t>
  </si>
  <si>
    <t xml:space="preserve">                                    -  </t>
  </si>
  <si>
    <t>total expenditures for FBA Calculation</t>
  </si>
  <si>
    <t xml:space="preserve"> 331+89 </t>
  </si>
  <si>
    <t xml:space="preserve">Performance Indicator Tab Target for FBA - County </t>
  </si>
  <si>
    <t>should equal column E on 2021 DIW</t>
  </si>
  <si>
    <t>Fairview</t>
  </si>
  <si>
    <t>Faison</t>
  </si>
  <si>
    <t>Faith</t>
  </si>
  <si>
    <t>Falcon</t>
  </si>
  <si>
    <t>Falkland</t>
  </si>
  <si>
    <t>Fallston</t>
  </si>
  <si>
    <t>Farmville</t>
  </si>
  <si>
    <t>Fayetteville</t>
  </si>
  <si>
    <t>Flat Rock</t>
  </si>
  <si>
    <t>Fletcher</t>
  </si>
  <si>
    <t>Forest City</t>
  </si>
  <si>
    <t>Forest Hills</t>
  </si>
  <si>
    <t>Fountain</t>
  </si>
  <si>
    <t>Foxfire Village</t>
  </si>
  <si>
    <t>Franklin</t>
  </si>
  <si>
    <t>Franklinton</t>
  </si>
  <si>
    <t>Fuquay-Varina</t>
  </si>
  <si>
    <t>Gamewell</t>
  </si>
  <si>
    <t>Garland</t>
  </si>
  <si>
    <t>Garner</t>
  </si>
  <si>
    <t>Garysburg</t>
  </si>
  <si>
    <t>Gastonia</t>
  </si>
  <si>
    <t>Gatesville</t>
  </si>
  <si>
    <t>Gibsonville</t>
  </si>
  <si>
    <t>Godwin</t>
  </si>
  <si>
    <t>Goldston</t>
  </si>
  <si>
    <t>Graham</t>
  </si>
  <si>
    <t>Grandfather Village</t>
  </si>
  <si>
    <t>Granite Falls</t>
  </si>
  <si>
    <t>Granite Quarry</t>
  </si>
  <si>
    <t>Grantsboro</t>
  </si>
  <si>
    <t>Grifton</t>
  </si>
  <si>
    <t>Grimesland</t>
  </si>
  <si>
    <t>Harmony</t>
  </si>
  <si>
    <t>Harrells</t>
  </si>
  <si>
    <t>Harrellsville</t>
  </si>
  <si>
    <t>Harrisburg</t>
  </si>
  <si>
    <t>Havelock</t>
  </si>
  <si>
    <t>Hayesville</t>
  </si>
  <si>
    <t>Hemby Bridge</t>
  </si>
  <si>
    <t>Hendersonville</t>
  </si>
  <si>
    <t>Hickory</t>
  </si>
  <si>
    <t>High Shoals</t>
  </si>
  <si>
    <t>Highlands</t>
  </si>
  <si>
    <t>Hildebran</t>
  </si>
  <si>
    <t>Hillsborough</t>
  </si>
  <si>
    <t>Hobgood</t>
  </si>
  <si>
    <t>Holden Beach</t>
  </si>
  <si>
    <t>Holly Springs</t>
  </si>
  <si>
    <t>Hope Mills</t>
  </si>
  <si>
    <t>Hot Springs</t>
  </si>
  <si>
    <t>Hudson</t>
  </si>
  <si>
    <t>Huntersville</t>
  </si>
  <si>
    <t>Hospital-EF- Change in Net Assets</t>
  </si>
  <si>
    <t>OPEB- Annual Expenses</t>
  </si>
  <si>
    <t>#VALUE!</t>
  </si>
  <si>
    <t>Did unit raise Water Sewer rates during the audited fiscal period? - answer Yes or No</t>
  </si>
  <si>
    <t>Did unit raise Water Sewer rates during the budget year following the audited fiscal year? - answer Yes or No</t>
  </si>
  <si>
    <t>Amount employer expends for any retiree health care premiums or retiree health care cost.</t>
  </si>
  <si>
    <t>Amount of the General Fund Balance appropriated in next year's budget</t>
  </si>
  <si>
    <t>Amount of Water Sewer revenues and other financing sources over expenditures and other uses</t>
  </si>
  <si>
    <t>Amount of the Water Sewer Fund Balance appropriated in next year's budget</t>
  </si>
  <si>
    <t>Amount of interest income and investment income recognized as revenue in your audit report for all governmental and proprietary funds.</t>
  </si>
  <si>
    <t xml:space="preserve">Indicate if the Unit does not pay any portion of the retiree's cost other than implicit rate subsidy (1), does not have a plan (2),  has an OPEB plan for which the unit pays at least a portion of retiree’s health care cost (3) or is part of the State Health System (4).  </t>
  </si>
  <si>
    <t>The Unfunded actuarially accrued liability for the unit's Leo benefit.</t>
  </si>
  <si>
    <t>Internal Control-
1) no IC issues 
2)Immaterial 
3) Unit letter for IC 
4) Unit visit for IC</t>
  </si>
  <si>
    <t>995</t>
  </si>
  <si>
    <t>996</t>
  </si>
  <si>
    <t>998</t>
  </si>
  <si>
    <t>999</t>
  </si>
  <si>
    <t>LGC Records indicate that your unit has an operational Water and/or Sewer system and needs to complete the Water Sewer Questions</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</si>
  <si>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</si>
  <si>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</si>
  <si>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 xml:space="preserve">Unit's Share of Net Pension Liability ($s)
- unit of government is a participating employer in the State's TSERS (Teachers' and State Employees' Retirement System) or the LGERS (Local Governmental Employees' Retirement System).  </t>
  </si>
  <si>
    <t>Electric cash flow less debt service</t>
  </si>
  <si>
    <t>TD - auditor</t>
  </si>
  <si>
    <t>TD -Internal</t>
  </si>
  <si>
    <t xml:space="preserve">                             -  </t>
  </si>
  <si>
    <t xml:space="preserve">                                      -  </t>
  </si>
  <si>
    <t xml:space="preserve">                                         -  </t>
  </si>
  <si>
    <t xml:space="preserve">                                       -  </t>
  </si>
  <si>
    <t xml:space="preserve">                               -  </t>
  </si>
  <si>
    <t xml:space="preserve">                                  -  </t>
  </si>
  <si>
    <t xml:space="preserve">                                          -  </t>
  </si>
  <si>
    <t xml:space="preserve">                                               -  </t>
  </si>
  <si>
    <t xml:space="preserve">                                            -  </t>
  </si>
  <si>
    <t xml:space="preserve">                                   -  </t>
  </si>
  <si>
    <t xml:space="preserve">                                                -  </t>
  </si>
  <si>
    <t xml:space="preserve">                                        -  </t>
  </si>
  <si>
    <t>electric Gross Capital Assets</t>
  </si>
  <si>
    <t>Please indicate if you expect your revaluation to increase, decrease, or no change.  If you are not listed please select N/A</t>
  </si>
  <si>
    <t>2020 Data(H)</t>
  </si>
  <si>
    <t>2019 Data(H)</t>
  </si>
  <si>
    <t>I</t>
  </si>
  <si>
    <t>Do you operate a landfill that will be closing  or have a significant portion closing within the next 5 years</t>
  </si>
  <si>
    <t>New for Fiscal 2021 -  Data Input Workbook incorporates the
Unit Data from Audit Worksheet, TD Info Completed by Auditor Worksheet, Performance Indicators Print Worksheet</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</si>
  <si>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</si>
  <si>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</si>
  <si>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</si>
  <si>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</si>
  <si>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</si>
  <si>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</si>
  <si>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</si>
  <si>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</si>
  <si>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</si>
  <si>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on lines 319-323 of the worksheet.  The worksheet must be </t>
    </r>
    <r>
      <rPr>
        <b/>
        <sz val="12"/>
        <color indexed="8"/>
        <rFont val="Cambria"/>
        <family val="1"/>
      </rPr>
      <t>submitted with the unit’s audit report</t>
    </r>
    <r>
      <rPr>
        <sz val="12"/>
        <color indexed="8"/>
        <rFont val="Cambria"/>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</si>
  <si>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</si>
  <si>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</si>
  <si>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</si>
  <si>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 xml:space="preserve">The TD Info Completed by Auditor Worksheet is to be filled out using the completed audit report for the fiscal year 2021. </t>
  </si>
  <si>
    <t>Please remember the original 2021 audit report submission cannot be processed unless we receive the following:</t>
  </si>
  <si>
    <t xml:space="preserve">- PDF file of the Audit Report named “Unit Name 2021 Audit”             </t>
  </si>
  <si>
    <t>- PDF file of all communication letters from the auditor to the unit  named “Unit Name 2021 comm #1”, “Unit Name 2021 comm #2”, etc.</t>
  </si>
  <si>
    <t xml:space="preserve">- Excel file named “Unit Name 2021 Data Input Workbook" </t>
  </si>
  <si>
    <t>We cannot complete our review process when "protection" is placed on the submitted documents.</t>
  </si>
  <si>
    <r>
      <t xml:space="preserve">We have added questions to the  2021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</si>
  <si>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</si>
  <si>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</si>
  <si>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r>
      <t xml:space="preserve">If you are performing an audit for a year earlier than June 30, 2021, please email </t>
    </r>
    <r>
      <rPr>
        <b/>
        <sz val="12"/>
        <color theme="1"/>
        <rFont val="Cambria"/>
        <family val="1"/>
      </rPr>
      <t>LGCAudit@nctreasurer.com</t>
    </r>
    <r>
      <rPr>
        <sz val="12"/>
        <color theme="1"/>
        <rFont val="Cambria"/>
        <family val="1"/>
      </rPr>
      <t>, as you will need to use the appropriate transmittal and data input document for that time period.</t>
    </r>
  </si>
  <si>
    <t xml:space="preserve">NC DEPARTMENT OF STATE TREASURER- STATE AND LOCAL GOVERNMENT FINANCE DIVISION
 TD Info Completed by Auditor
</t>
  </si>
  <si>
    <t>Please do not enter prior's years beginning balance as an adjustment in column F.</t>
  </si>
  <si>
    <t>Formula in cell E250</t>
  </si>
  <si>
    <t>Formula in cell E251</t>
  </si>
  <si>
    <t>Version Date 8/19/2021</t>
  </si>
  <si>
    <t>correct formula</t>
  </si>
  <si>
    <t xml:space="preserve">incorrect formula put on website </t>
  </si>
  <si>
    <t>If you appropriated General Fund Balance in your 2021 budget and your "change in fund balance": (account # 23 above) is negative, please select from the drop down box in column F either "operations" or "capital", whichever best describes what the fund balance was used for.  If you select "Capital" please briefly describe in column G to the right the capital items.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</si>
</sst>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0.0_);[Red]\(#,##0.0\)"/>
    <numFmt numFmtId="184" formatCode="_(* #,##0.00000_);_(* \(#,##0.00000\);_(* &quot;-&quot;??_);_(@_)"/>
  </numFmts>
  <fonts count="213"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11"/>
      <color indexed="9"/>
      <name val="Calibri"/>
      <family val="2"/>
      <scheme val="minor"/>
    </font>
    <font>
      <sz val="8"/>
      <name val="Calibri"/>
      <family val="2"/>
      <scheme val="minor"/>
    </font>
    <font>
      <sz val="11"/>
      <color rgb="FFC00000"/>
      <name val="Calibri"/>
      <family val="2"/>
      <scheme val="minor"/>
    </font>
    <font>
      <sz val="9"/>
      <color theme="1"/>
      <name val="Century Schoolbook"/>
      <family val="1"/>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sz val="8"/>
      <color theme="0"/>
      <name val="Calibri"/>
      <family val="2"/>
      <scheme val="minor"/>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color rgb="FF000000"/>
      <name val="Verdana"/>
      <family val="2"/>
    </font>
    <font>
      <b/>
      <sz val="12"/>
      <color rgb="FF000000"/>
      <name val="Verdana"/>
      <family val="2"/>
    </font>
    <font>
      <sz val="10"/>
      <color theme="0"/>
      <name val="Verdana"/>
      <family val="2"/>
    </font>
    <font>
      <b/>
      <sz val="22"/>
      <color theme="0"/>
      <name val="Verdana"/>
      <family val="2"/>
    </font>
    <font>
      <b/>
      <sz val="10"/>
      <color rgb="FFFF0000"/>
      <name val="Verdana"/>
      <family val="2"/>
    </font>
    <font>
      <b/>
      <sz val="10"/>
      <name val="Verdana"/>
      <family val="2"/>
    </font>
    <font>
      <sz val="10"/>
      <name val="Verdana"/>
      <family val="2"/>
    </font>
    <font>
      <b/>
      <sz val="14"/>
      <color theme="0"/>
      <name val="Verdana"/>
      <family val="2"/>
    </font>
    <font>
      <sz val="14"/>
      <color theme="0"/>
      <name val="Verdana"/>
      <family val="2"/>
    </font>
    <font>
      <sz val="10"/>
      <color theme="0" tint="-0.14999847407452621"/>
      <name val="Verdana"/>
      <family val="2"/>
    </font>
    <font>
      <sz val="10"/>
      <color rgb="FF00B050"/>
      <name val="Verdana"/>
      <family val="2"/>
    </font>
    <font>
      <i/>
      <sz val="10"/>
      <name val="Verdana"/>
      <family val="2"/>
    </font>
    <font>
      <sz val="10"/>
      <color rgb="FFFF0000"/>
      <name val="Verdana"/>
      <family val="2"/>
    </font>
    <font>
      <i/>
      <sz val="10"/>
      <color rgb="FF000000"/>
      <name val="Verdana"/>
      <family val="2"/>
    </font>
    <font>
      <sz val="9.5"/>
      <name val="Verdana"/>
      <family val="2"/>
    </font>
    <font>
      <i/>
      <sz val="9.5"/>
      <name val="Verdana"/>
      <family val="2"/>
    </font>
    <font>
      <b/>
      <sz val="20"/>
      <color theme="3" tint="0.39997558519241921"/>
      <name val="Verdana"/>
      <family val="2"/>
    </font>
    <font>
      <sz val="10"/>
      <color theme="1"/>
      <name val="Verdana"/>
      <family val="2"/>
    </font>
    <font>
      <b/>
      <i/>
      <sz val="10"/>
      <color rgb="FF000000"/>
      <name val="Verdana"/>
      <family val="2"/>
    </font>
    <font>
      <i/>
      <sz val="10"/>
      <color theme="1"/>
      <name val="Verdana"/>
      <family val="2"/>
    </font>
    <font>
      <sz val="11"/>
      <color theme="1"/>
      <name val="Verdana"/>
      <family val="2"/>
    </font>
    <font>
      <sz val="12"/>
      <color theme="0"/>
      <name val="Verdana"/>
      <family val="2"/>
    </font>
    <font>
      <sz val="16"/>
      <color rgb="FFFF0000"/>
      <name val="Walbaum Display Heavy"/>
      <family val="1"/>
    </font>
    <font>
      <b/>
      <sz val="12"/>
      <name val="Verdana"/>
      <family val="2"/>
    </font>
    <font>
      <sz val="10"/>
      <name val="Arial"/>
      <family val="2"/>
    </font>
    <font>
      <sz val="8"/>
      <color rgb="FF000000"/>
      <name val="Verdana"/>
      <family val="2"/>
    </font>
    <font>
      <b/>
      <sz val="9"/>
      <color rgb="FFFF0000"/>
      <name val="Verdana"/>
      <family val="2"/>
    </font>
    <font>
      <sz val="8"/>
      <name val="Arial"/>
      <family val="2"/>
    </font>
    <font>
      <sz val="12"/>
      <name val="Garamond"/>
      <family val="1"/>
    </font>
    <font>
      <sz val="10"/>
      <color rgb="FF000000"/>
      <name val="Times New Roman"/>
      <family val="1"/>
    </font>
    <font>
      <sz val="11"/>
      <color rgb="FF000000"/>
      <name val="Calibri"/>
      <family val="2"/>
      <scheme val="minor"/>
    </font>
    <font>
      <b/>
      <sz val="8"/>
      <color rgb="FFFF0000"/>
      <name val="Verdana"/>
      <family val="2"/>
    </font>
    <font>
      <b/>
      <sz val="18"/>
      <color rgb="FFFF0000"/>
      <name val="Calibri"/>
      <family val="2"/>
      <scheme val="minor"/>
    </font>
    <font>
      <i/>
      <sz val="14"/>
      <color theme="1"/>
      <name val="Calibri"/>
      <family val="2"/>
      <scheme val="minor"/>
    </font>
    <font>
      <i/>
      <sz val="14"/>
      <color theme="3"/>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b/>
      <sz val="11"/>
      <color rgb="FF0070C0"/>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b/>
      <sz val="11"/>
      <color indexed="8"/>
      <name val="Century Schoolbook"/>
      <family val="1"/>
    </font>
    <font>
      <sz val="9"/>
      <color theme="1"/>
      <name val="Century Schoolbook"/>
      <family val="2"/>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
      <b/>
      <sz val="11"/>
      <color rgb="FFFF0000"/>
      <name val="Verdana"/>
      <family val="2"/>
    </font>
  </fonts>
  <fills count="86">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theme="0" tint="-0.249977111117893"/>
        <bgColor indexed="64"/>
      </patternFill>
    </fill>
  </fills>
  <borders count="1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medium">
        <color theme="3"/>
      </right>
      <top style="medium">
        <color theme="3"/>
      </top>
      <bottom style="medium">
        <color theme="3"/>
      </bottom>
      <diagonal/>
    </border>
    <border>
      <left style="medium">
        <color indexed="64"/>
      </left>
      <right style="medium">
        <color indexed="64"/>
      </right>
      <top style="medium">
        <color indexed="64"/>
      </top>
      <bottom/>
      <diagonal/>
    </border>
    <border>
      <left/>
      <right style="medium">
        <color theme="3"/>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1" tint="0.499984740745262"/>
      </left>
      <right style="thin">
        <color theme="1" tint="0.499984740745262"/>
      </right>
      <top/>
      <bottom style="thin">
        <color theme="1" tint="0.499984740745262"/>
      </bottom>
      <diagonal/>
    </border>
    <border>
      <left style="thin">
        <color theme="0"/>
      </left>
      <right/>
      <top/>
      <bottom/>
      <diagonal/>
    </border>
    <border>
      <left/>
      <right style="thin">
        <color theme="0"/>
      </right>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tint="0.499984740745262"/>
      </left>
      <right/>
      <top/>
      <bottom style="thin">
        <color theme="1" tint="0.4999847407452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style="medium">
        <color indexed="64"/>
      </top>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top style="thin">
        <color theme="1" tint="0.499984740745262"/>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theme="0"/>
      </right>
      <top/>
      <bottom style="thin">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right style="medium">
        <color indexed="64"/>
      </right>
      <top/>
      <bottom style="thin">
        <color theme="1" tint="0.499984740745262"/>
      </bottom>
      <diagonal/>
    </border>
    <border>
      <left style="medium">
        <color indexed="64"/>
      </left>
      <right style="thin">
        <color theme="0"/>
      </right>
      <top/>
      <bottom/>
      <diagonal/>
    </border>
    <border>
      <left style="thin">
        <color theme="0"/>
      </left>
      <right/>
      <top style="medium">
        <color indexed="64"/>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theme="1" tint="0.499984740745262"/>
      </left>
      <right/>
      <top style="thin">
        <color theme="1" tint="0.499984740745262"/>
      </top>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indexed="64"/>
      </left>
      <right style="thin">
        <color indexed="64"/>
      </right>
      <top/>
      <bottom style="medium">
        <color indexed="64"/>
      </bottom>
      <diagonal/>
    </border>
  </borders>
  <cellStyleXfs count="31722">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2"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9" fillId="0" borderId="0"/>
    <xf numFmtId="0" fontId="20" fillId="0" borderId="0"/>
    <xf numFmtId="0" fontId="19" fillId="0" borderId="0"/>
    <xf numFmtId="0" fontId="29" fillId="0" borderId="0"/>
    <xf numFmtId="0" fontId="1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0"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20"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2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29" fillId="0" borderId="0"/>
    <xf numFmtId="0" fontId="19" fillId="0" borderId="0"/>
    <xf numFmtId="0" fontId="19" fillId="0" borderId="0"/>
    <xf numFmtId="0" fontId="19" fillId="0" borderId="0"/>
    <xf numFmtId="0" fontId="19" fillId="0" borderId="0"/>
    <xf numFmtId="0" fontId="34" fillId="0" borderId="0"/>
    <xf numFmtId="0" fontId="29" fillId="0" borderId="0"/>
    <xf numFmtId="0" fontId="19" fillId="0" borderId="0"/>
    <xf numFmtId="0" fontId="19" fillId="0" borderId="0"/>
    <xf numFmtId="0" fontId="34" fillId="0" borderId="0"/>
    <xf numFmtId="0" fontId="11" fillId="0" borderId="0"/>
    <xf numFmtId="0" fontId="11"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19" fillId="0" borderId="0"/>
    <xf numFmtId="0" fontId="34" fillId="0" borderId="0"/>
    <xf numFmtId="0" fontId="19" fillId="0" borderId="0"/>
    <xf numFmtId="0" fontId="34" fillId="0" borderId="0"/>
    <xf numFmtId="0" fontId="34" fillId="0" borderId="0"/>
    <xf numFmtId="0" fontId="19" fillId="0" borderId="0"/>
    <xf numFmtId="0" fontId="34" fillId="0" borderId="0"/>
    <xf numFmtId="0" fontId="34" fillId="0" borderId="0"/>
    <xf numFmtId="0" fontId="34" fillId="0" borderId="0"/>
    <xf numFmtId="0" fontId="2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30" fillId="0" borderId="0"/>
    <xf numFmtId="0" fontId="11" fillId="0" borderId="0"/>
    <xf numFmtId="0" fontId="11" fillId="0" borderId="0"/>
    <xf numFmtId="0" fontId="11" fillId="0" borderId="0"/>
    <xf numFmtId="0" fontId="11"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9" fillId="0" borderId="0"/>
    <xf numFmtId="0" fontId="30" fillId="0" borderId="0"/>
    <xf numFmtId="0" fontId="11" fillId="0" borderId="0"/>
    <xf numFmtId="0" fontId="11" fillId="0" borderId="0"/>
    <xf numFmtId="0" fontId="11" fillId="0" borderId="0"/>
    <xf numFmtId="0" fontId="1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2" fillId="0" borderId="0"/>
    <xf numFmtId="0" fontId="21" fillId="0" borderId="0"/>
    <xf numFmtId="0" fontId="28"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34" fillId="0" borderId="0"/>
    <xf numFmtId="0" fontId="31" fillId="0" borderId="0"/>
    <xf numFmtId="0" fontId="21" fillId="0" borderId="0"/>
    <xf numFmtId="0" fontId="34" fillId="0" borderId="0"/>
    <xf numFmtId="0" fontId="21" fillId="0" borderId="0"/>
    <xf numFmtId="0" fontId="34"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21" fillId="0" borderId="0"/>
    <xf numFmtId="0" fontId="34" fillId="0" borderId="0"/>
    <xf numFmtId="0" fontId="34" fillId="0" borderId="0"/>
    <xf numFmtId="0" fontId="21" fillId="0" borderId="0"/>
    <xf numFmtId="0" fontId="34" fillId="0" borderId="0"/>
    <xf numFmtId="0" fontId="34" fillId="0" borderId="0"/>
    <xf numFmtId="0" fontId="34" fillId="0" borderId="0"/>
    <xf numFmtId="0" fontId="3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5"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30"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0" fontId="12" fillId="0" borderId="0" applyNumberForma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33"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xf numFmtId="0" fontId="70" fillId="0" borderId="0"/>
    <xf numFmtId="0" fontId="70" fillId="0" borderId="0"/>
    <xf numFmtId="0" fontId="69" fillId="0" borderId="0"/>
    <xf numFmtId="0" fontId="70" fillId="0" borderId="0"/>
    <xf numFmtId="0" fontId="70" fillId="0" borderId="0"/>
    <xf numFmtId="0" fontId="71" fillId="0" borderId="0"/>
    <xf numFmtId="0" fontId="70"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1"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5" borderId="7" applyNumberFormat="0" applyFont="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69"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9" fillId="0" borderId="0"/>
    <xf numFmtId="0" fontId="69" fillId="0" borderId="0"/>
    <xf numFmtId="0" fontId="69" fillId="0" borderId="0"/>
    <xf numFmtId="0" fontId="69" fillId="0" borderId="0"/>
    <xf numFmtId="0" fontId="69" fillId="0" borderId="0"/>
    <xf numFmtId="0" fontId="11" fillId="0" borderId="0"/>
    <xf numFmtId="0" fontId="69" fillId="0" borderId="0"/>
    <xf numFmtId="0" fontId="6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4" fillId="0" borderId="0"/>
    <xf numFmtId="0" fontId="34" fillId="0" borderId="0"/>
    <xf numFmtId="0" fontId="21" fillId="0" borderId="0"/>
    <xf numFmtId="0" fontId="34" fillId="0" borderId="0"/>
    <xf numFmtId="0" fontId="34" fillId="0" borderId="0"/>
    <xf numFmtId="0" fontId="34" fillId="0" borderId="0"/>
    <xf numFmtId="0" fontId="69" fillId="0" borderId="0"/>
    <xf numFmtId="0" fontId="34" fillId="0" borderId="0"/>
    <xf numFmtId="0" fontId="34" fillId="0" borderId="0"/>
    <xf numFmtId="0" fontId="34" fillId="0" borderId="0"/>
    <xf numFmtId="0" fontId="34" fillId="0" borderId="0"/>
    <xf numFmtId="0" fontId="3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4" fillId="0" borderId="0"/>
    <xf numFmtId="0" fontId="34" fillId="0" borderId="0"/>
    <xf numFmtId="0" fontId="34" fillId="0" borderId="0"/>
    <xf numFmtId="0" fontId="34" fillId="0" borderId="0"/>
    <xf numFmtId="0" fontId="34" fillId="0" borderId="0"/>
    <xf numFmtId="0" fontId="11" fillId="0" borderId="0"/>
    <xf numFmtId="0" fontId="71" fillId="0" borderId="0"/>
    <xf numFmtId="0" fontId="71" fillId="0" borderId="0"/>
    <xf numFmtId="0" fontId="71" fillId="0" borderId="0"/>
    <xf numFmtId="0" fontId="71" fillId="0" borderId="0"/>
    <xf numFmtId="0" fontId="7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71" fillId="0" borderId="0"/>
    <xf numFmtId="0" fontId="34" fillId="0" borderId="0"/>
    <xf numFmtId="0" fontId="34" fillId="0" borderId="0"/>
    <xf numFmtId="0" fontId="34" fillId="0" borderId="0"/>
    <xf numFmtId="0" fontId="34" fillId="0" borderId="0"/>
    <xf numFmtId="0" fontId="7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21" fillId="0" borderId="0"/>
    <xf numFmtId="0" fontId="7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70" fillId="0" borderId="0"/>
    <xf numFmtId="0" fontId="11" fillId="0" borderId="0"/>
    <xf numFmtId="0" fontId="11"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1" fillId="0" borderId="0"/>
    <xf numFmtId="0" fontId="21" fillId="0" borderId="0"/>
    <xf numFmtId="0" fontId="11" fillId="0" borderId="0"/>
    <xf numFmtId="0" fontId="11" fillId="0" borderId="0"/>
    <xf numFmtId="44" fontId="34"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4" fillId="0" borderId="0" applyFont="0" applyFill="0" applyBorder="0" applyAlignment="0" applyProtection="0"/>
    <xf numFmtId="0" fontId="19" fillId="0" borderId="0"/>
    <xf numFmtId="0" fontId="11" fillId="0" borderId="0"/>
    <xf numFmtId="43" fontId="34" fillId="0" borderId="0" applyFont="0" applyFill="0" applyBorder="0" applyAlignment="0" applyProtection="0"/>
    <xf numFmtId="0" fontId="11" fillId="0" borderId="0"/>
    <xf numFmtId="0" fontId="19" fillId="0" borderId="0"/>
    <xf numFmtId="0" fontId="19"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71" fillId="0" borderId="0"/>
    <xf numFmtId="0" fontId="1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2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0" fontId="70" fillId="0" borderId="0"/>
    <xf numFmtId="0" fontId="19" fillId="0" borderId="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5" fillId="0" borderId="47" applyNumberFormat="0" applyFill="0" applyAlignment="0" applyProtection="0"/>
    <xf numFmtId="0" fontId="76" fillId="0" borderId="48" applyNumberFormat="0" applyFill="0" applyAlignment="0" applyProtection="0"/>
    <xf numFmtId="0" fontId="77" fillId="0" borderId="49" applyNumberFormat="0" applyFill="0" applyAlignment="0" applyProtection="0"/>
    <xf numFmtId="0" fontId="77" fillId="0" borderId="0" applyNumberFormat="0" applyFill="0" applyBorder="0" applyAlignment="0" applyProtection="0"/>
    <xf numFmtId="0" fontId="78" fillId="37" borderId="0" applyNumberFormat="0" applyBorder="0" applyAlignment="0" applyProtection="0"/>
    <xf numFmtId="0" fontId="79" fillId="38" borderId="0" applyNumberFormat="0" applyBorder="0" applyAlignment="0" applyProtection="0"/>
    <xf numFmtId="0" fontId="80" fillId="40" borderId="50" applyNumberFormat="0" applyAlignment="0" applyProtection="0"/>
    <xf numFmtId="0" fontId="81" fillId="41" borderId="51" applyNumberFormat="0" applyAlignment="0" applyProtection="0"/>
    <xf numFmtId="0" fontId="82" fillId="41" borderId="50" applyNumberFormat="0" applyAlignment="0" applyProtection="0"/>
    <xf numFmtId="0" fontId="83" fillId="0" borderId="52" applyNumberFormat="0" applyFill="0" applyAlignment="0" applyProtection="0"/>
    <xf numFmtId="0" fontId="84" fillId="42" borderId="53" applyNumberFormat="0" applyAlignment="0" applyProtection="0"/>
    <xf numFmtId="0" fontId="72" fillId="0" borderId="0" applyNumberFormat="0" applyFill="0" applyBorder="0" applyAlignment="0" applyProtection="0"/>
    <xf numFmtId="0" fontId="40" fillId="0" borderId="55" applyNumberFormat="0" applyFill="0" applyAlignment="0" applyProtection="0"/>
    <xf numFmtId="0" fontId="85" fillId="44" borderId="0" applyNumberFormat="0" applyBorder="0" applyAlignment="0" applyProtection="0"/>
    <xf numFmtId="0" fontId="85" fillId="45" borderId="0" applyNumberFormat="0" applyBorder="0" applyAlignment="0" applyProtection="0"/>
    <xf numFmtId="0" fontId="85" fillId="46" borderId="0" applyNumberFormat="0" applyBorder="0" applyAlignment="0" applyProtection="0"/>
    <xf numFmtId="0" fontId="85" fillId="47" borderId="0" applyNumberFormat="0" applyBorder="0" applyAlignment="0" applyProtection="0"/>
    <xf numFmtId="0" fontId="85" fillId="48" borderId="0" applyNumberFormat="0" applyBorder="0" applyAlignment="0" applyProtection="0"/>
    <xf numFmtId="0" fontId="85" fillId="49" borderId="0" applyNumberFormat="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94" fillId="39" borderId="0" applyNumberFormat="0" applyBorder="0" applyAlignment="0" applyProtection="0"/>
    <xf numFmtId="0" fontId="34" fillId="43" borderId="54" applyNumberFormat="0" applyFont="0" applyAlignment="0" applyProtection="0"/>
    <xf numFmtId="40" fontId="87" fillId="0" borderId="17">
      <alignment horizontal="right"/>
    </xf>
    <xf numFmtId="0" fontId="88" fillId="0" borderId="0">
      <alignment horizontal="left"/>
    </xf>
    <xf numFmtId="49" fontId="11" fillId="0" borderId="0"/>
    <xf numFmtId="0" fontId="88" fillId="0" borderId="0">
      <alignment horizontal="left"/>
    </xf>
    <xf numFmtId="177" fontId="87" fillId="0" borderId="17">
      <alignment horizontal="right"/>
    </xf>
    <xf numFmtId="49" fontId="87"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6" fillId="50" borderId="0">
      <alignment horizontal="right" vertical="center"/>
    </xf>
    <xf numFmtId="49" fontId="86" fillId="50" borderId="0">
      <alignment horizontal="left" vertical="center"/>
    </xf>
    <xf numFmtId="49" fontId="86" fillId="50" borderId="0">
      <alignment horizontal="center" vertical="center"/>
    </xf>
    <xf numFmtId="49" fontId="86" fillId="50" borderId="0">
      <alignment horizontal="center" vertical="center"/>
    </xf>
    <xf numFmtId="49" fontId="86" fillId="50" borderId="0">
      <alignment horizontal="right" vertical="center"/>
    </xf>
    <xf numFmtId="40" fontId="86" fillId="50" borderId="0">
      <alignment horizontal="right"/>
    </xf>
    <xf numFmtId="49" fontId="86"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6" fillId="50" borderId="0">
      <alignment horizontal="center" vertical="center"/>
    </xf>
    <xf numFmtId="49" fontId="86" fillId="50" borderId="0">
      <alignment horizontal="center" vertical="center"/>
    </xf>
    <xf numFmtId="177" fontId="86" fillId="50" borderId="0">
      <alignment horizontal="center" vertical="center"/>
    </xf>
    <xf numFmtId="49" fontId="86" fillId="50" borderId="0">
      <alignment horizontal="right"/>
    </xf>
    <xf numFmtId="40" fontId="87" fillId="0" borderId="19">
      <alignment horizontal="right"/>
    </xf>
    <xf numFmtId="0" fontId="88" fillId="0" borderId="0">
      <alignment horizontal="left"/>
    </xf>
    <xf numFmtId="49" fontId="11" fillId="0" borderId="0"/>
    <xf numFmtId="0" fontId="88" fillId="0" borderId="0">
      <alignment horizontal="left"/>
    </xf>
    <xf numFmtId="177" fontId="87" fillId="0" borderId="19">
      <alignment horizontal="right"/>
    </xf>
    <xf numFmtId="49" fontId="87" fillId="0" borderId="0">
      <alignment horizontal="right"/>
    </xf>
    <xf numFmtId="49" fontId="11" fillId="0" borderId="0"/>
    <xf numFmtId="49" fontId="11" fillId="0" borderId="0"/>
    <xf numFmtId="40" fontId="87" fillId="0" borderId="14">
      <alignment horizontal="right"/>
    </xf>
    <xf numFmtId="49" fontId="87" fillId="0" borderId="0">
      <alignment horizontal="left"/>
    </xf>
    <xf numFmtId="49" fontId="11" fillId="0" borderId="0"/>
    <xf numFmtId="49" fontId="87" fillId="0" borderId="0">
      <alignment horizontal="left"/>
    </xf>
    <xf numFmtId="177" fontId="87" fillId="0" borderId="14">
      <alignment horizontal="right"/>
    </xf>
    <xf numFmtId="49" fontId="87" fillId="0" borderId="0">
      <alignment horizontal="right"/>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7" fillId="51" borderId="0">
      <alignment horizontal="center" vertical="center"/>
    </xf>
    <xf numFmtId="49" fontId="11" fillId="51" borderId="0">
      <alignment horizontal="left" vertical="center"/>
    </xf>
    <xf numFmtId="49" fontId="87" fillId="51" borderId="0">
      <alignment horizontal="center" vertical="center"/>
    </xf>
    <xf numFmtId="0" fontId="87" fillId="52" borderId="0">
      <alignment horizontal="left"/>
    </xf>
    <xf numFmtId="49" fontId="11" fillId="0" borderId="0"/>
    <xf numFmtId="0" fontId="87" fillId="52" borderId="0">
      <alignment horizontal="left"/>
    </xf>
    <xf numFmtId="40" fontId="87" fillId="0" borderId="0">
      <alignment horizontal="right"/>
    </xf>
    <xf numFmtId="49" fontId="86" fillId="50" borderId="0"/>
    <xf numFmtId="49" fontId="86" fillId="50" borderId="0"/>
    <xf numFmtId="49" fontId="11" fillId="0" borderId="0"/>
    <xf numFmtId="0" fontId="89" fillId="53" borderId="0" applyFont="0" applyFill="0">
      <alignment horizontal="left" vertical="top" wrapText="1"/>
    </xf>
    <xf numFmtId="40" fontId="89" fillId="0" borderId="0"/>
    <xf numFmtId="40" fontId="89" fillId="0" borderId="0"/>
    <xf numFmtId="0" fontId="89" fillId="0" borderId="0">
      <alignment horizontal="left"/>
    </xf>
    <xf numFmtId="0" fontId="89" fillId="0" borderId="0">
      <alignment horizontal="center"/>
    </xf>
    <xf numFmtId="0" fontId="90" fillId="0" borderId="0">
      <alignment horizontal="center"/>
    </xf>
    <xf numFmtId="0" fontId="91" fillId="50" borderId="0">
      <alignment horizontal="left"/>
    </xf>
    <xf numFmtId="0" fontId="91" fillId="50" borderId="0">
      <alignment horizontal="left"/>
    </xf>
    <xf numFmtId="0" fontId="90" fillId="0" borderId="0">
      <alignment horizontal="center"/>
    </xf>
    <xf numFmtId="40" fontId="92" fillId="0" borderId="18"/>
    <xf numFmtId="40" fontId="92" fillId="0" borderId="18"/>
    <xf numFmtId="0" fontId="92" fillId="0" borderId="0"/>
    <xf numFmtId="0" fontId="92" fillId="0" borderId="0"/>
    <xf numFmtId="0" fontId="90" fillId="0" borderId="0">
      <alignment horizontal="center"/>
    </xf>
    <xf numFmtId="0" fontId="93" fillId="54" borderId="0">
      <alignment horizontal="left"/>
    </xf>
    <xf numFmtId="0" fontId="93" fillId="54" borderId="0">
      <alignment horizontal="left"/>
    </xf>
    <xf numFmtId="40" fontId="87" fillId="0" borderId="0">
      <alignment horizontal="right"/>
    </xf>
    <xf numFmtId="0" fontId="88" fillId="0" borderId="0">
      <alignment horizontal="left"/>
    </xf>
    <xf numFmtId="49" fontId="11" fillId="0" borderId="0"/>
    <xf numFmtId="0" fontId="88" fillId="0" borderId="0">
      <alignment horizontal="left"/>
    </xf>
    <xf numFmtId="177" fontId="87" fillId="0" borderId="0">
      <alignment horizontal="right"/>
    </xf>
    <xf numFmtId="49" fontId="87" fillId="0" borderId="0" applyBorder="0">
      <alignment horizontal="right"/>
    </xf>
    <xf numFmtId="0" fontId="11" fillId="0" borderId="0"/>
    <xf numFmtId="49" fontId="95" fillId="53" borderId="0">
      <alignment horizontal="left"/>
    </xf>
    <xf numFmtId="49" fontId="95" fillId="53" borderId="0">
      <alignment horizontal="left"/>
    </xf>
    <xf numFmtId="0" fontId="96" fillId="53" borderId="0">
      <alignment horizontal="left"/>
    </xf>
    <xf numFmtId="178" fontId="96" fillId="53" borderId="0">
      <alignment horizontal="left"/>
    </xf>
    <xf numFmtId="40" fontId="87" fillId="0" borderId="0">
      <alignment horizontal="right"/>
    </xf>
    <xf numFmtId="49" fontId="97" fillId="53" borderId="0">
      <alignment horizontal="left"/>
    </xf>
    <xf numFmtId="49" fontId="97" fillId="53" borderId="0">
      <alignment horizontal="left"/>
    </xf>
    <xf numFmtId="49" fontId="11" fillId="0" borderId="0"/>
    <xf numFmtId="40" fontId="87" fillId="0" borderId="14">
      <alignment horizontal="right"/>
    </xf>
    <xf numFmtId="49" fontId="87" fillId="0" borderId="0">
      <alignment horizontal="left"/>
    </xf>
    <xf numFmtId="49" fontId="11" fillId="0" borderId="0"/>
    <xf numFmtId="49" fontId="87" fillId="0" borderId="0">
      <alignment horizontal="left"/>
    </xf>
    <xf numFmtId="177" fontId="87" fillId="0" borderId="14">
      <alignment horizontal="right"/>
    </xf>
    <xf numFmtId="49" fontId="87" fillId="0" borderId="0">
      <alignment horizontal="right"/>
    </xf>
    <xf numFmtId="40" fontId="87" fillId="0" borderId="14">
      <alignment horizontal="right"/>
    </xf>
    <xf numFmtId="0" fontId="87" fillId="52" borderId="0">
      <alignment horizontal="left"/>
    </xf>
    <xf numFmtId="49" fontId="11" fillId="0" borderId="0"/>
    <xf numFmtId="0" fontId="87" fillId="52" borderId="0">
      <alignment horizontal="left"/>
    </xf>
    <xf numFmtId="177" fontId="87" fillId="0" borderId="14">
      <alignment horizontal="right"/>
    </xf>
    <xf numFmtId="49" fontId="87" fillId="0" borderId="0">
      <alignment horizontal="right"/>
    </xf>
    <xf numFmtId="0" fontId="92" fillId="0" borderId="0"/>
    <xf numFmtId="40" fontId="89" fillId="0" borderId="18"/>
    <xf numFmtId="40" fontId="89" fillId="0" borderId="18"/>
    <xf numFmtId="0" fontId="89" fillId="0" borderId="0"/>
    <xf numFmtId="0" fontId="89" fillId="0" borderId="0"/>
    <xf numFmtId="40" fontId="89" fillId="0" borderId="0"/>
    <xf numFmtId="179" fontId="89" fillId="0" borderId="0"/>
    <xf numFmtId="40" fontId="89" fillId="0" borderId="0"/>
    <xf numFmtId="0" fontId="89" fillId="0" borderId="0"/>
    <xf numFmtId="0" fontId="89" fillId="0" borderId="0"/>
    <xf numFmtId="40" fontId="87" fillId="0" borderId="18">
      <alignment horizontal="right"/>
    </xf>
    <xf numFmtId="49" fontId="87" fillId="0" borderId="0">
      <alignment horizontal="left"/>
    </xf>
    <xf numFmtId="49" fontId="11" fillId="0" borderId="0"/>
    <xf numFmtId="49" fontId="87" fillId="0" borderId="0">
      <alignment horizontal="left"/>
    </xf>
    <xf numFmtId="177" fontId="87" fillId="0" borderId="18">
      <alignment horizontal="right"/>
    </xf>
    <xf numFmtId="49" fontId="87" fillId="0" borderId="0">
      <alignment horizontal="right"/>
    </xf>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43" borderId="54"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2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7" fillId="11"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5"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1" fillId="0" borderId="0"/>
    <xf numFmtId="0" fontId="2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7" fillId="1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7" fillId="7" borderId="0" applyNumberFormat="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21"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11"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5"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9" fontId="32"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3" fillId="20" borderId="0" applyFont="0" applyBorder="0" applyAlignment="0">
      <alignment horizontal="center" wrapText="1"/>
    </xf>
    <xf numFmtId="0" fontId="34" fillId="0" borderId="0"/>
    <xf numFmtId="43" fontId="1" fillId="0" borderId="0" applyFont="0" applyFill="0" applyBorder="0" applyAlignment="0" applyProtection="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19" fillId="0" borderId="0"/>
    <xf numFmtId="0" fontId="34" fillId="0" borderId="0"/>
    <xf numFmtId="0" fontId="34" fillId="0" borderId="0"/>
    <xf numFmtId="0" fontId="34"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2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19"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11" fillId="0" borderId="0"/>
    <xf numFmtId="43" fontId="34" fillId="0" borderId="0" applyFont="0" applyFill="0" applyBorder="0" applyAlignment="0" applyProtection="0"/>
    <xf numFmtId="0" fontId="7" fillId="7" borderId="0" applyNumberFormat="0" applyBorder="0" applyAlignment="0" applyProtection="0"/>
    <xf numFmtId="0" fontId="34" fillId="0" borderId="0"/>
    <xf numFmtId="0" fontId="7" fillId="11" borderId="0" applyNumberFormat="0" applyBorder="0" applyAlignment="0" applyProtection="0"/>
    <xf numFmtId="0" fontId="34" fillId="0" borderId="0"/>
    <xf numFmtId="0" fontId="19"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11" fillId="0" borderId="0"/>
    <xf numFmtId="0" fontId="11"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7" borderId="0" applyNumberFormat="0" applyBorder="0" applyAlignment="0" applyProtection="0"/>
    <xf numFmtId="0" fontId="11" fillId="0" borderId="0"/>
    <xf numFmtId="0" fontId="39" fillId="20" borderId="0" applyFont="0" applyBorder="0" applyAlignment="0">
      <alignment horizontal="center" wrapText="1"/>
    </xf>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0" fontId="21" fillId="0" borderId="0"/>
    <xf numFmtId="0" fontId="19" fillId="0" borderId="0"/>
    <xf numFmtId="0" fontId="11" fillId="0" borderId="0"/>
    <xf numFmtId="0" fontId="1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11" fillId="0" borderId="0"/>
    <xf numFmtId="0" fontId="34"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43" fontId="1"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9" fillId="0" borderId="0"/>
    <xf numFmtId="0" fontId="21" fillId="0" borderId="0"/>
    <xf numFmtId="44" fontId="35" fillId="0" borderId="0" applyFont="0" applyFill="0" applyBorder="0" applyAlignment="0" applyProtection="0"/>
    <xf numFmtId="43" fontId="34" fillId="0" borderId="0" applyFont="0" applyFill="0" applyBorder="0" applyAlignment="0" applyProtection="0"/>
    <xf numFmtId="0" fontId="19"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0" fontId="11" fillId="0" borderId="0"/>
    <xf numFmtId="0" fontId="34" fillId="0" borderId="0"/>
    <xf numFmtId="0" fontId="33" fillId="20" borderId="0" applyFont="0" applyBorder="0" applyAlignment="0">
      <alignment horizontal="center" wrapText="1"/>
    </xf>
    <xf numFmtId="0" fontId="34" fillId="0" borderId="0"/>
    <xf numFmtId="0" fontId="34"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11" fillId="0" borderId="0"/>
    <xf numFmtId="44" fontId="1"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34" fillId="0" borderId="0"/>
    <xf numFmtId="0" fontId="19" fillId="0" borderId="0"/>
    <xf numFmtId="0" fontId="11"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2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9"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98" fillId="0" borderId="0" applyNumberFormat="0" applyFill="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61"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65" borderId="0" applyNumberFormat="0" applyBorder="0" applyAlignment="0" applyProtection="0"/>
    <xf numFmtId="0" fontId="34" fillId="67" borderId="0" applyNumberFormat="0" applyBorder="0" applyAlignment="0" applyProtection="0"/>
    <xf numFmtId="0" fontId="34" fillId="68" borderId="0" applyNumberFormat="0" applyBorder="0" applyAlignment="0" applyProtection="0"/>
    <xf numFmtId="0" fontId="34" fillId="70" borderId="0" applyNumberFormat="0" applyBorder="0" applyAlignment="0" applyProtection="0"/>
    <xf numFmtId="0" fontId="34" fillId="71" borderId="0" applyNumberFormat="0" applyBorder="0" applyAlignment="0" applyProtection="0"/>
    <xf numFmtId="0" fontId="35" fillId="55" borderId="0" applyNumberFormat="0" applyBorder="0" applyAlignment="0" applyProtection="0"/>
    <xf numFmtId="0" fontId="35" fillId="58" borderId="0" applyNumberFormat="0" applyBorder="0" applyAlignment="0" applyProtection="0"/>
    <xf numFmtId="0" fontId="35" fillId="61" borderId="0" applyNumberFormat="0" applyBorder="0" applyAlignment="0" applyProtection="0"/>
    <xf numFmtId="0" fontId="35" fillId="64" borderId="0" applyNumberFormat="0" applyBorder="0" applyAlignment="0" applyProtection="0"/>
    <xf numFmtId="0" fontId="35" fillId="67" borderId="0" applyNumberFormat="0" applyBorder="0" applyAlignment="0" applyProtection="0"/>
    <xf numFmtId="0" fontId="35" fillId="70"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2" borderId="0" applyNumberFormat="0" applyBorder="0" applyAlignment="0" applyProtection="0"/>
    <xf numFmtId="0" fontId="35" fillId="65" borderId="0" applyNumberFormat="0" applyBorder="0" applyAlignment="0" applyProtection="0"/>
    <xf numFmtId="0" fontId="35" fillId="68" borderId="0" applyNumberFormat="0" applyBorder="0" applyAlignment="0" applyProtection="0"/>
    <xf numFmtId="0" fontId="35" fillId="71" borderId="0" applyNumberFormat="0" applyBorder="0" applyAlignment="0" applyProtection="0"/>
    <xf numFmtId="0" fontId="85" fillId="57" borderId="0" applyNumberFormat="0" applyBorder="0" applyAlignment="0" applyProtection="0"/>
    <xf numFmtId="0" fontId="99" fillId="57" borderId="0" applyNumberFormat="0" applyBorder="0" applyAlignment="0" applyProtection="0"/>
    <xf numFmtId="0" fontId="85" fillId="60" borderId="0" applyNumberFormat="0" applyBorder="0" applyAlignment="0" applyProtection="0"/>
    <xf numFmtId="0" fontId="99" fillId="60" borderId="0" applyNumberFormat="0" applyBorder="0" applyAlignment="0" applyProtection="0"/>
    <xf numFmtId="0" fontId="85" fillId="63" borderId="0" applyNumberFormat="0" applyBorder="0" applyAlignment="0" applyProtection="0"/>
    <xf numFmtId="0" fontId="99" fillId="63" borderId="0" applyNumberFormat="0" applyBorder="0" applyAlignment="0" applyProtection="0"/>
    <xf numFmtId="0" fontId="85" fillId="66" borderId="0" applyNumberFormat="0" applyBorder="0" applyAlignment="0" applyProtection="0"/>
    <xf numFmtId="0" fontId="99" fillId="66" borderId="0" applyNumberFormat="0" applyBorder="0" applyAlignment="0" applyProtection="0"/>
    <xf numFmtId="0" fontId="85" fillId="69" borderId="0" applyNumberFormat="0" applyBorder="0" applyAlignment="0" applyProtection="0"/>
    <xf numFmtId="0" fontId="99" fillId="69" borderId="0" applyNumberFormat="0" applyBorder="0" applyAlignment="0" applyProtection="0"/>
    <xf numFmtId="0" fontId="85" fillId="72" borderId="0" applyNumberFormat="0" applyBorder="0" applyAlignment="0" applyProtection="0"/>
    <xf numFmtId="0" fontId="99" fillId="72" borderId="0" applyNumberFormat="0" applyBorder="0" applyAlignment="0" applyProtection="0"/>
    <xf numFmtId="0" fontId="99" fillId="44" borderId="0" applyNumberFormat="0" applyBorder="0" applyAlignment="0" applyProtection="0"/>
    <xf numFmtId="0" fontId="99" fillId="44" borderId="0" applyNumberFormat="0" applyBorder="0" applyAlignment="0" applyProtection="0"/>
    <xf numFmtId="0" fontId="99" fillId="45" borderId="0" applyNumberFormat="0" applyBorder="0" applyAlignment="0" applyProtection="0"/>
    <xf numFmtId="0" fontId="99" fillId="45"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100" fillId="38" borderId="0" applyNumberFormat="0" applyBorder="0" applyAlignment="0" applyProtection="0"/>
    <xf numFmtId="0" fontId="101" fillId="41" borderId="50" applyNumberFormat="0" applyAlignment="0" applyProtection="0"/>
    <xf numFmtId="0" fontId="102"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5" fillId="0" borderId="0" applyFont="0" applyFill="0" applyBorder="0" applyAlignment="0" applyProtection="0"/>
    <xf numFmtId="0" fontId="103" fillId="0" borderId="0" applyNumberFormat="0" applyFill="0" applyBorder="0" applyAlignment="0" applyProtection="0"/>
    <xf numFmtId="0" fontId="104" fillId="37" borderId="0" applyNumberFormat="0" applyBorder="0" applyAlignment="0" applyProtection="0"/>
    <xf numFmtId="0" fontId="105" fillId="0" borderId="47" applyNumberFormat="0" applyFill="0" applyAlignment="0" applyProtection="0"/>
    <xf numFmtId="0" fontId="106"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7" fillId="0" borderId="49" applyNumberFormat="0" applyFill="0" applyAlignment="0" applyProtection="0"/>
    <xf numFmtId="0" fontId="107" fillId="0" borderId="0" applyNumberFormat="0" applyFill="0" applyBorder="0" applyAlignment="0" applyProtection="0"/>
    <xf numFmtId="0" fontId="108" fillId="40" borderId="50" applyNumberFormat="0" applyAlignment="0" applyProtection="0"/>
    <xf numFmtId="0" fontId="109" fillId="0" borderId="52" applyNumberFormat="0" applyFill="0" applyAlignment="0" applyProtection="0"/>
    <xf numFmtId="0" fontId="110" fillId="39" borderId="0" applyNumberFormat="0" applyBorder="0" applyAlignment="0" applyProtection="0"/>
    <xf numFmtId="0" fontId="6" fillId="0" borderId="0"/>
    <xf numFmtId="0" fontId="35" fillId="0" borderId="0"/>
    <xf numFmtId="0" fontId="35" fillId="0" borderId="0"/>
    <xf numFmtId="0" fontId="35" fillId="0" borderId="0"/>
    <xf numFmtId="0" fontId="35" fillId="0" borderId="0"/>
    <xf numFmtId="0" fontId="6" fillId="0" borderId="0"/>
    <xf numFmtId="0" fontId="6" fillId="0" borderId="0"/>
    <xf numFmtId="0" fontId="11" fillId="0" borderId="0"/>
    <xf numFmtId="0" fontId="19" fillId="0" borderId="0"/>
    <xf numFmtId="0" fontId="11" fillId="0" borderId="0"/>
    <xf numFmtId="0" fontId="35" fillId="0" borderId="0"/>
    <xf numFmtId="0" fontId="34" fillId="0" borderId="0"/>
    <xf numFmtId="0" fontId="11" fillId="0" borderId="0"/>
    <xf numFmtId="0" fontId="34" fillId="0" borderId="0"/>
    <xf numFmtId="0" fontId="11" fillId="0" borderId="0"/>
    <xf numFmtId="0" fontId="11" fillId="0" borderId="0"/>
    <xf numFmtId="0" fontId="11" fillId="0" borderId="0"/>
    <xf numFmtId="0" fontId="11" fillId="0" borderId="0"/>
    <xf numFmtId="0" fontId="11" fillId="0" borderId="0"/>
    <xf numFmtId="0" fontId="35" fillId="43" borderId="54" applyNumberFormat="0" applyFont="0" applyAlignment="0" applyProtection="0"/>
    <xf numFmtId="0" fontId="111" fillId="41" borderId="51" applyNumberFormat="0" applyAlignment="0" applyProtection="0"/>
    <xf numFmtId="9" fontId="6" fillId="0" borderId="0" applyFont="0" applyFill="0" applyBorder="0" applyAlignment="0" applyProtection="0"/>
    <xf numFmtId="0" fontId="112" fillId="0" borderId="0" applyNumberFormat="0" applyFill="0" applyBorder="0" applyAlignment="0" applyProtection="0"/>
    <xf numFmtId="0" fontId="113" fillId="0" borderId="55" applyNumberFormat="0" applyFill="0" applyAlignment="0" applyProtection="0"/>
    <xf numFmtId="0" fontId="114" fillId="0" borderId="0" applyNumberFormat="0" applyFill="0" applyBorder="0" applyAlignment="0" applyProtection="0"/>
    <xf numFmtId="0" fontId="117" fillId="0" borderId="0"/>
    <xf numFmtId="43" fontId="118" fillId="0" borderId="0" applyFont="0" applyFill="0" applyBorder="0" applyAlignment="0" applyProtection="0"/>
    <xf numFmtId="0" fontId="118"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6" fillId="0" borderId="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34" fillId="0" borderId="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5" fillId="0" borderId="0"/>
    <xf numFmtId="0" fontId="11" fillId="0" borderId="0"/>
    <xf numFmtId="0" fontId="11" fillId="0" borderId="0"/>
    <xf numFmtId="0" fontId="34"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8" fillId="0" borderId="0"/>
    <xf numFmtId="0" fontId="11" fillId="0" borderId="0"/>
    <xf numFmtId="0" fontId="118"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34" fillId="0" borderId="0"/>
    <xf numFmtId="43" fontId="34" fillId="0" borderId="0" applyFont="0" applyFill="0" applyBorder="0" applyAlignment="0" applyProtection="0"/>
    <xf numFmtId="0" fontId="19" fillId="0" borderId="0"/>
    <xf numFmtId="0" fontId="21" fillId="0" borderId="0"/>
    <xf numFmtId="43" fontId="34" fillId="0" borderId="0" applyFont="0" applyFill="0" applyBorder="0" applyAlignment="0" applyProtection="0"/>
    <xf numFmtId="44"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19" fillId="0" borderId="0"/>
    <xf numFmtId="43"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4" fillId="0" borderId="0"/>
    <xf numFmtId="0" fontId="129" fillId="0" borderId="0"/>
    <xf numFmtId="43" fontId="117" fillId="0" borderId="0" applyFont="0" applyFill="0" applyBorder="0" applyAlignment="0" applyProtection="0"/>
    <xf numFmtId="0" fontId="117" fillId="0" borderId="0"/>
    <xf numFmtId="0" fontId="154" fillId="0" borderId="0"/>
    <xf numFmtId="0" fontId="34" fillId="0" borderId="0"/>
    <xf numFmtId="0" fontId="154" fillId="0" borderId="0"/>
    <xf numFmtId="43" fontId="117" fillId="0" borderId="0" applyFont="0" applyFill="0" applyBorder="0" applyAlignment="0" applyProtection="0"/>
    <xf numFmtId="0" fontId="117" fillId="0" borderId="0"/>
    <xf numFmtId="0" fontId="117" fillId="0" borderId="0"/>
    <xf numFmtId="0" fontId="117" fillId="0" borderId="0"/>
    <xf numFmtId="0" fontId="157" fillId="0" borderId="0"/>
    <xf numFmtId="0" fontId="157" fillId="0" borderId="0"/>
    <xf numFmtId="0" fontId="158" fillId="0" borderId="0"/>
    <xf numFmtId="0" fontId="157" fillId="0" borderId="0"/>
    <xf numFmtId="0" fontId="154" fillId="0" borderId="0"/>
    <xf numFmtId="0" fontId="157" fillId="0" borderId="0"/>
    <xf numFmtId="0" fontId="154" fillId="0" borderId="0"/>
    <xf numFmtId="0" fontId="158"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7" fillId="0" borderId="0"/>
    <xf numFmtId="0" fontId="154" fillId="0" borderId="0"/>
    <xf numFmtId="0" fontId="154" fillId="0" borderId="0"/>
    <xf numFmtId="0" fontId="157" fillId="0" borderId="0"/>
    <xf numFmtId="0" fontId="154" fillId="0" borderId="0"/>
    <xf numFmtId="0" fontId="154" fillId="0" borderId="0"/>
    <xf numFmtId="0" fontId="158" fillId="0" borderId="0"/>
    <xf numFmtId="0" fontId="154" fillId="5" borderId="7" applyNumberFormat="0" applyFont="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4" fillId="0" borderId="0"/>
    <xf numFmtId="0" fontId="158"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4" fillId="5" borderId="7" applyNumberFormat="0" applyFont="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4" fillId="0" borderId="0"/>
    <xf numFmtId="0" fontId="158" fillId="0" borderId="0"/>
    <xf numFmtId="0" fontId="154" fillId="0" borderId="0"/>
    <xf numFmtId="0" fontId="158" fillId="0" borderId="0"/>
    <xf numFmtId="0" fontId="154" fillId="0" borderId="0"/>
    <xf numFmtId="0" fontId="159"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9"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59" fillId="0" borderId="0"/>
    <xf numFmtId="0" fontId="19"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21" fillId="0" borderId="0"/>
    <xf numFmtId="9"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21" fillId="0" borderId="0"/>
    <xf numFmtId="0" fontId="34" fillId="0" borderId="0"/>
    <xf numFmtId="0" fontId="11" fillId="0" borderId="0"/>
    <xf numFmtId="0" fontId="21" fillId="0" borderId="0"/>
    <xf numFmtId="0" fontId="21" fillId="0" borderId="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4" fillId="0" borderId="0" applyFont="0" applyFill="0" applyBorder="0" applyAlignment="0" applyProtection="0"/>
    <xf numFmtId="43" fontId="34"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19" fillId="0" borderId="0"/>
    <xf numFmtId="0" fontId="2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4" fillId="43" borderId="54" applyNumberFormat="0" applyFont="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19" fillId="0" borderId="0"/>
    <xf numFmtId="0" fontId="21"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21" fillId="0" borderId="0"/>
    <xf numFmtId="43" fontId="35"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11" fillId="0" borderId="0"/>
    <xf numFmtId="0" fontId="34" fillId="0" borderId="0"/>
    <xf numFmtId="0" fontId="11" fillId="0" borderId="0"/>
    <xf numFmtId="0" fontId="11" fillId="0" borderId="0"/>
    <xf numFmtId="0" fontId="35" fillId="43" borderId="54" applyNumberFormat="0" applyFont="0" applyAlignment="0" applyProtection="0"/>
    <xf numFmtId="0" fontId="11" fillId="0" borderId="0"/>
    <xf numFmtId="0" fontId="11" fillId="0" borderId="0"/>
    <xf numFmtId="0" fontId="34" fillId="0" borderId="0"/>
    <xf numFmtId="0" fontId="11" fillId="0" borderId="0"/>
    <xf numFmtId="0" fontId="11" fillId="0" borderId="0"/>
    <xf numFmtId="0" fontId="35" fillId="0" borderId="0"/>
    <xf numFmtId="44" fontId="1"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0" fontId="19" fillId="0" borderId="0"/>
    <xf numFmtId="0" fontId="19" fillId="0" borderId="0"/>
    <xf numFmtId="0" fontId="11" fillId="0" borderId="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4"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7" fillId="0" borderId="0"/>
    <xf numFmtId="43" fontId="117" fillId="0" borderId="0" applyFont="0" applyFill="0" applyBorder="0" applyAlignment="0" applyProtection="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cellStyleXfs>
  <cellXfs count="1327">
    <xf numFmtId="0" fontId="0" fillId="0" borderId="0" xfId="0"/>
    <xf numFmtId="164" fontId="40" fillId="0" borderId="0" xfId="439" applyNumberFormat="1" applyFont="1" applyFill="1" applyAlignment="1" applyProtection="1">
      <alignment horizontal="center" wrapText="1"/>
    </xf>
    <xf numFmtId="0" fontId="44"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1" fillId="21" borderId="0" xfId="0" applyFont="1" applyFill="1" applyBorder="1" applyAlignment="1" applyProtection="1">
      <alignment horizontal="center" wrapText="1"/>
    </xf>
    <xf numFmtId="0" fontId="49" fillId="24" borderId="10" xfId="0" applyFont="1" applyFill="1" applyBorder="1" applyAlignment="1" applyProtection="1">
      <alignment horizontal="center" wrapText="1"/>
    </xf>
    <xf numFmtId="0" fontId="42" fillId="0" borderId="0" xfId="0" applyFont="1" applyAlignment="1" applyProtection="1">
      <alignment horizontal="left" wrapText="1"/>
    </xf>
    <xf numFmtId="0" fontId="42" fillId="0" borderId="0" xfId="0" applyFont="1" applyAlignment="1" applyProtection="1">
      <alignment horizontal="left" vertical="center" wrapText="1"/>
    </xf>
    <xf numFmtId="0" fontId="42" fillId="24" borderId="0" xfId="0" applyFont="1" applyFill="1" applyBorder="1" applyAlignment="1" applyProtection="1">
      <alignment horizontal="left" wrapText="1"/>
    </xf>
    <xf numFmtId="0" fontId="40" fillId="0" borderId="0" xfId="0" applyFont="1" applyAlignment="1" applyProtection="1">
      <alignment horizontal="center"/>
    </xf>
    <xf numFmtId="167" fontId="40" fillId="23" borderId="0" xfId="545" applyNumberFormat="1" applyFont="1" applyFill="1" applyProtection="1"/>
    <xf numFmtId="0" fontId="52" fillId="25" borderId="0" xfId="0" applyFont="1" applyFill="1" applyAlignment="1" applyProtection="1">
      <alignment horizontal="center" wrapText="1"/>
    </xf>
    <xf numFmtId="0" fontId="53" fillId="21" borderId="10" xfId="0" applyFont="1" applyFill="1" applyBorder="1" applyAlignment="1" applyProtection="1">
      <alignment horizontal="center" wrapText="1"/>
    </xf>
    <xf numFmtId="0" fontId="53"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55" fillId="26" borderId="0" xfId="682" applyFont="1" applyFill="1"/>
    <xf numFmtId="0" fontId="55" fillId="0" borderId="0" xfId="682" applyFont="1" applyFill="1"/>
    <xf numFmtId="0" fontId="40" fillId="0" borderId="0" xfId="682" applyFont="1"/>
    <xf numFmtId="40" fontId="56" fillId="0" borderId="0" xfId="0" applyNumberFormat="1" applyFont="1"/>
    <xf numFmtId="0" fontId="53" fillId="0" borderId="0" xfId="0" applyFont="1"/>
    <xf numFmtId="0" fontId="0" fillId="0" borderId="0" xfId="0" applyNumberFormat="1" applyFont="1" applyFill="1" applyAlignment="1" applyProtection="1">
      <alignment vertical="center" wrapText="1"/>
    </xf>
    <xf numFmtId="0" fontId="55"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8" fillId="0" borderId="0" xfId="0" applyNumberFormat="1" applyFont="1" applyFill="1" applyAlignment="1" applyProtection="1">
      <alignment vertical="center" wrapText="1"/>
    </xf>
    <xf numFmtId="0" fontId="40" fillId="0" borderId="0" xfId="0" applyNumberFormat="1" applyFont="1" applyFill="1" applyAlignment="1" applyProtection="1">
      <alignment horizontal="left" vertical="center" wrapText="1" indent="3"/>
    </xf>
    <xf numFmtId="0" fontId="55" fillId="0" borderId="0" xfId="0" applyNumberFormat="1" applyFont="1" applyFill="1" applyAlignment="1" applyProtection="1">
      <alignment vertical="center" wrapText="1"/>
    </xf>
    <xf numFmtId="0" fontId="55" fillId="0" borderId="0" xfId="0" applyNumberFormat="1" applyFont="1" applyFill="1" applyAlignment="1" applyProtection="1">
      <alignment horizontal="left" vertical="center" wrapText="1" indent="3"/>
    </xf>
    <xf numFmtId="0" fontId="55" fillId="0" borderId="14" xfId="0" applyNumberFormat="1" applyFont="1" applyFill="1" applyBorder="1" applyAlignment="1" applyProtection="1">
      <alignment horizontal="left" vertical="center" wrapText="1" indent="3"/>
    </xf>
    <xf numFmtId="0" fontId="55" fillId="0" borderId="0" xfId="0" applyNumberFormat="1" applyFont="1" applyFill="1" applyAlignment="1" applyProtection="1">
      <alignment horizontal="left" vertical="center" wrapText="1" indent="6"/>
    </xf>
    <xf numFmtId="0" fontId="46"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40" fontId="46" fillId="0" borderId="0" xfId="439" applyNumberFormat="1" applyFont="1" applyFill="1" applyAlignment="1" applyProtection="1">
      <alignment horizontal="center" vertical="center" wrapText="1"/>
    </xf>
    <xf numFmtId="173" fontId="46" fillId="0" borderId="0" xfId="439" applyNumberFormat="1" applyFont="1" applyFill="1" applyAlignment="1" applyProtection="1">
      <alignment horizontal="center" vertical="center" wrapText="1"/>
    </xf>
    <xf numFmtId="164" fontId="60"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61" fillId="0" borderId="25" xfId="0" applyNumberFormat="1" applyFont="1" applyFill="1" applyBorder="1" applyAlignment="1" applyProtection="1">
      <alignment horizontal="center" vertical="center"/>
    </xf>
    <xf numFmtId="0" fontId="62" fillId="0" borderId="25" xfId="0" applyNumberFormat="1" applyFont="1" applyFill="1" applyBorder="1" applyAlignment="1" applyProtection="1">
      <alignment horizontal="center" vertical="center"/>
    </xf>
    <xf numFmtId="0" fontId="40" fillId="23" borderId="25" xfId="0" applyNumberFormat="1" applyFont="1" applyFill="1" applyBorder="1" applyAlignment="1" applyProtection="1">
      <alignment horizontal="center" vertical="center"/>
    </xf>
    <xf numFmtId="0" fontId="40" fillId="0" borderId="26" xfId="0" applyNumberFormat="1" applyFont="1" applyFill="1" applyBorder="1" applyAlignment="1" applyProtection="1">
      <alignment horizontal="center" vertical="center"/>
    </xf>
    <xf numFmtId="0" fontId="51"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1" fillId="24" borderId="0" xfId="0" applyFont="1" applyFill="1" applyBorder="1" applyAlignment="1" applyProtection="1">
      <alignment horizontal="center" vertical="center" wrapText="1"/>
    </xf>
    <xf numFmtId="0" fontId="53" fillId="21" borderId="10" xfId="0" applyFont="1" applyFill="1" applyBorder="1" applyAlignment="1" applyProtection="1">
      <alignment horizontal="center" vertical="center" wrapText="1"/>
    </xf>
    <xf numFmtId="164" fontId="60" fillId="0" borderId="31" xfId="439" applyNumberFormat="1" applyFont="1" applyFill="1" applyBorder="1" applyAlignment="1" applyProtection="1">
      <alignment horizontal="center" vertical="center" wrapText="1"/>
    </xf>
    <xf numFmtId="0" fontId="52" fillId="25" borderId="0" xfId="0" applyFont="1" applyFill="1" applyAlignment="1" applyProtection="1">
      <alignment horizontal="center" vertical="center"/>
    </xf>
    <xf numFmtId="0" fontId="41" fillId="23" borderId="0" xfId="0" applyFont="1" applyFill="1" applyAlignment="1" applyProtection="1">
      <alignment vertical="center" wrapText="1"/>
    </xf>
    <xf numFmtId="0" fontId="41"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60" fillId="0" borderId="0" xfId="0" applyFont="1" applyProtection="1"/>
    <xf numFmtId="0" fontId="60" fillId="23" borderId="23" xfId="0" applyNumberFormat="1" applyFont="1" applyFill="1" applyBorder="1" applyAlignment="1" applyProtection="1">
      <alignment horizontal="left" vertical="center" wrapText="1"/>
    </xf>
    <xf numFmtId="0" fontId="60"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60"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46" fillId="0" borderId="0" xfId="439" applyNumberFormat="1" applyFont="1" applyFill="1" applyAlignment="1" applyProtection="1">
      <alignment horizontal="center" vertical="center" wrapText="1"/>
    </xf>
    <xf numFmtId="0" fontId="63" fillId="0" borderId="0" xfId="0" applyNumberFormat="1" applyFont="1" applyFill="1" applyAlignment="1" applyProtection="1">
      <alignment vertical="center" wrapText="1"/>
    </xf>
    <xf numFmtId="0" fontId="51" fillId="0" borderId="0" xfId="0" applyFont="1" applyAlignment="1" applyProtection="1">
      <alignment wrapText="1"/>
    </xf>
    <xf numFmtId="0" fontId="46" fillId="0" borderId="23" xfId="1243" applyFont="1" applyFill="1" applyBorder="1" applyAlignment="1" applyProtection="1">
      <alignment horizontal="left" vertical="center" wrapText="1"/>
    </xf>
    <xf numFmtId="164" fontId="52" fillId="25" borderId="0" xfId="439" applyNumberFormat="1" applyFont="1" applyFill="1" applyAlignment="1" applyProtection="1">
      <alignment horizontal="center"/>
    </xf>
    <xf numFmtId="0" fontId="64"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60" fillId="22" borderId="23" xfId="439" applyNumberFormat="1" applyFont="1" applyFill="1" applyBorder="1" applyAlignment="1" applyProtection="1">
      <alignment horizontal="center" vertical="center" wrapText="1"/>
    </xf>
    <xf numFmtId="0" fontId="51" fillId="30" borderId="25" xfId="0" applyNumberFormat="1" applyFont="1" applyFill="1" applyBorder="1" applyAlignment="1" applyProtection="1">
      <alignment horizontal="center" vertical="center" wrapText="1"/>
    </xf>
    <xf numFmtId="164" fontId="51" fillId="24" borderId="10" xfId="439" applyNumberFormat="1" applyFont="1" applyFill="1" applyBorder="1" applyAlignment="1" applyProtection="1">
      <alignment horizontal="center" wrapText="1"/>
    </xf>
    <xf numFmtId="0" fontId="65" fillId="0" borderId="0" xfId="720" applyNumberFormat="1" applyFont="1" applyFill="1" applyAlignment="1" applyProtection="1">
      <alignment horizontal="left" vertical="center" wrapText="1"/>
    </xf>
    <xf numFmtId="39" fontId="40" fillId="0" borderId="0" xfId="0" applyNumberFormat="1" applyFont="1" applyAlignment="1" applyProtection="1">
      <alignment horizontal="center"/>
    </xf>
    <xf numFmtId="39" fontId="41" fillId="21" borderId="0" xfId="0" applyNumberFormat="1" applyFont="1" applyFill="1" applyBorder="1" applyAlignment="1" applyProtection="1">
      <alignment horizontal="center" wrapText="1"/>
    </xf>
    <xf numFmtId="39" fontId="60" fillId="0" borderId="29" xfId="439" applyNumberFormat="1" applyFont="1" applyFill="1" applyBorder="1" applyAlignment="1" applyProtection="1">
      <alignment horizontal="center" vertical="center" wrapText="1"/>
    </xf>
    <xf numFmtId="39" fontId="60" fillId="23" borderId="28" xfId="439" applyNumberFormat="1" applyFont="1" applyFill="1" applyBorder="1" applyAlignment="1" applyProtection="1">
      <alignment horizontal="center" vertical="center" wrapText="1"/>
    </xf>
    <xf numFmtId="0" fontId="41" fillId="0" borderId="0" xfId="0" applyFont="1" applyFill="1" applyAlignment="1" applyProtection="1">
      <alignment vertical="center" wrapText="1"/>
    </xf>
    <xf numFmtId="39" fontId="53" fillId="31" borderId="0" xfId="0" applyNumberFormat="1" applyFont="1" applyFill="1" applyBorder="1" applyAlignment="1" applyProtection="1">
      <alignment horizontal="center" wrapText="1"/>
    </xf>
    <xf numFmtId="0" fontId="40"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4" fillId="32" borderId="0" xfId="0" applyFont="1" applyFill="1" applyAlignment="1" applyProtection="1">
      <alignment horizontal="center" vertical="center" wrapText="1"/>
    </xf>
    <xf numFmtId="0" fontId="0" fillId="0" borderId="0" xfId="0" applyFont="1" applyProtection="1">
      <protection locked="0"/>
    </xf>
    <xf numFmtId="0" fontId="54" fillId="0" borderId="25" xfId="0" applyNumberFormat="1" applyFont="1" applyFill="1" applyBorder="1" applyAlignment="1" applyProtection="1">
      <alignment horizontal="left" vertical="center" wrapText="1"/>
    </xf>
    <xf numFmtId="0" fontId="42" fillId="0" borderId="25" xfId="0" applyNumberFormat="1" applyFont="1" applyFill="1" applyBorder="1" applyAlignment="1" applyProtection="1">
      <alignment horizontal="left" vertical="center" wrapText="1"/>
    </xf>
    <xf numFmtId="41" fontId="60" fillId="0" borderId="23" xfId="439" applyNumberFormat="1" applyFont="1" applyFill="1" applyBorder="1" applyAlignment="1" applyProtection="1">
      <alignment horizontal="center" vertical="center" wrapText="1"/>
    </xf>
    <xf numFmtId="0" fontId="49" fillId="0" borderId="23" xfId="439" applyNumberFormat="1" applyFont="1" applyFill="1" applyBorder="1" applyAlignment="1" applyProtection="1">
      <alignment horizontal="center" vertical="center" wrapText="1"/>
    </xf>
    <xf numFmtId="41" fontId="67" fillId="0" borderId="0" xfId="0" applyNumberFormat="1" applyFont="1" applyFill="1" applyAlignment="1" applyProtection="1">
      <alignment wrapText="1"/>
    </xf>
    <xf numFmtId="0" fontId="66" fillId="0" borderId="0" xfId="0" applyFont="1" applyFill="1" applyAlignment="1" applyProtection="1">
      <alignment horizontal="center" vertical="center"/>
    </xf>
    <xf numFmtId="0" fontId="51" fillId="0" borderId="0" xfId="0" applyFont="1" applyFill="1" applyAlignment="1" applyProtection="1">
      <alignment horizontal="center" vertical="center" wrapText="1"/>
    </xf>
    <xf numFmtId="0" fontId="60"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60" fillId="29" borderId="23" xfId="439" applyNumberFormat="1" applyFont="1" applyFill="1" applyBorder="1" applyAlignment="1" applyProtection="1">
      <alignment horizontal="center" vertical="center" wrapText="1"/>
      <protection locked="0"/>
    </xf>
    <xf numFmtId="37" fontId="61" fillId="33" borderId="28" xfId="439" applyNumberFormat="1" applyFont="1" applyFill="1" applyBorder="1" applyAlignment="1" applyProtection="1">
      <alignment horizontal="center" vertical="center" wrapText="1"/>
    </xf>
    <xf numFmtId="37" fontId="40" fillId="0" borderId="28" xfId="439" applyNumberFormat="1" applyFont="1" applyFill="1" applyBorder="1" applyAlignment="1" applyProtection="1">
      <alignment horizontal="center" vertical="center" wrapText="1"/>
    </xf>
    <xf numFmtId="37" fontId="61"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60"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60"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0" fontId="0" fillId="0" borderId="0" xfId="0" applyFill="1"/>
    <xf numFmtId="169" fontId="40" fillId="0" borderId="0" xfId="439" applyNumberFormat="1" applyFont="1" applyFill="1" applyAlignment="1" applyProtection="1">
      <alignment horizontal="center" vertical="center"/>
      <protection locked="0"/>
    </xf>
    <xf numFmtId="38" fontId="46"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60" fillId="0" borderId="29" xfId="439" applyNumberFormat="1" applyFont="1" applyFill="1" applyBorder="1" applyAlignment="1" applyProtection="1">
      <alignment horizontal="center" vertical="center" wrapText="1"/>
    </xf>
    <xf numFmtId="172" fontId="60" fillId="0" borderId="23" xfId="439" applyNumberFormat="1" applyFont="1" applyFill="1" applyBorder="1" applyAlignment="1" applyProtection="1">
      <alignment horizontal="center" vertical="center" wrapText="1"/>
    </xf>
    <xf numFmtId="0" fontId="40" fillId="0" borderId="24" xfId="0" applyNumberFormat="1" applyFont="1" applyFill="1" applyBorder="1" applyAlignment="1" applyProtection="1">
      <alignment horizontal="center" vertical="center"/>
    </xf>
    <xf numFmtId="0" fontId="55" fillId="0" borderId="0" xfId="0" applyFont="1" applyFill="1" applyAlignment="1" applyProtection="1">
      <alignment vertical="center" wrapText="1"/>
    </xf>
    <xf numFmtId="0" fontId="55"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60" fillId="29" borderId="44" xfId="439" applyNumberFormat="1" applyFont="1" applyFill="1" applyBorder="1" applyAlignment="1" applyProtection="1">
      <alignment horizontal="center" vertical="center" wrapText="1"/>
      <protection locked="0"/>
    </xf>
    <xf numFmtId="164" fontId="60" fillId="0" borderId="30" xfId="439" applyNumberFormat="1" applyFont="1" applyFill="1" applyBorder="1" applyAlignment="1" applyProtection="1">
      <alignment horizontal="center" vertical="center" wrapText="1"/>
    </xf>
    <xf numFmtId="39" fontId="60" fillId="0" borderId="27" xfId="439" applyNumberFormat="1" applyFont="1" applyFill="1" applyBorder="1" applyAlignment="1" applyProtection="1">
      <alignment horizontal="center" vertical="center" wrapText="1"/>
    </xf>
    <xf numFmtId="164" fontId="60" fillId="0" borderId="46" xfId="439" applyNumberFormat="1" applyFont="1" applyFill="1" applyBorder="1" applyAlignment="1" applyProtection="1">
      <alignment horizontal="center" vertical="center" wrapText="1"/>
    </xf>
    <xf numFmtId="0" fontId="40"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60" fillId="29" borderId="45" xfId="439"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left" vertical="center" wrapText="1"/>
    </xf>
    <xf numFmtId="0" fontId="60" fillId="23" borderId="31" xfId="0" applyNumberFormat="1" applyFont="1" applyFill="1" applyBorder="1" applyAlignment="1" applyProtection="1">
      <alignment horizontal="left" vertical="center" wrapText="1"/>
    </xf>
    <xf numFmtId="0" fontId="60" fillId="23" borderId="31" xfId="439" applyNumberFormat="1" applyFont="1" applyFill="1" applyBorder="1" applyAlignment="1" applyProtection="1">
      <alignment horizontal="center" vertical="center" wrapText="1"/>
    </xf>
    <xf numFmtId="37" fontId="40" fillId="23" borderId="29" xfId="439" applyNumberFormat="1" applyFont="1" applyFill="1" applyBorder="1" applyAlignment="1" applyProtection="1">
      <alignment horizontal="center" vertical="center" wrapText="1"/>
    </xf>
    <xf numFmtId="0" fontId="40" fillId="23" borderId="26" xfId="0" applyNumberFormat="1" applyFont="1" applyFill="1" applyBorder="1" applyAlignment="1" applyProtection="1">
      <alignment horizontal="center" vertical="center"/>
    </xf>
    <xf numFmtId="37" fontId="40" fillId="0" borderId="27" xfId="439" applyNumberFormat="1" applyFont="1" applyFill="1" applyBorder="1" applyAlignment="1" applyProtection="1">
      <alignment horizontal="center" vertical="center" wrapText="1"/>
    </xf>
    <xf numFmtId="0" fontId="40"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40"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72" fillId="0" borderId="0" xfId="0" applyNumberFormat="1" applyFont="1" applyFill="1" applyAlignment="1" applyProtection="1">
      <alignment horizontal="left" vertical="center" wrapText="1" indent="6"/>
    </xf>
    <xf numFmtId="0" fontId="60"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0" fontId="41" fillId="24" borderId="0" xfId="439" applyNumberFormat="1" applyFont="1" applyFill="1" applyBorder="1" applyAlignment="1" applyProtection="1">
      <alignment horizontal="center" wrapText="1"/>
    </xf>
    <xf numFmtId="41" fontId="68" fillId="0" borderId="0" xfId="0" applyNumberFormat="1" applyFont="1" applyFill="1" applyAlignment="1" applyProtection="1">
      <alignment wrapText="1"/>
    </xf>
    <xf numFmtId="14" fontId="60" fillId="0" borderId="23" xfId="439" applyNumberFormat="1" applyFont="1" applyFill="1" applyBorder="1" applyAlignment="1" applyProtection="1">
      <alignment horizontal="center" vertical="center" wrapText="1"/>
    </xf>
    <xf numFmtId="37" fontId="0" fillId="0" borderId="0" xfId="0" applyNumberFormat="1" applyFont="1" applyFill="1" applyAlignment="1" applyProtection="1">
      <alignment horizontal="center" vertical="center"/>
    </xf>
    <xf numFmtId="164" fontId="51" fillId="0" borderId="0" xfId="0" applyNumberFormat="1" applyFont="1" applyAlignment="1" applyProtection="1">
      <alignment wrapText="1"/>
    </xf>
    <xf numFmtId="164" fontId="60" fillId="22" borderId="23" xfId="439" applyNumberFormat="1" applyFont="1" applyFill="1" applyBorder="1" applyAlignment="1" applyProtection="1">
      <alignment horizontal="center" vertical="center" wrapText="1"/>
      <protection locked="0"/>
    </xf>
    <xf numFmtId="172" fontId="60" fillId="22" borderId="23" xfId="439" applyNumberFormat="1" applyFont="1" applyFill="1" applyBorder="1" applyAlignment="1" applyProtection="1">
      <alignment horizontal="center" vertical="center" wrapText="1"/>
    </xf>
    <xf numFmtId="39" fontId="60" fillId="22" borderId="28" xfId="439" applyNumberFormat="1" applyFont="1" applyFill="1" applyBorder="1" applyAlignment="1" applyProtection="1">
      <alignment horizontal="center" vertical="center" wrapText="1"/>
    </xf>
    <xf numFmtId="164" fontId="60" fillId="22" borderId="29" xfId="439" applyNumberFormat="1" applyFont="1" applyFill="1" applyBorder="1" applyAlignment="1" applyProtection="1">
      <alignment horizontal="center" vertical="center" wrapText="1"/>
    </xf>
    <xf numFmtId="0" fontId="40" fillId="22" borderId="24" xfId="0" applyNumberFormat="1" applyFont="1" applyFill="1" applyBorder="1" applyAlignment="1" applyProtection="1">
      <alignment horizontal="center" vertical="center"/>
    </xf>
    <xf numFmtId="164" fontId="60" fillId="29" borderId="31" xfId="439" applyNumberFormat="1" applyFont="1" applyFill="1" applyBorder="1" applyAlignment="1" applyProtection="1">
      <alignment horizontal="center" vertical="center" wrapText="1"/>
      <protection locked="0"/>
    </xf>
    <xf numFmtId="0" fontId="50" fillId="0" borderId="0" xfId="0" applyFont="1" applyAlignment="1" applyProtection="1">
      <alignment horizontal="center"/>
    </xf>
    <xf numFmtId="0" fontId="42" fillId="22" borderId="0" xfId="0" applyFont="1" applyFill="1" applyAlignment="1" applyProtection="1">
      <alignment horizontal="left" wrapText="1"/>
    </xf>
    <xf numFmtId="172" fontId="60" fillId="22" borderId="30" xfId="439" applyNumberFormat="1" applyFont="1" applyFill="1" applyBorder="1" applyAlignment="1" applyProtection="1">
      <alignment horizontal="center" vertical="center" wrapText="1"/>
    </xf>
    <xf numFmtId="175" fontId="60" fillId="75" borderId="23" xfId="439" applyNumberFormat="1" applyFont="1" applyFill="1" applyBorder="1" applyAlignment="1" applyProtection="1">
      <alignment horizontal="center" vertical="center" wrapText="1"/>
    </xf>
    <xf numFmtId="3" fontId="60" fillId="0" borderId="23" xfId="439" applyNumberFormat="1" applyFont="1" applyFill="1" applyBorder="1" applyAlignment="1" applyProtection="1">
      <alignment horizontal="center" vertical="center" wrapText="1"/>
      <protection locked="0"/>
    </xf>
    <xf numFmtId="180" fontId="60" fillId="75" borderId="23" xfId="439" applyNumberFormat="1" applyFont="1" applyFill="1" applyBorder="1" applyAlignment="1" applyProtection="1">
      <alignment horizontal="center" vertical="center" wrapText="1"/>
    </xf>
    <xf numFmtId="39" fontId="60" fillId="0" borderId="23" xfId="439" applyNumberFormat="1" applyFont="1" applyFill="1" applyBorder="1" applyAlignment="1" applyProtection="1">
      <alignment horizontal="center" vertical="center" wrapText="1"/>
    </xf>
    <xf numFmtId="3" fontId="60" fillId="0" borderId="31" xfId="439" applyNumberFormat="1" applyFont="1" applyFill="1" applyBorder="1" applyAlignment="1" applyProtection="1">
      <alignment horizontal="center" vertical="center" wrapText="1"/>
    </xf>
    <xf numFmtId="3" fontId="60" fillId="23" borderId="31" xfId="439" applyNumberFormat="1" applyFont="1" applyFill="1" applyBorder="1" applyAlignment="1" applyProtection="1">
      <alignment horizontal="center" vertical="center" wrapText="1"/>
    </xf>
    <xf numFmtId="3" fontId="60" fillId="23" borderId="23" xfId="439" applyNumberFormat="1" applyFont="1" applyFill="1" applyBorder="1" applyAlignment="1" applyProtection="1">
      <alignment horizontal="center" vertical="center" wrapText="1"/>
    </xf>
    <xf numFmtId="3" fontId="60" fillId="0" borderId="30" xfId="439" applyNumberFormat="1" applyFont="1" applyFill="1" applyBorder="1" applyAlignment="1" applyProtection="1">
      <alignment horizontal="center" vertical="center" wrapText="1"/>
    </xf>
    <xf numFmtId="37" fontId="60" fillId="0" borderId="23" xfId="439" applyNumberFormat="1" applyFont="1" applyFill="1" applyBorder="1" applyAlignment="1" applyProtection="1">
      <alignment horizontal="center" vertical="center" wrapText="1"/>
    </xf>
    <xf numFmtId="0" fontId="40" fillId="0" borderId="0" xfId="0" applyFont="1" applyAlignment="1" applyProtection="1">
      <alignment horizontal="left" vertical="center" wrapText="1"/>
    </xf>
    <xf numFmtId="0" fontId="66" fillId="0" borderId="0" xfId="0" applyFont="1" applyProtection="1"/>
    <xf numFmtId="0" fontId="40" fillId="0" borderId="57" xfId="0" applyFont="1" applyBorder="1"/>
    <xf numFmtId="0" fontId="40" fillId="26" borderId="16" xfId="0" applyFont="1" applyFill="1" applyBorder="1" applyAlignment="1" applyProtection="1">
      <alignment horizontal="left"/>
    </xf>
    <xf numFmtId="0" fontId="40" fillId="0" borderId="17" xfId="0" applyFont="1" applyBorder="1" applyAlignment="1">
      <alignment vertical="center"/>
    </xf>
    <xf numFmtId="0" fontId="40" fillId="0" borderId="0" xfId="0" applyFont="1" applyBorder="1" applyAlignment="1">
      <alignment vertical="center"/>
    </xf>
    <xf numFmtId="0" fontId="40" fillId="0" borderId="15" xfId="0" applyFont="1" applyBorder="1" applyAlignment="1">
      <alignment vertical="center"/>
    </xf>
    <xf numFmtId="3" fontId="40" fillId="0" borderId="0" xfId="439" applyNumberFormat="1" applyFont="1" applyFill="1" applyAlignment="1" applyProtection="1">
      <alignment horizontal="center" vertical="center" wrapText="1"/>
      <protection locked="0"/>
    </xf>
    <xf numFmtId="0" fontId="74" fillId="22" borderId="0" xfId="0" applyFont="1" applyFill="1" applyProtection="1"/>
    <xf numFmtId="0" fontId="121" fillId="22" borderId="0" xfId="0" applyFont="1" applyFill="1" applyProtection="1"/>
    <xf numFmtId="0" fontId="85" fillId="22" borderId="0" xfId="0" applyFont="1" applyFill="1" applyAlignment="1" applyProtection="1">
      <alignment vertical="center" wrapText="1"/>
    </xf>
    <xf numFmtId="0" fontId="85" fillId="22" borderId="0" xfId="0" applyFont="1" applyFill="1" applyAlignment="1" applyProtection="1">
      <alignment vertical="center"/>
      <protection locked="0"/>
    </xf>
    <xf numFmtId="0" fontId="85" fillId="22" borderId="0" xfId="0" applyFont="1" applyFill="1" applyAlignment="1" applyProtection="1">
      <alignment vertical="center"/>
    </xf>
    <xf numFmtId="0" fontId="0" fillId="0" borderId="0" xfId="0" applyAlignment="1">
      <alignment horizontal="center"/>
    </xf>
    <xf numFmtId="0" fontId="0" fillId="0" borderId="61" xfId="0" applyNumberFormat="1" applyFont="1" applyFill="1" applyBorder="1" applyAlignment="1">
      <alignment horizontal="center"/>
    </xf>
    <xf numFmtId="0" fontId="85" fillId="0" borderId="0" xfId="0" applyFont="1" applyAlignment="1">
      <alignment horizontal="center"/>
    </xf>
    <xf numFmtId="0" fontId="40" fillId="0" borderId="24" xfId="0" applyFont="1" applyBorder="1" applyAlignment="1">
      <alignment horizontal="center" vertical="center"/>
    </xf>
    <xf numFmtId="0" fontId="40" fillId="0" borderId="0" xfId="0" applyFont="1" applyAlignment="1">
      <alignment vertical="center"/>
    </xf>
    <xf numFmtId="0" fontId="0" fillId="34" borderId="45" xfId="0" applyFont="1" applyFill="1" applyBorder="1" applyAlignment="1">
      <alignment vertical="center" wrapText="1"/>
    </xf>
    <xf numFmtId="171" fontId="60" fillId="75" borderId="29" xfId="439" applyNumberFormat="1" applyFont="1" applyFill="1" applyBorder="1" applyAlignment="1" applyProtection="1">
      <alignment horizontal="center" vertical="center" wrapText="1"/>
    </xf>
    <xf numFmtId="0" fontId="40" fillId="74" borderId="64" xfId="0" applyNumberFormat="1" applyFont="1" applyFill="1" applyBorder="1" applyAlignment="1" applyProtection="1">
      <alignment horizontal="center" vertical="center"/>
    </xf>
    <xf numFmtId="0" fontId="0" fillId="73" borderId="0" xfId="0" applyFill="1"/>
    <xf numFmtId="0" fontId="122" fillId="73" borderId="0" xfId="0" applyFont="1" applyFill="1" applyAlignment="1">
      <alignment vertical="center" wrapText="1"/>
    </xf>
    <xf numFmtId="0" fontId="48" fillId="73" borderId="0" xfId="0" applyFont="1" applyFill="1" applyAlignment="1">
      <alignment horizontal="justify" vertical="center"/>
    </xf>
    <xf numFmtId="0" fontId="127" fillId="77" borderId="0" xfId="0" applyFont="1" applyFill="1" applyAlignment="1">
      <alignment vertical="center"/>
    </xf>
    <xf numFmtId="0" fontId="64" fillId="0" borderId="45" xfId="0" applyFont="1" applyFill="1" applyBorder="1" applyAlignment="1" applyProtection="1">
      <alignment horizontal="center" vertical="center" wrapText="1"/>
    </xf>
    <xf numFmtId="0" fontId="64" fillId="32" borderId="45" xfId="0" applyFont="1" applyFill="1" applyBorder="1" applyAlignment="1" applyProtection="1">
      <alignment horizontal="center" vertical="center" wrapText="1"/>
    </xf>
    <xf numFmtId="0" fontId="60" fillId="31" borderId="25" xfId="0" applyNumberFormat="1" applyFont="1" applyFill="1" applyBorder="1" applyAlignment="1" applyProtection="1">
      <alignment horizontal="left" vertical="center" wrapText="1"/>
    </xf>
    <xf numFmtId="0" fontId="42" fillId="31" borderId="66" xfId="0" applyFont="1" applyFill="1" applyBorder="1" applyAlignment="1">
      <alignment wrapText="1"/>
    </xf>
    <xf numFmtId="14" fontId="42" fillId="31" borderId="66" xfId="0" applyNumberFormat="1" applyFont="1" applyFill="1" applyBorder="1" applyAlignment="1">
      <alignment wrapText="1"/>
    </xf>
    <xf numFmtId="0" fontId="40" fillId="31" borderId="64" xfId="0" applyNumberFormat="1" applyFont="1" applyFill="1" applyBorder="1" applyAlignment="1" applyProtection="1">
      <alignment horizontal="center" vertical="center"/>
    </xf>
    <xf numFmtId="49" fontId="60" fillId="0" borderId="23" xfId="439" applyNumberFormat="1" applyFont="1" applyFill="1" applyBorder="1" applyAlignment="1" applyProtection="1">
      <alignment horizontal="center" vertical="center" wrapText="1"/>
    </xf>
    <xf numFmtId="0" fontId="123" fillId="73" borderId="0" xfId="0" applyFont="1" applyFill="1" applyAlignment="1">
      <alignment horizontal="left" vertical="center" wrapText="1"/>
    </xf>
    <xf numFmtId="0" fontId="34" fillId="73" borderId="0" xfId="30098" applyFill="1"/>
    <xf numFmtId="0" fontId="126" fillId="77" borderId="0" xfId="30098" applyFont="1" applyFill="1" applyAlignment="1">
      <alignment horizontal="center" vertical="center" wrapText="1"/>
    </xf>
    <xf numFmtId="0" fontId="122" fillId="73" borderId="0" xfId="30098" applyFont="1" applyFill="1" applyAlignment="1">
      <alignment vertical="center" wrapText="1"/>
    </xf>
    <xf numFmtId="0" fontId="48" fillId="73" borderId="0" xfId="30098" applyFont="1" applyFill="1" applyAlignment="1">
      <alignment vertical="center" wrapText="1"/>
    </xf>
    <xf numFmtId="0" fontId="127" fillId="77" borderId="0" xfId="30098" applyFont="1" applyFill="1" applyAlignment="1">
      <alignment vertical="center"/>
    </xf>
    <xf numFmtId="0" fontId="130" fillId="0" borderId="0" xfId="30099" applyFont="1" applyAlignment="1">
      <alignment horizontal="left" vertical="top"/>
    </xf>
    <xf numFmtId="0" fontId="132" fillId="0" borderId="0" xfId="30099" applyFont="1" applyAlignment="1">
      <alignment horizontal="left" vertical="top"/>
    </xf>
    <xf numFmtId="0" fontId="130" fillId="36" borderId="0" xfId="30099" applyFont="1" applyFill="1" applyAlignment="1">
      <alignment horizontal="left" vertical="top"/>
    </xf>
    <xf numFmtId="0" fontId="132" fillId="0" borderId="0" xfId="30099" applyFont="1" applyAlignment="1">
      <alignment vertical="top"/>
    </xf>
    <xf numFmtId="0" fontId="130" fillId="0" borderId="0" xfId="30099" applyFont="1" applyAlignment="1">
      <alignment vertical="top"/>
    </xf>
    <xf numFmtId="0" fontId="132" fillId="79" borderId="13" xfId="30099" applyFont="1" applyFill="1" applyBorder="1" applyAlignment="1">
      <alignment horizontal="left" vertical="top"/>
    </xf>
    <xf numFmtId="0" fontId="132" fillId="79" borderId="16" xfId="30099" applyFont="1" applyFill="1" applyBorder="1" applyAlignment="1">
      <alignment horizontal="left" vertical="top"/>
    </xf>
    <xf numFmtId="164" fontId="137" fillId="79" borderId="16" xfId="30100" applyNumberFormat="1" applyFont="1" applyFill="1" applyBorder="1" applyAlignment="1">
      <alignment vertical="center"/>
    </xf>
    <xf numFmtId="0" fontId="138" fillId="79" borderId="16" xfId="30099" applyFont="1" applyFill="1" applyBorder="1" applyAlignment="1">
      <alignment vertical="center" wrapText="1"/>
    </xf>
    <xf numFmtId="0" fontId="138" fillId="79" borderId="16" xfId="30099" applyFont="1" applyFill="1" applyBorder="1" applyAlignment="1">
      <alignment vertical="center"/>
    </xf>
    <xf numFmtId="0" fontId="130" fillId="79" borderId="11" xfId="30099" applyFont="1" applyFill="1" applyBorder="1" applyAlignment="1">
      <alignment horizontal="left" vertical="top" wrapText="1"/>
    </xf>
    <xf numFmtId="0" fontId="139" fillId="0" borderId="0" xfId="30099" applyFont="1" applyAlignment="1">
      <alignment horizontal="left" vertical="top"/>
    </xf>
    <xf numFmtId="0" fontId="139" fillId="26" borderId="15" xfId="30099" applyFont="1" applyFill="1" applyBorder="1" applyAlignment="1">
      <alignment horizontal="left" vertical="top"/>
    </xf>
    <xf numFmtId="0" fontId="139" fillId="26" borderId="0" xfId="30099" applyFont="1" applyFill="1" applyAlignment="1">
      <alignment horizontal="left" vertical="top"/>
    </xf>
    <xf numFmtId="0" fontId="130" fillId="26" borderId="0" xfId="30099" applyFont="1" applyFill="1" applyAlignment="1">
      <alignment horizontal="left" vertical="top" wrapText="1"/>
    </xf>
    <xf numFmtId="0" fontId="139" fillId="26" borderId="0" xfId="30099" applyFont="1" applyFill="1" applyAlignment="1">
      <alignment horizontal="left" vertical="center"/>
    </xf>
    <xf numFmtId="0" fontId="139" fillId="26" borderId="60" xfId="30099" applyFont="1" applyFill="1" applyBorder="1" applyAlignment="1">
      <alignment horizontal="left" vertical="top" wrapText="1"/>
    </xf>
    <xf numFmtId="0" fontId="130" fillId="26" borderId="15" xfId="30099" applyFont="1" applyFill="1" applyBorder="1" applyAlignment="1">
      <alignment horizontal="left" vertical="top"/>
    </xf>
    <xf numFmtId="0" fontId="130" fillId="26" borderId="0" xfId="30099" applyFont="1" applyFill="1" applyAlignment="1">
      <alignment horizontal="left" vertical="top"/>
    </xf>
    <xf numFmtId="0" fontId="130" fillId="26" borderId="60" xfId="30099" applyFont="1" applyFill="1" applyBorder="1" applyAlignment="1">
      <alignment horizontal="left" vertical="top" wrapText="1"/>
    </xf>
    <xf numFmtId="0" fontId="142" fillId="26" borderId="0" xfId="30099" applyFont="1" applyFill="1" applyAlignment="1">
      <alignment horizontal="left" vertical="top"/>
    </xf>
    <xf numFmtId="0" fontId="130" fillId="26" borderId="0" xfId="30099" applyFont="1" applyFill="1" applyAlignment="1">
      <alignment horizontal="left" vertical="center"/>
    </xf>
    <xf numFmtId="14" fontId="130" fillId="0" borderId="70" xfId="30099" applyNumberFormat="1" applyFont="1" applyBorder="1" applyAlignment="1" applyProtection="1">
      <alignment horizontal="center" vertical="center"/>
      <protection locked="0"/>
    </xf>
    <xf numFmtId="0" fontId="130" fillId="26" borderId="0" xfId="30099" applyFont="1" applyFill="1" applyAlignment="1">
      <alignment horizontal="left" vertical="center" wrapText="1"/>
    </xf>
    <xf numFmtId="0" fontId="130" fillId="0" borderId="70" xfId="30099" applyFont="1" applyBorder="1" applyAlignment="1" applyProtection="1">
      <alignment horizontal="center" vertical="center"/>
      <protection locked="0"/>
    </xf>
    <xf numFmtId="0" fontId="146" fillId="26" borderId="0" xfId="30099" applyFont="1" applyFill="1" applyAlignment="1">
      <alignment horizontal="center" vertical="center" wrapText="1"/>
    </xf>
    <xf numFmtId="0" fontId="130" fillId="0" borderId="57" xfId="30099" applyFont="1" applyBorder="1" applyAlignment="1" applyProtection="1">
      <alignment horizontal="center" vertical="center"/>
      <protection locked="0"/>
    </xf>
    <xf numFmtId="0" fontId="130" fillId="26" borderId="0" xfId="30099" applyFont="1" applyFill="1" applyAlignment="1">
      <alignment horizontal="center" vertical="center"/>
    </xf>
    <xf numFmtId="0" fontId="147" fillId="26" borderId="0" xfId="30099" applyFont="1" applyFill="1" applyAlignment="1">
      <alignment horizontal="left" vertical="top" wrapText="1"/>
    </xf>
    <xf numFmtId="0" fontId="147" fillId="0" borderId="57" xfId="30099" applyFont="1" applyBorder="1" applyAlignment="1" applyProtection="1">
      <alignment horizontal="center" vertical="center" wrapText="1"/>
      <protection locked="0"/>
    </xf>
    <xf numFmtId="0" fontId="132" fillId="0" borderId="0" xfId="30099" applyFont="1" applyAlignment="1">
      <alignment horizontal="left"/>
    </xf>
    <xf numFmtId="0" fontId="131" fillId="0" borderId="70" xfId="30099" applyFont="1" applyBorder="1" applyAlignment="1" applyProtection="1">
      <alignment horizontal="center" vertical="center"/>
      <protection locked="0"/>
    </xf>
    <xf numFmtId="0" fontId="130" fillId="26" borderId="0" xfId="30099" applyFont="1" applyFill="1" applyAlignment="1">
      <alignment vertical="top" wrapText="1"/>
    </xf>
    <xf numFmtId="0" fontId="130" fillId="26" borderId="60" xfId="30099" applyFont="1" applyFill="1" applyBorder="1" applyAlignment="1">
      <alignment vertical="top" wrapText="1"/>
    </xf>
    <xf numFmtId="0" fontId="134" fillId="26" borderId="0" xfId="30099" applyFont="1" applyFill="1" applyAlignment="1">
      <alignment horizontal="left" vertical="top"/>
    </xf>
    <xf numFmtId="0" fontId="142" fillId="26" borderId="0" xfId="30099" applyFont="1" applyFill="1" applyAlignment="1">
      <alignment horizontal="left" vertical="top" wrapText="1"/>
    </xf>
    <xf numFmtId="0" fontId="130" fillId="26" borderId="15" xfId="30099" applyFont="1" applyFill="1" applyBorder="1" applyAlignment="1">
      <alignment horizontal="left"/>
    </xf>
    <xf numFmtId="0" fontId="130" fillId="26" borderId="0" xfId="30099" applyFont="1" applyFill="1" applyAlignment="1">
      <alignment horizontal="left"/>
    </xf>
    <xf numFmtId="0" fontId="130" fillId="26" borderId="0" xfId="30099" applyFont="1" applyFill="1" applyAlignment="1">
      <alignment vertical="center" wrapText="1"/>
    </xf>
    <xf numFmtId="0" fontId="142" fillId="26" borderId="0" xfId="30099" applyFont="1" applyFill="1" applyAlignment="1">
      <alignment vertical="center" wrapText="1"/>
    </xf>
    <xf numFmtId="0" fontId="130" fillId="0" borderId="0" xfId="30099" applyFont="1" applyAlignment="1">
      <alignment horizontal="left"/>
    </xf>
    <xf numFmtId="0" fontId="136" fillId="26" borderId="0" xfId="30099" applyFont="1" applyFill="1" applyAlignment="1">
      <alignment horizontal="left"/>
    </xf>
    <xf numFmtId="0" fontId="136" fillId="26" borderId="0" xfId="30099" applyFont="1" applyFill="1" applyAlignment="1">
      <alignment horizontal="right" vertical="center"/>
    </xf>
    <xf numFmtId="0" fontId="136" fillId="26" borderId="0" xfId="30099" applyFont="1" applyFill="1" applyAlignment="1">
      <alignment horizontal="right"/>
    </xf>
    <xf numFmtId="0" fontId="130" fillId="26" borderId="0" xfId="30099" applyFont="1" applyFill="1" applyAlignment="1">
      <alignment horizontal="right" vertical="center" wrapText="1"/>
    </xf>
    <xf numFmtId="14" fontId="130" fillId="26" borderId="0" xfId="30099" applyNumberFormat="1" applyFont="1" applyFill="1" applyAlignment="1">
      <alignment horizontal="left" vertical="center"/>
    </xf>
    <xf numFmtId="0" fontId="151" fillId="79" borderId="0" xfId="30099" applyFont="1" applyFill="1" applyAlignment="1">
      <alignment vertical="center"/>
    </xf>
    <xf numFmtId="0" fontId="151" fillId="79" borderId="0" xfId="30099" applyFont="1" applyFill="1" applyAlignment="1">
      <alignment horizontal="left" vertical="center"/>
    </xf>
    <xf numFmtId="0" fontId="142" fillId="26" borderId="0" xfId="30099" applyFont="1" applyFill="1" applyAlignment="1">
      <alignment horizontal="left" vertical="center" wrapText="1"/>
    </xf>
    <xf numFmtId="0" fontId="142" fillId="26" borderId="60" xfId="30099" applyFont="1" applyFill="1" applyBorder="1" applyAlignment="1">
      <alignment vertical="top" wrapText="1"/>
    </xf>
    <xf numFmtId="0" fontId="130" fillId="26" borderId="40" xfId="30099" applyFont="1" applyFill="1" applyBorder="1" applyAlignment="1">
      <alignment horizontal="left" vertical="top"/>
    </xf>
    <xf numFmtId="0" fontId="130" fillId="26" borderId="41" xfId="30099" applyFont="1" applyFill="1" applyBorder="1" applyAlignment="1">
      <alignment horizontal="left" vertical="top"/>
    </xf>
    <xf numFmtId="0" fontId="130" fillId="26" borderId="41" xfId="30099" applyFont="1" applyFill="1" applyBorder="1" applyAlignment="1">
      <alignment horizontal="right" vertical="center" wrapText="1"/>
    </xf>
    <xf numFmtId="0" fontId="130" fillId="26" borderId="41" xfId="30099" applyFont="1" applyFill="1" applyBorder="1" applyAlignment="1">
      <alignment horizontal="left" vertical="center"/>
    </xf>
    <xf numFmtId="0" fontId="130" fillId="26" borderId="42" xfId="30099" applyFont="1" applyFill="1" applyBorder="1" applyAlignment="1">
      <alignment horizontal="left" vertical="top" wrapText="1"/>
    </xf>
    <xf numFmtId="0" fontId="130" fillId="0" borderId="0" xfId="30099" applyFont="1" applyAlignment="1">
      <alignment horizontal="left" vertical="top" wrapText="1"/>
    </xf>
    <xf numFmtId="2" fontId="130" fillId="0" borderId="0" xfId="30099" applyNumberFormat="1" applyFont="1" applyAlignment="1">
      <alignment horizontal="left" vertical="top"/>
    </xf>
    <xf numFmtId="0" fontId="130" fillId="0" borderId="0" xfId="30099" applyFont="1" applyAlignment="1">
      <alignment horizontal="left" vertical="center" wrapText="1"/>
    </xf>
    <xf numFmtId="14" fontId="130" fillId="0" borderId="0" xfId="30099" applyNumberFormat="1" applyFont="1" applyAlignment="1">
      <alignment horizontal="left" vertical="top"/>
    </xf>
    <xf numFmtId="0" fontId="130" fillId="0" borderId="0" xfId="30099" applyFont="1" applyAlignment="1">
      <alignment horizontal="left" wrapText="1"/>
    </xf>
    <xf numFmtId="0" fontId="0" fillId="0" borderId="0" xfId="0" applyNumberFormat="1" applyFont="1" applyFill="1" applyBorder="1" applyAlignment="1" applyProtection="1">
      <alignment horizontal="left" vertical="center" wrapText="1"/>
    </xf>
    <xf numFmtId="0" fontId="153" fillId="26" borderId="0" xfId="30099" applyFont="1" applyFill="1" applyAlignment="1">
      <alignment horizontal="center" vertical="center"/>
    </xf>
    <xf numFmtId="164" fontId="136" fillId="26" borderId="0" xfId="30100" applyNumberFormat="1" applyFont="1" applyFill="1" applyBorder="1" applyAlignment="1">
      <alignment vertical="center"/>
    </xf>
    <xf numFmtId="164" fontId="136" fillId="26" borderId="0" xfId="30100" applyNumberFormat="1" applyFont="1" applyFill="1" applyBorder="1" applyAlignment="1">
      <alignment vertical="top"/>
    </xf>
    <xf numFmtId="164" fontId="135" fillId="26" borderId="0" xfId="30100" applyNumberFormat="1" applyFont="1" applyFill="1" applyBorder="1" applyAlignment="1">
      <alignment vertical="center"/>
    </xf>
    <xf numFmtId="164" fontId="134" fillId="26" borderId="0" xfId="30100" applyNumberFormat="1" applyFont="1" applyFill="1" applyBorder="1" applyAlignment="1">
      <alignment vertical="center"/>
    </xf>
    <xf numFmtId="164" fontId="136" fillId="26" borderId="41" xfId="30100" applyNumberFormat="1" applyFont="1" applyFill="1" applyBorder="1" applyAlignment="1">
      <alignment vertical="top"/>
    </xf>
    <xf numFmtId="164" fontId="130" fillId="0" borderId="0" xfId="30100" applyNumberFormat="1" applyFont="1" applyFill="1" applyBorder="1" applyAlignment="1">
      <alignment vertical="top"/>
    </xf>
    <xf numFmtId="49" fontId="136" fillId="26" borderId="0" xfId="30100" applyNumberFormat="1" applyFont="1" applyFill="1" applyBorder="1" applyAlignment="1">
      <alignment horizontal="center" vertical="center"/>
    </xf>
    <xf numFmtId="49" fontId="136" fillId="26" borderId="0" xfId="30100" applyNumberFormat="1" applyFont="1" applyFill="1" applyBorder="1" applyAlignment="1">
      <alignment horizontal="center" vertical="top"/>
    </xf>
    <xf numFmtId="0" fontId="136" fillId="26" borderId="0" xfId="30099" applyFont="1" applyFill="1" applyAlignment="1">
      <alignment horizontal="left" wrapText="1"/>
    </xf>
    <xf numFmtId="0" fontId="136" fillId="26" borderId="0" xfId="30099" applyFont="1" applyFill="1" applyAlignment="1">
      <alignment horizontal="left" vertical="center" wrapText="1"/>
    </xf>
    <xf numFmtId="0" fontId="130" fillId="0" borderId="0" xfId="30099" applyFont="1" applyFill="1" applyAlignment="1">
      <alignment horizontal="left"/>
    </xf>
    <xf numFmtId="0" fontId="132" fillId="0" borderId="0" xfId="30099" applyFont="1" applyFill="1" applyAlignment="1">
      <alignment horizontal="left"/>
    </xf>
    <xf numFmtId="167" fontId="0" fillId="0" borderId="83" xfId="545" applyNumberFormat="1" applyFont="1" applyBorder="1"/>
    <xf numFmtId="10" fontId="0" fillId="0" borderId="83" xfId="4688" applyNumberFormat="1" applyFont="1" applyBorder="1"/>
    <xf numFmtId="0" fontId="0" fillId="0" borderId="0" xfId="0"/>
    <xf numFmtId="2" fontId="0" fillId="0" borderId="83" xfId="439" applyNumberFormat="1" applyFont="1" applyBorder="1"/>
    <xf numFmtId="169" fontId="40" fillId="29" borderId="0" xfId="439" applyNumberFormat="1" applyFont="1" applyFill="1" applyAlignment="1" applyProtection="1">
      <alignment horizontal="center" vertical="center"/>
      <protection locked="0"/>
    </xf>
    <xf numFmtId="174" fontId="40" fillId="29" borderId="0" xfId="439" applyNumberFormat="1" applyFont="1" applyFill="1" applyAlignment="1" applyProtection="1">
      <alignment horizontal="center" vertical="center"/>
      <protection locked="0"/>
    </xf>
    <xf numFmtId="38" fontId="46" fillId="29" borderId="0" xfId="439" applyNumberFormat="1" applyFont="1" applyFill="1" applyAlignment="1" applyProtection="1">
      <alignment horizontal="center" vertical="center" wrapText="1"/>
      <protection locked="0"/>
    </xf>
    <xf numFmtId="9" fontId="0" fillId="0" borderId="83" xfId="4688" applyFont="1" applyBorder="1"/>
    <xf numFmtId="0" fontId="138" fillId="79" borderId="41" xfId="30099" applyFont="1" applyFill="1" applyBorder="1" applyAlignment="1">
      <alignment vertical="center"/>
    </xf>
    <xf numFmtId="0" fontId="131" fillId="26" borderId="0" xfId="30099" applyFont="1" applyFill="1" applyAlignment="1" applyProtection="1">
      <alignment horizontal="center" vertical="center"/>
      <protection locked="0"/>
    </xf>
    <xf numFmtId="0" fontId="40" fillId="0" borderId="43" xfId="0" applyNumberFormat="1" applyFont="1" applyFill="1" applyBorder="1" applyAlignment="1" applyProtection="1">
      <alignment horizontal="center" vertical="center"/>
    </xf>
    <xf numFmtId="0" fontId="40" fillId="0" borderId="0" xfId="0" applyFont="1" applyAlignment="1">
      <alignment horizontal="center"/>
    </xf>
    <xf numFmtId="0" fontId="40" fillId="0" borderId="0" xfId="0" applyFont="1" applyAlignment="1">
      <alignment horizontal="center" wrapText="1"/>
    </xf>
    <xf numFmtId="0" fontId="134" fillId="26" borderId="0" xfId="30099" applyFont="1" applyFill="1" applyAlignment="1">
      <alignment vertical="top" wrapText="1"/>
    </xf>
    <xf numFmtId="0" fontId="155" fillId="26" borderId="0" xfId="30099" applyFont="1" applyFill="1" applyAlignment="1">
      <alignment horizontal="left" vertical="top" wrapText="1"/>
    </xf>
    <xf numFmtId="170" fontId="40" fillId="29" borderId="0" xfId="439" applyNumberFormat="1" applyFont="1" applyFill="1" applyAlignment="1" applyProtection="1">
      <alignment horizontal="center" vertical="center"/>
      <protection locked="0"/>
    </xf>
    <xf numFmtId="0" fontId="40" fillId="78" borderId="86" xfId="0" applyFont="1" applyFill="1" applyBorder="1" applyAlignment="1">
      <alignment horizontal="center"/>
    </xf>
    <xf numFmtId="0" fontId="40" fillId="78" borderId="86" xfId="0" applyFont="1" applyFill="1" applyBorder="1" applyAlignment="1">
      <alignment horizontal="center" wrapText="1"/>
    </xf>
    <xf numFmtId="0" fontId="40" fillId="78" borderId="95" xfId="0" applyFont="1" applyFill="1" applyBorder="1" applyAlignment="1">
      <alignment vertical="center" wrapText="1"/>
    </xf>
    <xf numFmtId="0" fontId="40" fillId="78" borderId="89" xfId="0" applyFont="1" applyFill="1" applyBorder="1" applyAlignment="1">
      <alignment wrapText="1"/>
    </xf>
    <xf numFmtId="0" fontId="40" fillId="78" borderId="86" xfId="0" applyFont="1" applyFill="1" applyBorder="1" applyAlignment="1">
      <alignment wrapText="1"/>
    </xf>
    <xf numFmtId="43" fontId="0" fillId="0" borderId="83" xfId="439" applyNumberFormat="1" applyFont="1" applyBorder="1"/>
    <xf numFmtId="0" fontId="40" fillId="78" borderId="98" xfId="0" applyFont="1" applyFill="1" applyBorder="1" applyAlignment="1">
      <alignment horizontal="center"/>
    </xf>
    <xf numFmtId="0" fontId="40" fillId="78" borderId="93" xfId="0" applyFont="1" applyFill="1" applyBorder="1" applyAlignment="1">
      <alignment horizontal="center"/>
    </xf>
    <xf numFmtId="0" fontId="40" fillId="78" borderId="95" xfId="0" applyFont="1" applyFill="1" applyBorder="1" applyAlignment="1">
      <alignment wrapText="1"/>
    </xf>
    <xf numFmtId="0" fontId="40" fillId="78" borderId="102" xfId="0" applyFont="1" applyFill="1" applyBorder="1" applyAlignment="1">
      <alignment vertical="center" wrapText="1"/>
    </xf>
    <xf numFmtId="38" fontId="40" fillId="29" borderId="0" xfId="439" applyNumberFormat="1" applyFont="1" applyFill="1" applyAlignment="1" applyProtection="1">
      <alignment horizontal="center" vertical="center"/>
      <protection locked="0"/>
    </xf>
    <xf numFmtId="3" fontId="40" fillId="29" borderId="0" xfId="439" applyNumberFormat="1" applyFont="1" applyFill="1" applyAlignment="1" applyProtection="1">
      <alignment horizontal="center" vertical="center"/>
      <protection locked="0"/>
    </xf>
    <xf numFmtId="37" fontId="40" fillId="29" borderId="0" xfId="439" applyNumberFormat="1" applyFont="1" applyFill="1" applyAlignment="1" applyProtection="1">
      <alignment horizontal="center" vertical="center"/>
      <protection locked="0"/>
    </xf>
    <xf numFmtId="0" fontId="0" fillId="0" borderId="0" xfId="0" applyFont="1"/>
    <xf numFmtId="2" fontId="0" fillId="0" borderId="0" xfId="0" applyNumberFormat="1" applyFont="1"/>
    <xf numFmtId="0" fontId="0" fillId="0" borderId="0" xfId="0" applyFont="1" applyFill="1"/>
    <xf numFmtId="0" fontId="0" fillId="0" borderId="0" xfId="659" applyFont="1" applyFill="1"/>
    <xf numFmtId="0" fontId="160" fillId="0" borderId="0" xfId="0" applyFont="1" applyAlignment="1">
      <alignment vertical="center"/>
    </xf>
    <xf numFmtId="0" fontId="160" fillId="0" borderId="0" xfId="30099" applyFont="1" applyAlignment="1">
      <alignment horizontal="left" vertical="top"/>
    </xf>
    <xf numFmtId="0" fontId="156" fillId="26" borderId="0" xfId="30099" applyFont="1" applyFill="1" applyAlignment="1">
      <alignment vertical="center" wrapText="1"/>
    </xf>
    <xf numFmtId="0" fontId="161" fillId="26" borderId="0" xfId="30099" applyFont="1" applyFill="1" applyAlignment="1">
      <alignment vertical="center" wrapText="1"/>
    </xf>
    <xf numFmtId="0" fontId="162" fillId="0" borderId="0" xfId="0" applyFont="1"/>
    <xf numFmtId="0" fontId="136" fillId="26" borderId="0" xfId="30100" applyNumberFormat="1" applyFont="1" applyFill="1" applyBorder="1" applyAlignment="1">
      <alignment horizontal="center" vertical="center"/>
    </xf>
    <xf numFmtId="164" fontId="136" fillId="26" borderId="0" xfId="30100" quotePrefix="1" applyNumberFormat="1" applyFont="1" applyFill="1" applyBorder="1" applyAlignment="1">
      <alignment horizontal="center" vertical="center"/>
    </xf>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0" fillId="0" borderId="0" xfId="0" quotePrefix="1" applyFont="1" applyFill="1"/>
    <xf numFmtId="0" fontId="0" fillId="0" borderId="0" xfId="0" applyFill="1" applyAlignment="1">
      <alignment horizontal="center"/>
    </xf>
    <xf numFmtId="0" fontId="55" fillId="34" borderId="0" xfId="0" applyNumberFormat="1" applyFont="1" applyFill="1" applyAlignment="1" applyProtection="1">
      <alignment vertical="center" wrapText="1"/>
    </xf>
    <xf numFmtId="0" fontId="0" fillId="34" borderId="0" xfId="0" applyNumberFormat="1" applyFont="1" applyFill="1" applyBorder="1" applyAlignment="1" applyProtection="1">
      <alignment horizontal="center" vertical="center" wrapText="1"/>
    </xf>
    <xf numFmtId="0" fontId="0" fillId="34" borderId="0" xfId="0" applyNumberFormat="1" applyFont="1" applyFill="1" applyBorder="1" applyAlignment="1" applyProtection="1">
      <alignment horizontal="left" vertical="center" wrapText="1"/>
    </xf>
    <xf numFmtId="0" fontId="40" fillId="0" borderId="26" xfId="0" applyFont="1" applyFill="1" applyBorder="1" applyAlignment="1">
      <alignment horizontal="center" vertical="center"/>
    </xf>
    <xf numFmtId="0" fontId="40" fillId="0" borderId="25" xfId="0" applyFont="1" applyFill="1" applyBorder="1" applyAlignment="1">
      <alignment horizontal="center" vertical="center"/>
    </xf>
    <xf numFmtId="0" fontId="40" fillId="0" borderId="24" xfId="0" applyFont="1" applyFill="1" applyBorder="1" applyAlignment="1">
      <alignment horizontal="center" vertical="center"/>
    </xf>
    <xf numFmtId="0" fontId="40" fillId="0" borderId="45" xfId="0" applyFont="1" applyFill="1" applyBorder="1" applyAlignment="1">
      <alignment horizontal="center" vertical="center"/>
    </xf>
    <xf numFmtId="0" fontId="40" fillId="0" borderId="43" xfId="0" applyFont="1" applyFill="1" applyBorder="1" applyAlignment="1">
      <alignment horizontal="center" vertical="center"/>
    </xf>
    <xf numFmtId="0" fontId="62" fillId="0" borderId="25" xfId="0" applyFont="1" applyFill="1" applyBorder="1" applyAlignment="1">
      <alignment horizontal="center" vertical="center"/>
    </xf>
    <xf numFmtId="0" fontId="51" fillId="0" borderId="25" xfId="0" applyFont="1" applyFill="1" applyBorder="1" applyAlignment="1">
      <alignment horizontal="center" vertical="center" wrapText="1"/>
    </xf>
    <xf numFmtId="0" fontId="61" fillId="0" borderId="25" xfId="0" applyFont="1" applyFill="1" applyBorder="1" applyAlignment="1">
      <alignment horizontal="center" vertical="center"/>
    </xf>
    <xf numFmtId="0" fontId="40" fillId="0" borderId="64" xfId="0" applyFont="1" applyFill="1" applyBorder="1" applyAlignment="1">
      <alignment horizontal="center" vertical="center"/>
    </xf>
    <xf numFmtId="0" fontId="72" fillId="0" borderId="0" xfId="0" applyFont="1" applyFill="1"/>
    <xf numFmtId="0" fontId="40" fillId="0" borderId="0" xfId="0" applyFont="1" applyFill="1" applyBorder="1" applyAlignment="1">
      <alignment horizontal="center" vertical="center"/>
    </xf>
    <xf numFmtId="0" fontId="54" fillId="0" borderId="30" xfId="0" applyNumberFormat="1" applyFont="1" applyFill="1" applyBorder="1" applyAlignment="1" applyProtection="1">
      <alignment horizontal="left" vertical="center" wrapText="1"/>
    </xf>
    <xf numFmtId="39" fontId="60" fillId="0" borderId="45" xfId="439" applyNumberFormat="1" applyFont="1" applyFill="1" applyBorder="1" applyAlignment="1" applyProtection="1">
      <alignment horizontal="center" vertical="center" wrapText="1"/>
    </xf>
    <xf numFmtId="0" fontId="65" fillId="0" borderId="0" xfId="0" applyNumberFormat="1" applyFont="1" applyFill="1" applyAlignment="1" applyProtection="1">
      <alignment horizontal="left" vertical="center" wrapText="1"/>
    </xf>
    <xf numFmtId="0" fontId="42" fillId="34" borderId="23" xfId="0" applyNumberFormat="1" applyFont="1" applyFill="1" applyBorder="1" applyAlignment="1" applyProtection="1">
      <alignment horizontal="left" vertical="center" wrapText="1"/>
    </xf>
    <xf numFmtId="0" fontId="60" fillId="34" borderId="25" xfId="0" applyNumberFormat="1" applyFont="1" applyFill="1" applyBorder="1" applyAlignment="1" applyProtection="1">
      <alignment horizontal="left" vertical="center" wrapText="1"/>
    </xf>
    <xf numFmtId="0" fontId="40" fillId="34" borderId="24" xfId="0" applyNumberFormat="1" applyFont="1" applyFill="1" applyBorder="1" applyAlignment="1" applyProtection="1">
      <alignment horizontal="center" vertical="center"/>
    </xf>
    <xf numFmtId="180" fontId="60"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40" fillId="0" borderId="45" xfId="439" applyNumberFormat="1" applyFont="1" applyFill="1" applyBorder="1" applyAlignment="1" applyProtection="1">
      <alignment horizontal="center" vertical="center" wrapText="1"/>
    </xf>
    <xf numFmtId="0" fontId="65" fillId="0" borderId="45" xfId="0" applyNumberFormat="1" applyFont="1" applyFill="1" applyBorder="1" applyAlignment="1" applyProtection="1">
      <alignment horizontal="left" vertical="center" wrapText="1"/>
    </xf>
    <xf numFmtId="0" fontId="60" fillId="0" borderId="28" xfId="0" applyNumberFormat="1" applyFont="1" applyFill="1" applyBorder="1" applyAlignment="1" applyProtection="1">
      <alignment horizontal="left" vertical="center" wrapText="1"/>
    </xf>
    <xf numFmtId="0" fontId="54" fillId="0" borderId="45" xfId="0" applyNumberFormat="1" applyFont="1" applyFill="1" applyBorder="1" applyAlignment="1" applyProtection="1">
      <alignment horizontal="left" vertical="center" wrapText="1"/>
    </xf>
    <xf numFmtId="0" fontId="40" fillId="0" borderId="45" xfId="0" applyNumberFormat="1" applyFont="1" applyFill="1" applyBorder="1" applyAlignment="1" applyProtection="1">
      <alignment horizontal="center" vertical="center"/>
    </xf>
    <xf numFmtId="164" fontId="60" fillId="0" borderId="45" xfId="439" applyNumberFormat="1" applyFont="1" applyFill="1" applyBorder="1" applyAlignment="1" applyProtection="1">
      <alignment horizontal="center" vertical="center" wrapText="1"/>
    </xf>
    <xf numFmtId="41" fontId="43"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40" fillId="0" borderId="25" xfId="0" applyNumberFormat="1" applyFont="1" applyFill="1" applyBorder="1" applyAlignment="1" applyProtection="1">
      <alignment horizontal="center" vertical="center"/>
    </xf>
    <xf numFmtId="164" fontId="60" fillId="0" borderId="29" xfId="439" applyNumberFormat="1" applyFont="1" applyFill="1" applyBorder="1" applyAlignment="1" applyProtection="1">
      <alignment horizontal="center" vertical="center" wrapText="1"/>
    </xf>
    <xf numFmtId="164" fontId="60" fillId="0" borderId="23" xfId="439" applyNumberFormat="1" applyFont="1" applyFill="1" applyBorder="1" applyAlignment="1" applyProtection="1">
      <alignment horizontal="center" vertical="center" wrapText="1"/>
    </xf>
    <xf numFmtId="0" fontId="60" fillId="0" borderId="23" xfId="0" applyNumberFormat="1" applyFont="1" applyFill="1" applyBorder="1" applyAlignment="1" applyProtection="1">
      <alignment horizontal="left" vertical="center" wrapText="1"/>
    </xf>
    <xf numFmtId="39" fontId="60" fillId="0" borderId="28" xfId="439" applyNumberFormat="1" applyFont="1" applyFill="1" applyBorder="1" applyAlignment="1" applyProtection="1">
      <alignment horizontal="center" vertical="center" wrapText="1"/>
    </xf>
    <xf numFmtId="164" fontId="60"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60" fillId="34" borderId="23" xfId="0" applyNumberFormat="1" applyFont="1" applyFill="1" applyBorder="1" applyAlignment="1" applyProtection="1">
      <alignment horizontal="left" vertical="center" wrapText="1"/>
    </xf>
    <xf numFmtId="164" fontId="60" fillId="29" borderId="23" xfId="439" applyNumberFormat="1" applyFont="1" applyFill="1" applyBorder="1" applyAlignment="1" applyProtection="1">
      <alignment horizontal="center" vertical="center" wrapText="1"/>
      <protection locked="0"/>
    </xf>
    <xf numFmtId="3" fontId="60" fillId="0" borderId="23" xfId="439" applyNumberFormat="1" applyFont="1" applyFill="1" applyBorder="1" applyAlignment="1" applyProtection="1">
      <alignment horizontal="center" vertical="center" wrapText="1"/>
    </xf>
    <xf numFmtId="3" fontId="60" fillId="34" borderId="23" xfId="439" applyNumberFormat="1" applyFont="1" applyFill="1" applyBorder="1" applyAlignment="1" applyProtection="1">
      <alignment horizontal="center" vertical="center" wrapText="1"/>
    </xf>
    <xf numFmtId="0" fontId="60" fillId="22" borderId="23" xfId="439" applyNumberFormat="1" applyFont="1" applyFill="1" applyBorder="1" applyAlignment="1" applyProtection="1">
      <alignment horizontal="center" vertical="center" wrapText="1"/>
      <protection locked="0"/>
    </xf>
    <xf numFmtId="164" fontId="60" fillId="29" borderId="0" xfId="439" applyNumberFormat="1" applyFont="1" applyFill="1" applyBorder="1" applyAlignment="1" applyProtection="1">
      <alignment horizontal="center" vertical="center" wrapText="1"/>
      <protection locked="0"/>
    </xf>
    <xf numFmtId="37" fontId="40" fillId="0" borderId="0" xfId="439" applyNumberFormat="1" applyFont="1" applyFill="1" applyBorder="1" applyAlignment="1" applyProtection="1">
      <alignment horizontal="center" vertical="center" wrapText="1"/>
    </xf>
    <xf numFmtId="0" fontId="40" fillId="0" borderId="0" xfId="0" applyNumberFormat="1" applyFont="1" applyFill="1" applyBorder="1" applyAlignment="1" applyProtection="1">
      <alignment horizontal="center" vertical="center"/>
    </xf>
    <xf numFmtId="3" fontId="60" fillId="0" borderId="45" xfId="439" applyNumberFormat="1" applyFont="1" applyFill="1" applyBorder="1" applyAlignment="1" applyProtection="1">
      <alignment horizontal="center" vertical="center" wrapText="1"/>
    </xf>
    <xf numFmtId="0" fontId="60" fillId="0" borderId="45" xfId="0" applyNumberFormat="1" applyFont="1" applyFill="1" applyBorder="1" applyAlignment="1" applyProtection="1">
      <alignment horizontal="left" vertical="center" wrapText="1"/>
    </xf>
    <xf numFmtId="0" fontId="0" fillId="0" borderId="36" xfId="0" applyFont="1" applyFill="1" applyBorder="1" applyAlignment="1" applyProtection="1">
      <alignment vertical="center" wrapText="1"/>
    </xf>
    <xf numFmtId="0" fontId="40" fillId="34" borderId="25" xfId="0" applyNumberFormat="1" applyFont="1" applyFill="1" applyBorder="1" applyAlignment="1" applyProtection="1">
      <alignment horizontal="center" vertical="center"/>
    </xf>
    <xf numFmtId="182" fontId="40"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60" fillId="78" borderId="25" xfId="0" applyNumberFormat="1" applyFont="1" applyFill="1" applyBorder="1" applyAlignment="1" applyProtection="1">
      <alignment horizontal="left" vertical="center" wrapText="1"/>
    </xf>
    <xf numFmtId="0" fontId="60" fillId="78" borderId="23" xfId="0" applyNumberFormat="1" applyFont="1" applyFill="1" applyBorder="1" applyAlignment="1" applyProtection="1">
      <alignment horizontal="left" vertical="center" wrapText="1"/>
    </xf>
    <xf numFmtId="0" fontId="40" fillId="78" borderId="43" xfId="0" applyNumberFormat="1" applyFont="1" applyFill="1" applyBorder="1" applyAlignment="1" applyProtection="1">
      <alignment horizontal="center" vertical="center"/>
    </xf>
    <xf numFmtId="0" fontId="40"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40"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72" fillId="0" borderId="0" xfId="0" applyFont="1" applyAlignment="1" applyProtection="1">
      <alignment wrapText="1"/>
      <protection locked="0"/>
    </xf>
    <xf numFmtId="3" fontId="40" fillId="0" borderId="0" xfId="439" applyNumberFormat="1" applyFont="1" applyFill="1" applyAlignment="1" applyProtection="1">
      <alignment horizontal="center" vertical="center" wrapText="1"/>
    </xf>
    <xf numFmtId="183" fontId="46" fillId="0" borderId="0" xfId="439" applyNumberFormat="1" applyFont="1" applyFill="1" applyAlignment="1" applyProtection="1">
      <alignment horizontal="center" vertical="center" wrapText="1"/>
    </xf>
    <xf numFmtId="167" fontId="0" fillId="0" borderId="87" xfId="545" applyNumberFormat="1" applyFont="1" applyFill="1" applyBorder="1" applyAlignment="1">
      <alignment horizontal="center"/>
    </xf>
    <xf numFmtId="10" fontId="0" fillId="0" borderId="96" xfId="4688" applyNumberFormat="1" applyFont="1" applyFill="1" applyBorder="1" applyAlignment="1">
      <alignment horizontal="center"/>
    </xf>
    <xf numFmtId="164" fontId="51" fillId="0" borderId="0" xfId="0" applyNumberFormat="1" applyFont="1" applyFill="1" applyAlignment="1" applyProtection="1">
      <alignment wrapText="1"/>
    </xf>
    <xf numFmtId="0" fontId="130" fillId="26" borderId="0" xfId="30099" applyFont="1" applyFill="1" applyAlignment="1">
      <alignment horizontal="left" vertical="top" wrapText="1"/>
    </xf>
    <xf numFmtId="164" fontId="51" fillId="78" borderId="10" xfId="0" applyNumberFormat="1" applyFont="1" applyFill="1" applyBorder="1" applyAlignment="1" applyProtection="1">
      <alignment horizontal="center" vertical="center" wrapText="1"/>
    </xf>
    <xf numFmtId="0" fontId="42" fillId="78" borderId="0" xfId="0" applyFont="1" applyFill="1" applyBorder="1" applyAlignment="1">
      <alignment wrapText="1"/>
    </xf>
    <xf numFmtId="0" fontId="40" fillId="78" borderId="64" xfId="0" applyNumberFormat="1" applyFont="1" applyFill="1" applyBorder="1" applyAlignment="1" applyProtection="1">
      <alignment horizontal="center" vertical="center"/>
    </xf>
    <xf numFmtId="0" fontId="42" fillId="78" borderId="23" xfId="0" applyNumberFormat="1" applyFont="1" applyFill="1" applyBorder="1" applyAlignment="1" applyProtection="1">
      <alignment horizontal="left" vertical="center" wrapText="1"/>
    </xf>
    <xf numFmtId="0" fontId="153" fillId="81" borderId="57" xfId="30099" applyFont="1" applyFill="1" applyBorder="1" applyAlignment="1" applyProtection="1">
      <alignment horizontal="center" vertical="center"/>
      <protection locked="0"/>
    </xf>
    <xf numFmtId="0" fontId="130" fillId="81" borderId="57" xfId="30099" applyFont="1" applyFill="1" applyBorder="1" applyAlignment="1" applyProtection="1">
      <alignment horizontal="center" vertical="center"/>
      <protection locked="0"/>
    </xf>
    <xf numFmtId="14" fontId="130" fillId="81" borderId="57" xfId="30099" applyNumberFormat="1" applyFont="1" applyFill="1" applyBorder="1" applyAlignment="1" applyProtection="1">
      <alignment horizontal="center" vertical="center"/>
      <protection locked="0"/>
    </xf>
    <xf numFmtId="164" fontId="136" fillId="26" borderId="0" xfId="30100" applyNumberFormat="1" applyFont="1" applyFill="1" applyBorder="1" applyAlignment="1"/>
    <xf numFmtId="10" fontId="0" fillId="0" borderId="10" xfId="4688" applyNumberFormat="1" applyFont="1" applyFill="1" applyBorder="1"/>
    <xf numFmtId="10" fontId="0" fillId="0" borderId="10" xfId="0" applyNumberFormat="1" applyFont="1" applyFill="1" applyBorder="1" applyAlignment="1">
      <alignment horizontal="center" wrapText="1"/>
    </xf>
    <xf numFmtId="10" fontId="0" fillId="78" borderId="10" xfId="4688" applyNumberFormat="1" applyFont="1" applyFill="1" applyBorder="1"/>
    <xf numFmtId="10" fontId="0" fillId="78" borderId="10" xfId="0" applyNumberFormat="1" applyFont="1" applyFill="1" applyBorder="1" applyAlignment="1">
      <alignment horizontal="center" wrapText="1"/>
    </xf>
    <xf numFmtId="0" fontId="40" fillId="78" borderId="107" xfId="0" applyFont="1" applyFill="1" applyBorder="1" applyAlignment="1">
      <alignment wrapText="1"/>
    </xf>
    <xf numFmtId="0" fontId="40" fillId="78" borderId="10" xfId="0" applyFont="1" applyFill="1" applyBorder="1" applyAlignment="1">
      <alignment vertical="center" wrapText="1"/>
    </xf>
    <xf numFmtId="167" fontId="0" fillId="0" borderId="10" xfId="545" applyNumberFormat="1" applyFont="1" applyFill="1" applyBorder="1" applyAlignment="1">
      <alignment horizontal="center"/>
    </xf>
    <xf numFmtId="10" fontId="0" fillId="0" borderId="10" xfId="4688" applyNumberFormat="1" applyFont="1" applyFill="1" applyBorder="1" applyAlignment="1">
      <alignment horizontal="center"/>
    </xf>
    <xf numFmtId="0" fontId="40" fillId="78" borderId="107" xfId="0" applyFont="1" applyFill="1" applyBorder="1" applyAlignment="1">
      <alignment vertical="center" wrapText="1"/>
    </xf>
    <xf numFmtId="0" fontId="40" fillId="78" borderId="0" xfId="0" applyFont="1" applyFill="1" applyBorder="1" applyAlignment="1">
      <alignment vertical="center" wrapText="1"/>
    </xf>
    <xf numFmtId="10" fontId="0" fillId="78" borderId="0" xfId="4688" applyNumberFormat="1" applyFont="1" applyFill="1" applyBorder="1" applyAlignment="1">
      <alignment horizontal="center"/>
    </xf>
    <xf numFmtId="10" fontId="0" fillId="78" borderId="10" xfId="4688" applyNumberFormat="1" applyFont="1" applyFill="1" applyBorder="1" applyAlignment="1">
      <alignment horizontal="center"/>
    </xf>
    <xf numFmtId="43" fontId="0" fillId="0" borderId="0" xfId="439" applyFont="1" applyFill="1"/>
    <xf numFmtId="164" fontId="0" fillId="0" borderId="0" xfId="439" applyNumberFormat="1" applyFont="1" applyFill="1"/>
    <xf numFmtId="164" fontId="0" fillId="0" borderId="0" xfId="439" applyNumberFormat="1" applyFont="1" applyFill="1" applyAlignment="1">
      <alignment horizontal="center"/>
    </xf>
    <xf numFmtId="172" fontId="0" fillId="0" borderId="0" xfId="439" applyNumberFormat="1" applyFont="1" applyFill="1"/>
    <xf numFmtId="184" fontId="0" fillId="0" borderId="0" xfId="439" applyNumberFormat="1" applyFont="1" applyFill="1"/>
    <xf numFmtId="43" fontId="0" fillId="0" borderId="0" xfId="439" applyNumberFormat="1" applyFont="1" applyFill="1"/>
    <xf numFmtId="43" fontId="0" fillId="0" borderId="0" xfId="439" applyNumberFormat="1" applyFont="1" applyFill="1" applyAlignment="1">
      <alignment horizontal="center"/>
    </xf>
    <xf numFmtId="164" fontId="59" fillId="0" borderId="0" xfId="439" applyNumberFormat="1" applyFont="1" applyFill="1" applyAlignment="1">
      <alignment horizontal="left"/>
    </xf>
    <xf numFmtId="164" fontId="45" fillId="0" borderId="0" xfId="439" applyNumberFormat="1" applyFont="1" applyFill="1"/>
    <xf numFmtId="164" fontId="25" fillId="0" borderId="0" xfId="439" applyNumberFormat="1" applyFont="1" applyFill="1" applyAlignment="1">
      <alignment horizontal="right" vertical="center" wrapText="1"/>
    </xf>
    <xf numFmtId="38" fontId="0" fillId="0" borderId="0" xfId="0" applyNumberFormat="1" applyFont="1" applyFill="1"/>
    <xf numFmtId="40" fontId="0" fillId="0" borderId="0" xfId="0" applyNumberFormat="1" applyFont="1" applyFill="1"/>
    <xf numFmtId="43" fontId="0" fillId="0" borderId="0" xfId="0" applyNumberFormat="1" applyFont="1" applyFill="1"/>
    <xf numFmtId="0" fontId="0" fillId="0" borderId="91" xfId="0" applyFont="1" applyFill="1" applyBorder="1" applyAlignment="1">
      <alignment vertical="center"/>
    </xf>
    <xf numFmtId="0" fontId="0" fillId="0" borderId="0" xfId="0" applyFont="1" applyFill="1" applyBorder="1" applyAlignment="1">
      <alignment vertical="center" wrapText="1"/>
    </xf>
    <xf numFmtId="0" fontId="0" fillId="0" borderId="87" xfId="0" applyFont="1" applyFill="1" applyBorder="1" applyAlignment="1">
      <alignment wrapText="1"/>
    </xf>
    <xf numFmtId="0" fontId="0" fillId="0" borderId="15" xfId="0" applyFont="1" applyFill="1" applyBorder="1" applyAlignment="1">
      <alignment vertical="center"/>
    </xf>
    <xf numFmtId="10" fontId="0" fillId="0" borderId="0" xfId="4688" applyNumberFormat="1" applyFont="1" applyFill="1"/>
    <xf numFmtId="0" fontId="40" fillId="0" borderId="87" xfId="0" applyFont="1" applyFill="1" applyBorder="1" applyAlignment="1"/>
    <xf numFmtId="0" fontId="40" fillId="0" borderId="95" xfId="0" applyFont="1" applyFill="1" applyBorder="1" applyAlignment="1">
      <alignment vertical="center"/>
    </xf>
    <xf numFmtId="0" fontId="34" fillId="0" borderId="0" xfId="0" applyFont="1" applyProtection="1"/>
    <xf numFmtId="0" fontId="61" fillId="0" borderId="0" xfId="26000" applyFont="1" applyProtection="1"/>
    <xf numFmtId="0" fontId="61" fillId="0" borderId="0" xfId="26000" applyFont="1" applyAlignment="1" applyProtection="1">
      <alignment horizontal="center" vertical="center"/>
    </xf>
    <xf numFmtId="0" fontId="46" fillId="0" borderId="0" xfId="26000" applyFont="1" applyProtection="1"/>
    <xf numFmtId="0" fontId="46" fillId="0" borderId="0" xfId="26000" applyFont="1" applyFill="1" applyProtection="1"/>
    <xf numFmtId="0" fontId="46" fillId="0" borderId="0" xfId="26000" applyFont="1" applyAlignment="1" applyProtection="1">
      <alignment horizontal="center"/>
    </xf>
    <xf numFmtId="0" fontId="61" fillId="0" borderId="0" xfId="26000" applyFont="1" applyAlignment="1" applyProtection="1">
      <alignment horizontal="left"/>
    </xf>
    <xf numFmtId="0" fontId="61" fillId="84" borderId="0" xfId="26000" applyFont="1" applyFill="1" applyProtection="1"/>
    <xf numFmtId="0" fontId="46" fillId="84" borderId="0" xfId="26000" applyFont="1" applyFill="1" applyProtection="1"/>
    <xf numFmtId="0" fontId="165" fillId="0" borderId="57" xfId="26000" applyFont="1" applyBorder="1" applyProtection="1"/>
    <xf numFmtId="9" fontId="61" fillId="0" borderId="0" xfId="26000" applyNumberFormat="1" applyFont="1" applyAlignment="1" applyProtection="1">
      <alignment horizontal="center"/>
    </xf>
    <xf numFmtId="38" fontId="46" fillId="83" borderId="0" xfId="29549" applyNumberFormat="1" applyFont="1" applyFill="1" applyProtection="1"/>
    <xf numFmtId="38" fontId="46" fillId="0" borderId="0" xfId="29549" applyNumberFormat="1" applyFont="1" applyFill="1" applyProtection="1"/>
    <xf numFmtId="164" fontId="46" fillId="0" borderId="57" xfId="29549" applyNumberFormat="1" applyFont="1" applyBorder="1" applyProtection="1"/>
    <xf numFmtId="164" fontId="46" fillId="0" borderId="0" xfId="29549" applyNumberFormat="1" applyFont="1" applyFill="1" applyBorder="1" applyProtection="1"/>
    <xf numFmtId="38" fontId="46" fillId="83" borderId="0" xfId="26000" applyNumberFormat="1" applyFont="1" applyFill="1" applyProtection="1"/>
    <xf numFmtId="38" fontId="46" fillId="0" borderId="0" xfId="26000" applyNumberFormat="1" applyFont="1" applyProtection="1"/>
    <xf numFmtId="0" fontId="46" fillId="0" borderId="0" xfId="26000" applyFont="1" applyAlignment="1" applyProtection="1">
      <alignment wrapText="1"/>
    </xf>
    <xf numFmtId="43" fontId="46" fillId="83" borderId="57" xfId="29549" applyFont="1" applyFill="1" applyBorder="1" applyAlignment="1" applyProtection="1">
      <alignment horizontal="left"/>
    </xf>
    <xf numFmtId="164" fontId="46" fillId="0" borderId="0" xfId="29549" applyNumberFormat="1" applyFont="1" applyFill="1" applyBorder="1" applyAlignment="1" applyProtection="1">
      <alignment horizontal="left"/>
    </xf>
    <xf numFmtId="172" fontId="46" fillId="0" borderId="0" xfId="29549" applyNumberFormat="1" applyFont="1" applyFill="1" applyBorder="1" applyAlignment="1" applyProtection="1">
      <alignment horizontal="left"/>
    </xf>
    <xf numFmtId="0" fontId="61" fillId="0" borderId="0" xfId="26000" applyFont="1" applyAlignment="1" applyProtection="1">
      <alignment wrapText="1"/>
    </xf>
    <xf numFmtId="164" fontId="46" fillId="83" borderId="57" xfId="29549" applyNumberFormat="1" applyFont="1" applyFill="1" applyBorder="1" applyProtection="1"/>
    <xf numFmtId="164" fontId="46" fillId="0" borderId="57" xfId="29549" applyNumberFormat="1" applyFont="1" applyFill="1" applyBorder="1" applyProtection="1"/>
    <xf numFmtId="40" fontId="46" fillId="83" borderId="0" xfId="26000" applyNumberFormat="1" applyFont="1" applyFill="1" applyProtection="1"/>
    <xf numFmtId="0" fontId="166" fillId="0" borderId="0" xfId="26000" applyFont="1" applyAlignment="1" applyProtection="1">
      <alignment horizontal="right"/>
    </xf>
    <xf numFmtId="164" fontId="46" fillId="0" borderId="0" xfId="29549" applyNumberFormat="1" applyFont="1" applyBorder="1" applyProtection="1"/>
    <xf numFmtId="164" fontId="46" fillId="0" borderId="0" xfId="26000" applyNumberFormat="1" applyFont="1" applyProtection="1"/>
    <xf numFmtId="38" fontId="46" fillId="0" borderId="0" xfId="29549" applyNumberFormat="1" applyFont="1" applyBorder="1" applyProtection="1"/>
    <xf numFmtId="0" fontId="166" fillId="0" borderId="0" xfId="26000" applyFont="1" applyProtection="1"/>
    <xf numFmtId="43" fontId="46" fillId="0" borderId="0" xfId="26000" applyNumberFormat="1" applyFont="1" applyProtection="1"/>
    <xf numFmtId="164" fontId="61" fillId="0" borderId="57" xfId="26000" applyNumberFormat="1" applyFont="1" applyBorder="1" applyProtection="1"/>
    <xf numFmtId="0" fontId="61" fillId="0" borderId="0" xfId="26000" applyFont="1" applyAlignment="1" applyProtection="1">
      <alignment horizontal="center"/>
    </xf>
    <xf numFmtId="0" fontId="61" fillId="0" borderId="71" xfId="26000" applyFont="1" applyBorder="1" applyAlignment="1" applyProtection="1">
      <alignment horizontal="right" vertical="top" wrapText="1"/>
    </xf>
    <xf numFmtId="164" fontId="61" fillId="0" borderId="73" xfId="29549" applyNumberFormat="1" applyFont="1" applyBorder="1" applyProtection="1"/>
    <xf numFmtId="167" fontId="46" fillId="0" borderId="0" xfId="29549" applyNumberFormat="1" applyFont="1" applyProtection="1"/>
    <xf numFmtId="43" fontId="61" fillId="0" borderId="71" xfId="29549" applyFont="1" applyBorder="1" applyProtection="1"/>
    <xf numFmtId="43" fontId="46" fillId="0" borderId="73" xfId="29549" applyFont="1" applyBorder="1" applyAlignment="1" applyProtection="1">
      <alignment horizontal="right"/>
    </xf>
    <xf numFmtId="0" fontId="46" fillId="0" borderId="0" xfId="26000" applyFont="1" applyBorder="1" applyAlignment="1" applyProtection="1">
      <alignment vertical="top"/>
    </xf>
    <xf numFmtId="0" fontId="166" fillId="0" borderId="0" xfId="26000" applyFont="1" applyAlignment="1" applyProtection="1">
      <alignment vertical="top" wrapText="1"/>
    </xf>
    <xf numFmtId="38" fontId="54" fillId="26" borderId="0" xfId="682" applyNumberFormat="1" applyFont="1" applyFill="1"/>
    <xf numFmtId="0" fontId="40" fillId="0" borderId="0" xfId="682" applyFont="1" applyFill="1" applyAlignment="1">
      <alignment wrapText="1"/>
    </xf>
    <xf numFmtId="0" fontId="0" fillId="0" borderId="0" xfId="682" applyFont="1"/>
    <xf numFmtId="0" fontId="167" fillId="26" borderId="0" xfId="682" applyFont="1" applyFill="1"/>
    <xf numFmtId="0" fontId="0" fillId="26" borderId="0" xfId="682" applyFont="1" applyFill="1"/>
    <xf numFmtId="0" fontId="51" fillId="0" borderId="17" xfId="682" applyFont="1" applyBorder="1" applyAlignment="1">
      <alignment horizontal="center"/>
    </xf>
    <xf numFmtId="0" fontId="168" fillId="0" borderId="0" xfId="682" applyFont="1"/>
    <xf numFmtId="0" fontId="168" fillId="0" borderId="0" xfId="682" applyFont="1" applyAlignment="1">
      <alignment vertical="center"/>
    </xf>
    <xf numFmtId="0" fontId="51" fillId="0" borderId="14" xfId="682" applyFont="1" applyBorder="1" applyAlignment="1">
      <alignment horizontal="center" vertical="center" wrapText="1"/>
    </xf>
    <xf numFmtId="0" fontId="169" fillId="0" borderId="0" xfId="682" applyFont="1"/>
    <xf numFmtId="0" fontId="54" fillId="0" borderId="0" xfId="682" applyFont="1"/>
    <xf numFmtId="167" fontId="170" fillId="26" borderId="0" xfId="546" applyNumberFormat="1" applyFont="1" applyFill="1"/>
    <xf numFmtId="167" fontId="54" fillId="0" borderId="0" xfId="546" applyNumberFormat="1" applyFont="1"/>
    <xf numFmtId="38" fontId="170" fillId="26" borderId="0" xfId="682" applyNumberFormat="1" applyFont="1" applyFill="1"/>
    <xf numFmtId="38" fontId="54" fillId="0" borderId="0" xfId="682" applyNumberFormat="1" applyFont="1"/>
    <xf numFmtId="38" fontId="0" fillId="26" borderId="0" xfId="682" applyNumberFormat="1" applyFont="1" applyFill="1"/>
    <xf numFmtId="38" fontId="54" fillId="26" borderId="17" xfId="449" applyNumberFormat="1" applyFont="1" applyFill="1" applyBorder="1"/>
    <xf numFmtId="38" fontId="54" fillId="0" borderId="0" xfId="449" applyNumberFormat="1" applyFont="1"/>
    <xf numFmtId="0" fontId="51" fillId="27" borderId="0" xfId="682" applyFont="1" applyFill="1"/>
    <xf numFmtId="0" fontId="0" fillId="27" borderId="0" xfId="682" applyFont="1" applyFill="1"/>
    <xf numFmtId="0" fontId="54" fillId="27" borderId="0" xfId="682" applyFont="1" applyFill="1"/>
    <xf numFmtId="167" fontId="51" fillId="27" borderId="0" xfId="546" applyNumberFormat="1" applyFont="1" applyFill="1"/>
    <xf numFmtId="167" fontId="54" fillId="27" borderId="0" xfId="546" applyNumberFormat="1" applyFont="1" applyFill="1"/>
    <xf numFmtId="164" fontId="54" fillId="26" borderId="17" xfId="449" applyNumberFormat="1" applyFont="1" applyFill="1" applyBorder="1"/>
    <xf numFmtId="164" fontId="54" fillId="0" borderId="0" xfId="449" applyNumberFormat="1" applyFont="1"/>
    <xf numFmtId="0" fontId="169" fillId="0" borderId="0" xfId="682" applyFont="1" applyAlignment="1">
      <alignment vertical="center"/>
    </xf>
    <xf numFmtId="0" fontId="171" fillId="0" borderId="0" xfId="682" applyFont="1"/>
    <xf numFmtId="38" fontId="54" fillId="26" borderId="0" xfId="449" applyNumberFormat="1" applyFont="1" applyFill="1"/>
    <xf numFmtId="167" fontId="51" fillId="27" borderId="18" xfId="546" applyNumberFormat="1" applyFont="1" applyFill="1" applyBorder="1"/>
    <xf numFmtId="167" fontId="54" fillId="26" borderId="19" xfId="546" applyNumberFormat="1" applyFont="1" applyFill="1" applyBorder="1"/>
    <xf numFmtId="0" fontId="51" fillId="0" borderId="0" xfId="682" applyFont="1"/>
    <xf numFmtId="167" fontId="51" fillId="0" borderId="20" xfId="546" applyNumberFormat="1" applyFont="1" applyBorder="1"/>
    <xf numFmtId="0" fontId="51" fillId="0" borderId="0" xfId="682" applyFont="1" applyAlignment="1">
      <alignment horizontal="center"/>
    </xf>
    <xf numFmtId="167" fontId="170" fillId="0" borderId="0" xfId="546" applyNumberFormat="1" applyFont="1" applyFill="1"/>
    <xf numFmtId="38" fontId="170" fillId="26" borderId="0" xfId="0" applyNumberFormat="1" applyFont="1" applyFill="1"/>
    <xf numFmtId="38" fontId="170" fillId="0" borderId="0" xfId="449" applyNumberFormat="1" applyFont="1" applyFill="1"/>
    <xf numFmtId="38" fontId="170" fillId="26" borderId="17" xfId="0" applyNumberFormat="1" applyFont="1" applyFill="1" applyBorder="1"/>
    <xf numFmtId="38" fontId="170" fillId="0" borderId="17" xfId="449" applyNumberFormat="1" applyFont="1" applyFill="1" applyBorder="1"/>
    <xf numFmtId="167" fontId="54" fillId="0" borderId="19" xfId="546" applyNumberFormat="1" applyFont="1" applyBorder="1"/>
    <xf numFmtId="10" fontId="51" fillId="0" borderId="19" xfId="682" applyNumberFormat="1" applyFont="1" applyBorder="1"/>
    <xf numFmtId="0" fontId="0" fillId="0" borderId="83" xfId="0" applyFont="1" applyBorder="1"/>
    <xf numFmtId="0" fontId="40" fillId="78" borderId="79" xfId="0" applyFont="1" applyFill="1" applyBorder="1" applyAlignment="1">
      <alignment horizontal="left"/>
    </xf>
    <xf numFmtId="0" fontId="0" fillId="78" borderId="79" xfId="0" applyFont="1" applyFill="1" applyBorder="1"/>
    <xf numFmtId="0" fontId="40" fillId="78" borderId="79" xfId="0" applyFont="1" applyFill="1" applyBorder="1"/>
    <xf numFmtId="0" fontId="0" fillId="78" borderId="82" xfId="0" applyFont="1" applyFill="1" applyBorder="1"/>
    <xf numFmtId="0" fontId="0" fillId="73" borderId="10" xfId="0" applyFont="1" applyFill="1" applyBorder="1" applyAlignment="1">
      <alignment horizontal="center" vertical="center" wrapText="1"/>
    </xf>
    <xf numFmtId="0" fontId="0" fillId="78" borderId="82" xfId="0" applyFont="1" applyFill="1" applyBorder="1" applyAlignment="1">
      <alignment wrapText="1"/>
    </xf>
    <xf numFmtId="0" fontId="0" fillId="0" borderId="83" xfId="0" applyFont="1" applyBorder="1" applyAlignment="1">
      <alignment wrapText="1"/>
    </xf>
    <xf numFmtId="1" fontId="0" fillId="0" borderId="83" xfId="0" applyNumberFormat="1" applyFont="1" applyBorder="1"/>
    <xf numFmtId="0" fontId="0" fillId="73" borderId="85" xfId="0" applyFont="1" applyFill="1" applyBorder="1" applyAlignment="1">
      <alignment horizontal="center" vertical="center" wrapText="1"/>
    </xf>
    <xf numFmtId="0" fontId="0" fillId="0" borderId="83" xfId="0" applyFont="1" applyBorder="1" applyAlignment="1">
      <alignment horizontal="center"/>
    </xf>
    <xf numFmtId="0" fontId="0" fillId="0" borderId="82" xfId="0" applyFont="1" applyBorder="1"/>
    <xf numFmtId="0" fontId="173" fillId="78" borderId="101" xfId="0" applyFont="1" applyFill="1" applyBorder="1" applyAlignment="1">
      <alignment wrapText="1"/>
    </xf>
    <xf numFmtId="37" fontId="0" fillId="0" borderId="0" xfId="0" applyNumberFormat="1" applyFont="1" applyBorder="1"/>
    <xf numFmtId="0" fontId="0" fillId="0" borderId="87" xfId="0" applyNumberFormat="1" applyFont="1" applyBorder="1" applyAlignment="1">
      <alignment horizontal="center" wrapText="1"/>
    </xf>
    <xf numFmtId="10" fontId="0" fillId="0" borderId="83" xfId="0" applyNumberFormat="1" applyFont="1" applyBorder="1"/>
    <xf numFmtId="0" fontId="0" fillId="78" borderId="86" xfId="0" applyFont="1" applyFill="1" applyBorder="1"/>
    <xf numFmtId="0" fontId="0" fillId="78" borderId="86" xfId="0" applyFont="1" applyFill="1" applyBorder="1" applyAlignment="1">
      <alignment horizontal="center" wrapText="1"/>
    </xf>
    <xf numFmtId="0" fontId="0" fillId="78" borderId="86" xfId="0" applyFont="1" applyFill="1" applyBorder="1" applyAlignment="1">
      <alignment wrapText="1"/>
    </xf>
    <xf numFmtId="0" fontId="0" fillId="78" borderId="98" xfId="0" applyFont="1" applyFill="1" applyBorder="1" applyAlignment="1">
      <alignment horizontal="center" wrapText="1"/>
    </xf>
    <xf numFmtId="0" fontId="0" fillId="78" borderId="98" xfId="0" applyFont="1" applyFill="1" applyBorder="1"/>
    <xf numFmtId="2" fontId="0" fillId="0" borderId="83" xfId="0" applyNumberFormat="1" applyFont="1" applyBorder="1"/>
    <xf numFmtId="168" fontId="0" fillId="0" borderId="83" xfId="0" applyNumberFormat="1" applyFont="1" applyBorder="1"/>
    <xf numFmtId="2" fontId="0" fillId="80" borderId="88" xfId="0" applyNumberFormat="1" applyFont="1" applyFill="1" applyBorder="1"/>
    <xf numFmtId="0" fontId="0" fillId="78" borderId="93" xfId="0" applyFont="1" applyFill="1" applyBorder="1" applyAlignment="1">
      <alignment horizontal="center" wrapText="1"/>
    </xf>
    <xf numFmtId="0" fontId="0" fillId="78" borderId="93" xfId="0" applyFont="1" applyFill="1" applyBorder="1"/>
    <xf numFmtId="0" fontId="0" fillId="78" borderId="94" xfId="0" applyFont="1" applyFill="1" applyBorder="1"/>
    <xf numFmtId="39" fontId="0" fillId="0" borderId="83" xfId="0" applyNumberFormat="1" applyFont="1" applyBorder="1"/>
    <xf numFmtId="2" fontId="0" fillId="0" borderId="87" xfId="0" applyNumberFormat="1" applyFont="1" applyFill="1" applyBorder="1" applyAlignment="1">
      <alignment horizontal="center"/>
    </xf>
    <xf numFmtId="0" fontId="0" fillId="78" borderId="89" xfId="0" applyFont="1" applyFill="1" applyBorder="1"/>
    <xf numFmtId="0" fontId="0" fillId="78" borderId="89" xfId="0" applyFont="1" applyFill="1" applyBorder="1" applyAlignment="1">
      <alignment horizontal="center" wrapText="1"/>
    </xf>
    <xf numFmtId="0" fontId="0" fillId="78" borderId="89" xfId="0" applyFont="1" applyFill="1" applyBorder="1" applyAlignment="1">
      <alignment wrapText="1"/>
    </xf>
    <xf numFmtId="0" fontId="0" fillId="0" borderId="10" xfId="0" applyFont="1" applyFill="1" applyBorder="1"/>
    <xf numFmtId="0" fontId="0" fillId="0" borderId="10" xfId="0" applyFont="1" applyFill="1" applyBorder="1" applyProtection="1">
      <protection locked="0"/>
    </xf>
    <xf numFmtId="0" fontId="0" fillId="78" borderId="10" xfId="0" applyFont="1" applyFill="1" applyBorder="1" applyAlignment="1">
      <alignment wrapText="1"/>
    </xf>
    <xf numFmtId="0" fontId="0" fillId="78" borderId="106" xfId="0" applyFont="1" applyFill="1" applyBorder="1"/>
    <xf numFmtId="0" fontId="0" fillId="78" borderId="10" xfId="0" quotePrefix="1" applyFont="1" applyFill="1" applyBorder="1" applyAlignment="1">
      <alignment horizontal="center" wrapText="1"/>
    </xf>
    <xf numFmtId="0" fontId="0" fillId="0" borderId="99" xfId="0" applyFont="1" applyFill="1" applyBorder="1" applyProtection="1">
      <protection locked="0"/>
    </xf>
    <xf numFmtId="0" fontId="0" fillId="78" borderId="10" xfId="0" applyNumberFormat="1" applyFont="1" applyFill="1" applyBorder="1" applyAlignment="1">
      <alignment horizontal="center" wrapText="1"/>
    </xf>
    <xf numFmtId="0" fontId="0" fillId="0" borderId="0" xfId="0" applyNumberFormat="1" applyFont="1" applyBorder="1" applyAlignment="1">
      <alignment horizontal="center" wrapText="1"/>
    </xf>
    <xf numFmtId="0" fontId="0" fillId="78" borderId="104" xfId="0" applyFont="1" applyFill="1" applyBorder="1" applyAlignment="1">
      <alignment wrapText="1"/>
    </xf>
    <xf numFmtId="0" fontId="0" fillId="0" borderId="100" xfId="0" applyFont="1" applyFill="1" applyBorder="1" applyProtection="1">
      <protection locked="0"/>
    </xf>
    <xf numFmtId="2" fontId="0" fillId="0" borderId="10" xfId="0" applyNumberFormat="1" applyFont="1" applyFill="1" applyBorder="1" applyAlignment="1">
      <alignment horizontal="center"/>
    </xf>
    <xf numFmtId="0" fontId="0" fillId="78" borderId="10" xfId="0" applyFont="1" applyFill="1" applyBorder="1" applyAlignment="1">
      <alignment horizontal="center" vertical="center" wrapText="1"/>
    </xf>
    <xf numFmtId="0" fontId="0" fillId="78" borderId="10" xfId="0" applyFont="1" applyFill="1" applyBorder="1" applyAlignment="1">
      <alignment vertical="center" wrapText="1"/>
    </xf>
    <xf numFmtId="167" fontId="0" fillId="0" borderId="10" xfId="0" applyNumberFormat="1" applyFont="1" applyFill="1" applyBorder="1" applyAlignment="1">
      <alignment horizontal="center"/>
    </xf>
    <xf numFmtId="37" fontId="0" fillId="0" borderId="10" xfId="0" applyNumberFormat="1" applyFont="1" applyFill="1" applyBorder="1" applyAlignment="1">
      <alignment horizontal="center"/>
    </xf>
    <xf numFmtId="0" fontId="0" fillId="78" borderId="104" xfId="0" applyFont="1" applyFill="1" applyBorder="1" applyAlignment="1">
      <alignment vertical="center" wrapText="1"/>
    </xf>
    <xf numFmtId="0" fontId="0" fillId="78" borderId="0" xfId="0" applyFont="1" applyFill="1" applyBorder="1" applyAlignment="1">
      <alignment horizontal="center" wrapText="1"/>
    </xf>
    <xf numFmtId="10" fontId="0" fillId="78" borderId="0" xfId="0" applyNumberFormat="1" applyFont="1" applyFill="1" applyBorder="1" applyAlignment="1">
      <alignment horizontal="center"/>
    </xf>
    <xf numFmtId="0" fontId="0" fillId="78" borderId="0" xfId="0" applyFont="1" applyFill="1" applyBorder="1" applyAlignment="1">
      <alignment wrapText="1"/>
    </xf>
    <xf numFmtId="0" fontId="40" fillId="0" borderId="79" xfId="0" applyFont="1" applyBorder="1" applyAlignment="1">
      <alignment vertical="center"/>
    </xf>
    <xf numFmtId="0" fontId="173" fillId="78" borderId="105" xfId="0" applyFont="1" applyFill="1" applyBorder="1" applyAlignment="1">
      <alignment wrapText="1"/>
    </xf>
    <xf numFmtId="0" fontId="40" fillId="0" borderId="92" xfId="0" applyFont="1" applyBorder="1" applyAlignment="1">
      <alignment vertical="center"/>
    </xf>
    <xf numFmtId="9" fontId="40" fillId="0" borderId="0" xfId="4688" applyFont="1" applyBorder="1" applyAlignment="1">
      <alignment horizontal="center" wrapText="1"/>
    </xf>
    <xf numFmtId="0" fontId="40" fillId="0" borderId="86" xfId="0" applyFont="1" applyBorder="1" applyAlignment="1">
      <alignment vertical="center"/>
    </xf>
    <xf numFmtId="0" fontId="40" fillId="0" borderId="0" xfId="0" applyFont="1" applyFill="1" applyBorder="1" applyAlignment="1">
      <alignment vertical="center"/>
    </xf>
    <xf numFmtId="0" fontId="40" fillId="0" borderId="89" xfId="0" applyFont="1" applyBorder="1" applyAlignment="1">
      <alignment vertical="center"/>
    </xf>
    <xf numFmtId="0" fontId="40" fillId="0" borderId="83" xfId="0" applyFont="1" applyBorder="1" applyAlignment="1">
      <alignment vertical="center"/>
    </xf>
    <xf numFmtId="0" fontId="163" fillId="73" borderId="94" xfId="0" applyFont="1" applyFill="1" applyBorder="1" applyAlignment="1">
      <alignment horizontal="center" vertical="center" wrapText="1"/>
    </xf>
    <xf numFmtId="0" fontId="40" fillId="78" borderId="12" xfId="0" applyFont="1" applyFill="1" applyBorder="1"/>
    <xf numFmtId="0" fontId="173" fillId="78" borderId="111" xfId="0" applyFont="1" applyFill="1" applyBorder="1" applyAlignment="1">
      <alignment wrapText="1"/>
    </xf>
    <xf numFmtId="0" fontId="40" fillId="78" borderId="12" xfId="0" applyFont="1" applyFill="1" applyBorder="1" applyAlignment="1">
      <alignment horizontal="center"/>
    </xf>
    <xf numFmtId="0" fontId="40" fillId="78" borderId="12" xfId="0" applyFont="1" applyFill="1" applyBorder="1" applyAlignment="1">
      <alignment horizontal="center" wrapText="1"/>
    </xf>
    <xf numFmtId="0" fontId="0" fillId="78" borderId="112" xfId="0" applyFont="1" applyFill="1" applyBorder="1"/>
    <xf numFmtId="0" fontId="0" fillId="78" borderId="10" xfId="0" applyFont="1" applyFill="1" applyBorder="1"/>
    <xf numFmtId="0" fontId="40" fillId="78" borderId="10" xfId="0" applyFont="1" applyFill="1" applyBorder="1" applyAlignment="1">
      <alignment horizontal="center"/>
    </xf>
    <xf numFmtId="0" fontId="40" fillId="78" borderId="10" xfId="0" applyFont="1" applyFill="1" applyBorder="1" applyAlignment="1">
      <alignment horizontal="center" wrapText="1"/>
    </xf>
    <xf numFmtId="0" fontId="163" fillId="78" borderId="10" xfId="0" applyFont="1" applyFill="1" applyBorder="1" applyAlignment="1">
      <alignment horizontal="center" vertical="center" wrapText="1"/>
    </xf>
    <xf numFmtId="39" fontId="0" fillId="0" borderId="0" xfId="0" applyNumberFormat="1" applyFont="1" applyProtection="1"/>
    <xf numFmtId="0" fontId="0" fillId="22" borderId="0" xfId="0" applyFont="1" applyFill="1" applyBorder="1" applyProtection="1"/>
    <xf numFmtId="0" fontId="0" fillId="23" borderId="0" xfId="0" applyFont="1" applyFill="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60"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60"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37" fontId="0" fillId="0" borderId="45" xfId="439" applyNumberFormat="1" applyFont="1" applyFill="1" applyBorder="1" applyAlignment="1" applyProtection="1">
      <alignment vertical="center"/>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6"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38" fontId="0" fillId="0" borderId="0" xfId="0" applyNumberFormat="1"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34" borderId="0" xfId="0" applyFont="1" applyFill="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74" fillId="76" borderId="63" xfId="1562" applyNumberFormat="1" applyFont="1" applyFill="1" applyBorder="1" applyAlignment="1">
      <alignment horizontal="center" vertical="center" wrapText="1"/>
    </xf>
    <xf numFmtId="174" fontId="0" fillId="0" borderId="28" xfId="439" applyNumberFormat="1" applyFont="1" applyFill="1" applyBorder="1" applyAlignment="1" applyProtection="1">
      <alignment vertical="center"/>
    </xf>
    <xf numFmtId="0" fontId="0" fillId="23" borderId="25" xfId="0" applyNumberFormat="1" applyFont="1" applyFill="1" applyBorder="1" applyAlignment="1" applyProtection="1">
      <alignment horizontal="left" vertical="center" wrapText="1"/>
    </xf>
    <xf numFmtId="3" fontId="46" fillId="0" borderId="0" xfId="1540" applyFont="1" applyFill="1" applyAlignment="1" applyProtection="1">
      <alignment vertical="center" wrapText="1"/>
    </xf>
    <xf numFmtId="39" fontId="0" fillId="0" borderId="29" xfId="439" applyNumberFormat="1" applyFont="1" applyBorder="1" applyAlignment="1" applyProtection="1">
      <alignment vertical="center"/>
    </xf>
    <xf numFmtId="181" fontId="0" fillId="75" borderId="28" xfId="439" applyNumberFormat="1" applyFont="1" applyFill="1" applyBorder="1" applyAlignment="1" applyProtection="1">
      <alignment vertical="center"/>
    </xf>
    <xf numFmtId="0" fontId="0" fillId="0" borderId="0" xfId="0" applyFont="1" applyAlignment="1">
      <alignment wrapText="1"/>
    </xf>
    <xf numFmtId="175" fontId="0" fillId="0" borderId="29" xfId="439" applyNumberFormat="1" applyFont="1" applyBorder="1" applyAlignment="1" applyProtection="1">
      <alignment vertical="center"/>
    </xf>
    <xf numFmtId="0" fontId="0" fillId="78" borderId="25" xfId="0" applyNumberFormat="1" applyFont="1" applyFill="1" applyBorder="1" applyAlignment="1" applyProtection="1">
      <alignment horizontal="left" vertical="center" wrapText="1"/>
    </xf>
    <xf numFmtId="0" fontId="174"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applyFont="1" applyFill="1" applyProtection="1"/>
    <xf numFmtId="0" fontId="60"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7"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39" fontId="0" fillId="78" borderId="28" xfId="439" applyNumberFormat="1" applyFont="1" applyFill="1" applyBorder="1" applyAlignment="1" applyProtection="1">
      <alignment vertical="center"/>
    </xf>
    <xf numFmtId="4" fontId="0" fillId="0" borderId="0" xfId="0" applyNumberFormat="1" applyFont="1" applyProtection="1"/>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5"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49" fontId="0" fillId="74" borderId="64" xfId="439" applyNumberFormat="1" applyFont="1" applyFill="1" applyBorder="1" applyAlignment="1" applyProtection="1">
      <alignment horizontal="center" vertical="center"/>
    </xf>
    <xf numFmtId="0" fontId="0" fillId="31" borderId="66" xfId="0" applyFont="1" applyFill="1" applyBorder="1"/>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0" fontId="0" fillId="78" borderId="0" xfId="0" applyFont="1" applyFill="1" applyBorder="1"/>
    <xf numFmtId="14" fontId="0" fillId="78" borderId="0" xfId="0" applyNumberFormat="1" applyFont="1" applyFill="1" applyAlignment="1" applyProtection="1">
      <alignment horizontal="center"/>
    </xf>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169" fontId="0" fillId="74" borderId="65"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28" xfId="439" applyNumberFormat="1" applyFont="1" applyFill="1" applyBorder="1" applyAlignment="1" applyProtection="1">
      <alignment vertical="center"/>
    </xf>
    <xf numFmtId="164" fontId="0" fillId="0" borderId="0" xfId="439" applyNumberFormat="1" applyFont="1" applyAlignment="1" applyProtection="1">
      <alignment vertical="center"/>
    </xf>
    <xf numFmtId="0" fontId="60"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6"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164" fontId="46" fillId="0" borderId="0" xfId="439" applyNumberFormat="1" applyFont="1" applyFill="1" applyProtection="1"/>
    <xf numFmtId="38" fontId="46" fillId="0" borderId="45" xfId="439" applyNumberFormat="1" applyFont="1" applyFill="1" applyBorder="1" applyAlignment="1" applyProtection="1">
      <alignment horizontal="center" vertical="center" wrapText="1"/>
    </xf>
    <xf numFmtId="0" fontId="40" fillId="0" borderId="59" xfId="0" applyFont="1" applyFill="1" applyBorder="1" applyAlignment="1">
      <alignment vertical="center"/>
    </xf>
    <xf numFmtId="174" fontId="40" fillId="28" borderId="0" xfId="439" applyNumberFormat="1" applyFont="1" applyFill="1" applyAlignment="1" applyProtection="1">
      <alignment horizontal="center" vertical="center"/>
      <protection locked="0"/>
    </xf>
    <xf numFmtId="181" fontId="160" fillId="82" borderId="0" xfId="30099" applyNumberFormat="1" applyFont="1" applyFill="1" applyAlignment="1">
      <alignment horizontal="right" vertical="top" indent="1" shrinkToFit="1"/>
    </xf>
    <xf numFmtId="0" fontId="46" fillId="0" borderId="0" xfId="30099" applyFont="1" applyAlignment="1">
      <alignment horizontal="left" vertical="top" wrapText="1" indent="1"/>
    </xf>
    <xf numFmtId="1" fontId="160" fillId="0" borderId="0" xfId="30099" applyNumberFormat="1" applyFont="1" applyAlignment="1">
      <alignment horizontal="center" vertical="top" shrinkToFit="1"/>
    </xf>
    <xf numFmtId="0" fontId="46" fillId="0" borderId="0" xfId="0" applyNumberFormat="1" applyFont="1" applyFill="1" applyAlignment="1" applyProtection="1">
      <alignment horizontal="left" vertical="center" wrapText="1"/>
    </xf>
    <xf numFmtId="181" fontId="160" fillId="0" borderId="0" xfId="30099" applyNumberFormat="1" applyFont="1" applyFill="1" applyAlignment="1">
      <alignment horizontal="right" vertical="top" indent="1" shrinkToFit="1"/>
    </xf>
    <xf numFmtId="1" fontId="160" fillId="82" borderId="0" xfId="30099" applyNumberFormat="1" applyFont="1" applyFill="1" applyAlignment="1">
      <alignment horizontal="left" vertical="top" indent="3" shrinkToFit="1"/>
    </xf>
    <xf numFmtId="181" fontId="160" fillId="0" borderId="0" xfId="30099" applyNumberFormat="1" applyFont="1" applyAlignment="1">
      <alignment horizontal="right" vertical="top" indent="1" shrinkToFit="1"/>
    </xf>
    <xf numFmtId="1" fontId="160" fillId="0" borderId="0" xfId="30099" applyNumberFormat="1" applyFont="1" applyFill="1" applyAlignment="1">
      <alignment horizontal="left" vertical="top" indent="3" shrinkToFit="1"/>
    </xf>
    <xf numFmtId="0" fontId="46" fillId="0" borderId="0" xfId="30099" applyFont="1" applyFill="1" applyAlignment="1">
      <alignment horizontal="left" vertical="top" wrapText="1"/>
    </xf>
    <xf numFmtId="164" fontId="34" fillId="0" borderId="0" xfId="439" applyNumberFormat="1" applyFont="1"/>
    <xf numFmtId="0" fontId="46" fillId="0" borderId="0" xfId="30099" applyFont="1" applyAlignment="1">
      <alignment horizontal="left" vertical="top" wrapText="1" indent="2"/>
    </xf>
    <xf numFmtId="0" fontId="55" fillId="0" borderId="0" xfId="0" applyFont="1" applyFill="1" applyAlignment="1" applyProtection="1">
      <alignment horizontal="left" vertical="center" wrapText="1"/>
    </xf>
    <xf numFmtId="164" fontId="34" fillId="0" borderId="0" xfId="439" applyNumberFormat="1" applyFont="1" applyAlignment="1">
      <alignment horizontal="center" vertical="center" wrapText="1"/>
    </xf>
    <xf numFmtId="0" fontId="34" fillId="0" borderId="0" xfId="439" applyNumberFormat="1" applyFont="1" applyAlignment="1">
      <alignment horizontal="center" vertical="center"/>
    </xf>
    <xf numFmtId="0" fontId="0" fillId="0" borderId="32" xfId="0" applyFont="1" applyFill="1" applyBorder="1" applyAlignment="1">
      <alignment horizontal="center" wrapText="1"/>
    </xf>
    <xf numFmtId="1" fontId="160" fillId="0" borderId="0" xfId="30099" applyNumberFormat="1" applyFont="1" applyFill="1" applyAlignment="1">
      <alignment horizontal="center" vertical="top" shrinkToFit="1"/>
    </xf>
    <xf numFmtId="0" fontId="46" fillId="0" borderId="0" xfId="0" applyFont="1" applyFill="1" applyAlignment="1" applyProtection="1">
      <alignment horizontal="left" vertical="center" wrapText="1"/>
      <protection hidden="1"/>
    </xf>
    <xf numFmtId="0" fontId="46" fillId="0" borderId="0" xfId="30099" applyFont="1" applyAlignment="1">
      <alignment horizontal="left" vertical="top" wrapText="1"/>
    </xf>
    <xf numFmtId="0" fontId="46" fillId="0" borderId="62" xfId="0" applyFont="1" applyFill="1" applyBorder="1" applyAlignment="1">
      <alignment vertical="center" wrapText="1"/>
    </xf>
    <xf numFmtId="1" fontId="160" fillId="82" borderId="0" xfId="30099" applyNumberFormat="1" applyFont="1" applyFill="1" applyAlignment="1">
      <alignment horizontal="center" vertical="top" shrinkToFit="1"/>
    </xf>
    <xf numFmtId="1" fontId="160" fillId="0" borderId="0" xfId="30099" applyNumberFormat="1" applyFont="1" applyAlignment="1">
      <alignment horizontal="left" vertical="top" indent="3" shrinkToFit="1"/>
    </xf>
    <xf numFmtId="0" fontId="46" fillId="0" borderId="0" xfId="30099" applyFont="1" applyAlignment="1">
      <alignment horizontal="center" vertical="top" wrapText="1"/>
    </xf>
    <xf numFmtId="0" fontId="160" fillId="0" borderId="0" xfId="30099" applyFont="1" applyAlignment="1">
      <alignment horizontal="left" wrapText="1"/>
    </xf>
    <xf numFmtId="0" fontId="46" fillId="82" borderId="0" xfId="30099" applyFont="1" applyFill="1" applyAlignment="1">
      <alignment horizontal="left" vertical="top" wrapText="1" indent="1"/>
    </xf>
    <xf numFmtId="0" fontId="46" fillId="82" borderId="0" xfId="30099" applyFont="1" applyFill="1" applyAlignment="1">
      <alignment horizontal="left" vertical="top" wrapText="1" indent="2"/>
    </xf>
    <xf numFmtId="0" fontId="0" fillId="0" borderId="0" xfId="0" applyFont="1" applyAlignment="1">
      <alignment horizontal="center" vertical="center" wrapText="1"/>
    </xf>
    <xf numFmtId="0" fontId="73" fillId="0" borderId="45" xfId="0" applyNumberFormat="1" applyFont="1" applyFill="1" applyBorder="1" applyAlignment="1" applyProtection="1">
      <alignment horizontal="left" vertical="center" wrapText="1"/>
    </xf>
    <xf numFmtId="0" fontId="65" fillId="0" borderId="62" xfId="0" applyFont="1" applyFill="1" applyBorder="1" applyAlignment="1">
      <alignment vertical="center" wrapText="1"/>
    </xf>
    <xf numFmtId="0" fontId="0" fillId="0" borderId="0" xfId="0" applyFont="1" applyProtection="1"/>
    <xf numFmtId="0" fontId="0" fillId="0" borderId="23" xfId="0" applyFont="1" applyFill="1" applyBorder="1" applyAlignment="1" applyProtection="1">
      <alignment vertical="center" wrapText="1"/>
    </xf>
    <xf numFmtId="0" fontId="0" fillId="22" borderId="0" xfId="0" applyFont="1" applyFill="1" applyBorder="1" applyAlignment="1" applyProtection="1">
      <alignment vertical="center"/>
    </xf>
    <xf numFmtId="0" fontId="0" fillId="0" borderId="0" xfId="0" applyNumberFormat="1" applyFont="1" applyFill="1" applyAlignment="1" applyProtection="1">
      <alignment horizontal="left" vertical="center" wrapText="1"/>
    </xf>
    <xf numFmtId="0" fontId="0" fillId="0" borderId="0" xfId="0" applyFont="1" applyProtection="1"/>
    <xf numFmtId="0" fontId="0" fillId="0" borderId="36" xfId="0" applyFont="1" applyFill="1" applyBorder="1" applyAlignment="1" applyProtection="1">
      <alignment vertical="center" wrapText="1"/>
    </xf>
    <xf numFmtId="0" fontId="0" fillId="22" borderId="0" xfId="0" applyFont="1" applyFill="1" applyBorder="1" applyAlignment="1" applyProtection="1">
      <alignment vertical="center"/>
    </xf>
    <xf numFmtId="0" fontId="40" fillId="0" borderId="0" xfId="0" applyFont="1" applyFill="1" applyAlignment="1" applyProtection="1">
      <alignment horizontal="right"/>
    </xf>
    <xf numFmtId="0" fontId="40"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40"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6" fillId="21" borderId="16" xfId="0" applyNumberFormat="1" applyFont="1" applyFill="1" applyBorder="1" applyProtection="1"/>
    <xf numFmtId="41" fontId="0" fillId="21" borderId="12" xfId="0" applyNumberFormat="1" applyFont="1" applyFill="1" applyBorder="1" applyAlignment="1" applyProtection="1">
      <alignment wrapText="1"/>
    </xf>
    <xf numFmtId="0" fontId="40" fillId="21" borderId="10" xfId="0" applyFont="1" applyFill="1" applyBorder="1" applyAlignment="1" applyProtection="1">
      <alignment horizontal="center" wrapText="1"/>
    </xf>
    <xf numFmtId="0" fontId="40" fillId="21" borderId="0" xfId="0" applyFont="1" applyFill="1" applyBorder="1" applyAlignment="1" applyProtection="1">
      <alignment horizontal="center"/>
    </xf>
    <xf numFmtId="164" fontId="73" fillId="21" borderId="12" xfId="439" applyNumberFormat="1" applyFont="1" applyFill="1" applyBorder="1" applyAlignment="1" applyProtection="1">
      <alignment horizontal="center" wrapText="1"/>
    </xf>
    <xf numFmtId="0" fontId="40" fillId="21" borderId="22" xfId="0" applyFont="1" applyFill="1" applyBorder="1" applyAlignment="1" applyProtection="1">
      <alignment horizontal="center" wrapText="1"/>
    </xf>
    <xf numFmtId="41" fontId="72" fillId="28" borderId="0" xfId="439" applyNumberFormat="1" applyFont="1" applyFill="1" applyAlignment="1" applyProtection="1">
      <alignment wrapText="1"/>
    </xf>
    <xf numFmtId="41" fontId="73"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72"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72" fillId="0" borderId="0" xfId="439" applyNumberFormat="1" applyFont="1" applyFill="1" applyAlignment="1" applyProtection="1">
      <alignment wrapText="1"/>
    </xf>
    <xf numFmtId="38" fontId="0" fillId="0" borderId="0" xfId="0" applyNumberFormat="1" applyFont="1" applyFill="1" applyAlignment="1" applyProtection="1">
      <alignment wrapText="1"/>
      <protection locked="0"/>
    </xf>
    <xf numFmtId="37" fontId="0" fillId="29" borderId="0" xfId="439" applyNumberFormat="1" applyFont="1" applyFill="1" applyAlignment="1" applyProtection="1">
      <alignment horizontal="center" vertical="center"/>
      <protection locked="0"/>
    </xf>
    <xf numFmtId="0" fontId="0" fillId="34" borderId="0" xfId="0" applyNumberFormat="1" applyFont="1" applyFill="1" applyAlignment="1" applyProtection="1">
      <alignment horizontal="left" vertical="center" wrapText="1"/>
    </xf>
    <xf numFmtId="41" fontId="72" fillId="0" borderId="0" xfId="0" applyNumberFormat="1" applyFont="1" applyFill="1" applyAlignment="1" applyProtection="1">
      <alignment wrapText="1"/>
    </xf>
    <xf numFmtId="0" fontId="72" fillId="0" borderId="0" xfId="0" applyFont="1" applyFill="1" applyProtection="1"/>
    <xf numFmtId="164" fontId="0" fillId="0" borderId="45" xfId="0" applyNumberFormat="1" applyFont="1" applyFill="1" applyBorder="1" applyAlignment="1" applyProtection="1">
      <alignment wrapText="1"/>
      <protection locked="0"/>
    </xf>
    <xf numFmtId="0" fontId="73" fillId="0" borderId="0" xfId="0" applyFont="1" applyFill="1" applyAlignment="1" applyProtection="1">
      <alignment wrapText="1"/>
    </xf>
    <xf numFmtId="0" fontId="40" fillId="0" borderId="0" xfId="0" applyFont="1" applyFill="1" applyAlignment="1" applyProtection="1">
      <alignment horizontal="center" vertical="center" wrapText="1"/>
    </xf>
    <xf numFmtId="0" fontId="73" fillId="0" borderId="0" xfId="0" applyFont="1" applyFill="1" applyAlignment="1" applyProtection="1">
      <alignment horizontal="left" wrapText="1" indent="2"/>
    </xf>
    <xf numFmtId="0" fontId="0" fillId="0" borderId="0" xfId="0" applyFont="1" applyBorder="1" applyAlignment="1" applyProtection="1">
      <alignment wrapText="1"/>
    </xf>
    <xf numFmtId="41" fontId="73" fillId="0" borderId="45" xfId="0" applyNumberFormat="1" applyFont="1" applyFill="1" applyBorder="1" applyAlignment="1" applyProtection="1">
      <alignment wrapText="1"/>
    </xf>
    <xf numFmtId="41" fontId="73" fillId="0" borderId="45" xfId="0" applyNumberFormat="1" applyFont="1" applyBorder="1" applyAlignment="1">
      <alignment wrapText="1"/>
    </xf>
    <xf numFmtId="41" fontId="73" fillId="0" borderId="0" xfId="0" applyNumberFormat="1" applyFont="1" applyFill="1" applyAlignment="1">
      <alignment wrapText="1"/>
    </xf>
    <xf numFmtId="37" fontId="0" fillId="0" borderId="0" xfId="0" applyNumberFormat="1" applyFont="1" applyAlignment="1" applyProtection="1">
      <alignment wrapText="1"/>
      <protection locked="0"/>
    </xf>
    <xf numFmtId="164" fontId="0" fillId="0" borderId="0" xfId="0" applyNumberFormat="1" applyFont="1" applyAlignment="1" applyProtection="1">
      <alignment wrapText="1"/>
      <protection locked="0"/>
    </xf>
    <xf numFmtId="41" fontId="73" fillId="0" borderId="0" xfId="0" applyNumberFormat="1" applyFont="1" applyAlignment="1">
      <alignment wrapText="1"/>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40" fillId="0" borderId="0" xfId="0" applyNumberFormat="1" applyFont="1" applyFill="1" applyAlignment="1" applyProtection="1">
      <alignment wrapText="1"/>
    </xf>
    <xf numFmtId="0" fontId="0" fillId="34" borderId="0" xfId="0" applyNumberFormat="1" applyFont="1" applyFill="1" applyAlignment="1" applyProtection="1">
      <alignment vertical="center" wrapText="1"/>
    </xf>
    <xf numFmtId="41" fontId="73" fillId="0" borderId="0" xfId="0" applyNumberFormat="1" applyFont="1" applyFill="1" applyAlignment="1" applyProtection="1">
      <alignment horizontal="center" wrapText="1"/>
    </xf>
    <xf numFmtId="0" fontId="4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39" fontId="0" fillId="0" borderId="0" xfId="439" applyNumberFormat="1" applyFont="1" applyFill="1" applyBorder="1" applyAlignment="1" applyProtection="1">
      <alignment horizontal="center" vertical="center" wrapText="1"/>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72" fillId="0" borderId="0" xfId="439" applyNumberFormat="1" applyFont="1" applyFill="1" applyAlignment="1" applyProtection="1">
      <alignment vertical="center" wrapText="1"/>
    </xf>
    <xf numFmtId="39" fontId="72"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40" fillId="0" borderId="0" xfId="0" applyFont="1" applyAlignment="1" applyProtection="1">
      <alignment wrapText="1"/>
      <protection locked="0"/>
    </xf>
    <xf numFmtId="2" fontId="0" fillId="0" borderId="0" xfId="0" applyNumberFormat="1" applyFont="1" applyFill="1" applyProtection="1"/>
    <xf numFmtId="2" fontId="0" fillId="0" borderId="0" xfId="0" applyNumberFormat="1" applyFont="1" applyAlignment="1" applyProtection="1">
      <alignment wrapText="1"/>
      <protection locked="0"/>
    </xf>
    <xf numFmtId="0" fontId="0" fillId="34" borderId="0" xfId="0" applyFont="1" applyFill="1" applyAlignment="1">
      <alignment vertical="center" wrapText="1"/>
    </xf>
    <xf numFmtId="0" fontId="40" fillId="0" borderId="0" xfId="0" applyFont="1" applyAlignment="1" applyProtection="1">
      <alignment horizontal="center" wrapText="1"/>
      <protection locked="0"/>
    </xf>
    <xf numFmtId="49" fontId="0" fillId="29" borderId="0" xfId="0" applyNumberFormat="1" applyFont="1" applyFill="1" applyProtection="1">
      <protection locked="0"/>
    </xf>
    <xf numFmtId="0" fontId="0" fillId="34" borderId="45" xfId="0" applyNumberFormat="1" applyFont="1" applyFill="1" applyBorder="1" applyAlignment="1" applyProtection="1">
      <alignment vertical="center" wrapText="1"/>
    </xf>
    <xf numFmtId="14" fontId="0" fillId="29" borderId="0" xfId="439" applyNumberFormat="1" applyFont="1" applyFill="1" applyAlignment="1" applyProtection="1">
      <alignment horizontal="left" vertical="center" wrapText="1"/>
      <protection locked="0"/>
    </xf>
    <xf numFmtId="14" fontId="0" fillId="0" borderId="0" xfId="0" applyNumberFormat="1" applyFont="1"/>
    <xf numFmtId="0" fontId="0" fillId="0" borderId="22" xfId="0" applyFont="1" applyFill="1" applyBorder="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72" fillId="0" borderId="0" xfId="439" applyNumberFormat="1" applyFont="1" applyFill="1" applyAlignment="1" applyProtection="1">
      <alignment vertical="center" wrapText="1"/>
      <protection locked="0"/>
    </xf>
    <xf numFmtId="0" fontId="40" fillId="31" borderId="37" xfId="0" applyFont="1" applyFill="1" applyBorder="1" applyAlignment="1">
      <alignment horizontal="center" vertical="center" wrapText="1"/>
    </xf>
    <xf numFmtId="0" fontId="40" fillId="31" borderId="39" xfId="0" applyFont="1" applyFill="1" applyBorder="1" applyAlignment="1">
      <alignment horizontal="center" vertical="center" wrapText="1"/>
    </xf>
    <xf numFmtId="41" fontId="72"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9" fontId="36" fillId="31" borderId="13" xfId="611"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40"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81" fillId="0" borderId="0" xfId="0" applyNumberFormat="1" applyFont="1" applyFill="1" applyAlignment="1" applyProtection="1">
      <alignment horizontal="left" vertical="center" wrapText="1"/>
    </xf>
    <xf numFmtId="0" fontId="0" fillId="0" borderId="45" xfId="0" applyFont="1" applyFill="1" applyBorder="1" applyAlignment="1" applyProtection="1">
      <alignment wrapText="1"/>
    </xf>
    <xf numFmtId="0" fontId="46" fillId="0" borderId="45" xfId="0" applyFont="1" applyFill="1" applyBorder="1" applyAlignment="1" applyProtection="1">
      <alignment wrapText="1"/>
    </xf>
    <xf numFmtId="0" fontId="181" fillId="0" borderId="0" xfId="0" applyFont="1" applyFill="1" applyAlignment="1" applyProtection="1">
      <alignment horizontal="left" vertical="center" wrapText="1"/>
    </xf>
    <xf numFmtId="0" fontId="65" fillId="0" borderId="36" xfId="0" applyNumberFormat="1" applyFont="1" applyFill="1" applyBorder="1" applyAlignment="1" applyProtection="1">
      <alignment horizontal="left" vertical="center" wrapText="1"/>
    </xf>
    <xf numFmtId="0" fontId="46" fillId="0" borderId="0" xfId="0" applyFont="1" applyFill="1" applyAlignment="1" applyProtection="1">
      <alignment wrapText="1"/>
    </xf>
    <xf numFmtId="0" fontId="65" fillId="0" borderId="0" xfId="0" applyFont="1" applyAlignment="1">
      <alignment wrapText="1"/>
    </xf>
    <xf numFmtId="0" fontId="46" fillId="0" borderId="45" xfId="0" applyFont="1" applyBorder="1" applyAlignment="1">
      <alignment horizontal="center" vertical="center" wrapText="1"/>
    </xf>
    <xf numFmtId="0" fontId="40" fillId="0" borderId="0" xfId="0" applyFont="1" applyFill="1" applyAlignment="1" applyProtection="1">
      <alignment horizontal="left" vertical="center" wrapText="1"/>
    </xf>
    <xf numFmtId="0" fontId="0" fillId="0" borderId="25" xfId="0" applyFont="1" applyFill="1" applyBorder="1" applyAlignment="1">
      <alignment horizontal="left" vertical="center" wrapText="1"/>
    </xf>
    <xf numFmtId="0" fontId="0" fillId="0" borderId="23" xfId="0" applyFont="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Fill="1" applyAlignment="1" applyProtection="1">
      <alignment vertical="center"/>
    </xf>
    <xf numFmtId="0" fontId="46" fillId="0" borderId="0" xfId="0" applyFont="1" applyFill="1" applyAlignment="1" applyProtection="1">
      <alignment horizontal="center" vertical="center" wrapText="1"/>
    </xf>
    <xf numFmtId="0" fontId="46"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6" fillId="0" borderId="45" xfId="0" applyFont="1" applyFill="1" applyBorder="1" applyAlignment="1" applyProtection="1">
      <alignment horizontal="center" vertical="center" wrapText="1"/>
    </xf>
    <xf numFmtId="0" fontId="40"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0" fillId="34"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46" fillId="34" borderId="0" xfId="0" applyFont="1" applyFill="1" applyAlignment="1" applyProtection="1">
      <alignment horizontal="center" vertical="center" wrapText="1"/>
    </xf>
    <xf numFmtId="0" fontId="65" fillId="0" borderId="0" xfId="0" applyFont="1" applyFill="1" applyAlignment="1" applyProtection="1">
      <alignment horizontal="center" vertical="center" wrapText="1"/>
    </xf>
    <xf numFmtId="3" fontId="188" fillId="0" borderId="0" xfId="1540" applyFont="1" applyFill="1" applyAlignment="1" applyProtection="1">
      <alignment vertical="center" wrapText="1"/>
    </xf>
    <xf numFmtId="0" fontId="61" fillId="0" borderId="0" xfId="30099" applyFont="1" applyFill="1" applyAlignment="1">
      <alignment horizontal="left" vertical="top" wrapText="1"/>
    </xf>
    <xf numFmtId="0" fontId="61" fillId="0" borderId="0" xfId="0" applyFont="1" applyFill="1" applyAlignment="1" applyProtection="1">
      <alignment vertical="center" wrapText="1"/>
    </xf>
    <xf numFmtId="0" fontId="0" fillId="34" borderId="45" xfId="0" applyFont="1" applyFill="1" applyBorder="1" applyAlignment="1" applyProtection="1">
      <alignment horizontal="center" vertical="center" wrapText="1"/>
    </xf>
    <xf numFmtId="0" fontId="40" fillId="0" borderId="0" xfId="0" applyFont="1" applyFill="1" applyAlignment="1" applyProtection="1">
      <alignment horizontal="center" vertical="center"/>
    </xf>
    <xf numFmtId="0" fontId="40" fillId="74" borderId="0" xfId="0" applyFont="1" applyFill="1" applyAlignment="1" applyProtection="1">
      <alignment horizontal="left" vertical="center" wrapText="1"/>
    </xf>
    <xf numFmtId="0" fontId="40" fillId="74" borderId="0" xfId="0" applyFont="1" applyFill="1" applyAlignment="1" applyProtection="1">
      <alignment vertical="center" wrapText="1"/>
    </xf>
    <xf numFmtId="0" fontId="40" fillId="74" borderId="0" xfId="0" applyFont="1" applyFill="1" applyAlignment="1" applyProtection="1">
      <alignment vertical="center"/>
    </xf>
    <xf numFmtId="0" fontId="40" fillId="74" borderId="0" xfId="0" applyFont="1" applyFill="1" applyAlignment="1" applyProtection="1"/>
    <xf numFmtId="0" fontId="0" fillId="74" borderId="0" xfId="0" applyFont="1" applyFill="1" applyAlignment="1" applyProtection="1"/>
    <xf numFmtId="0" fontId="40" fillId="74" borderId="0" xfId="0" applyFont="1" applyFill="1" applyAlignment="1" applyProtection="1">
      <alignment wrapText="1"/>
    </xf>
    <xf numFmtId="2" fontId="40" fillId="74" borderId="0" xfId="0" applyNumberFormat="1" applyFont="1" applyFill="1" applyAlignment="1" applyProtection="1">
      <alignment horizontal="center" vertical="center" wrapText="1"/>
      <protection locked="0"/>
    </xf>
    <xf numFmtId="0" fontId="73"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72" fillId="74" borderId="0" xfId="439" applyNumberFormat="1" applyFont="1" applyFill="1" applyAlignment="1" applyProtection="1">
      <alignment wrapText="1"/>
    </xf>
    <xf numFmtId="0" fontId="4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73" fillId="74" borderId="0" xfId="439" applyNumberFormat="1" applyFont="1" applyFill="1" applyAlignment="1" applyProtection="1">
      <alignment wrapText="1"/>
    </xf>
    <xf numFmtId="0" fontId="61" fillId="74" borderId="0" xfId="0" applyFont="1" applyFill="1" applyAlignment="1" applyProtection="1">
      <alignment horizontal="left" vertical="center"/>
    </xf>
    <xf numFmtId="0" fontId="46"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40" fillId="74" borderId="0" xfId="439" applyNumberFormat="1" applyFont="1" applyFill="1" applyAlignment="1" applyProtection="1">
      <alignment horizontal="center" vertical="center"/>
      <protection locked="0"/>
    </xf>
    <xf numFmtId="41" fontId="73" fillId="74" borderId="0" xfId="0" applyNumberFormat="1" applyFont="1" applyFill="1" applyAlignment="1" applyProtection="1">
      <alignment wrapText="1"/>
    </xf>
    <xf numFmtId="0" fontId="40" fillId="74" borderId="0" xfId="0" applyFont="1" applyFill="1" applyAlignment="1" applyProtection="1">
      <alignment horizontal="center" vertical="center"/>
      <protection locked="0"/>
    </xf>
    <xf numFmtId="0" fontId="73" fillId="74" borderId="0" xfId="0" applyFont="1" applyFill="1" applyAlignment="1" applyProtection="1"/>
    <xf numFmtId="0" fontId="40" fillId="74" borderId="0" xfId="0" applyFont="1" applyFill="1" applyAlignment="1" applyProtection="1">
      <alignment horizontal="center" vertical="center" wrapText="1"/>
      <protection locked="0"/>
    </xf>
    <xf numFmtId="0" fontId="73" fillId="74" borderId="0" xfId="0" applyFont="1" applyFill="1" applyAlignment="1" applyProtection="1">
      <alignment horizontal="left" wrapText="1" indent="2"/>
    </xf>
    <xf numFmtId="0" fontId="40"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40"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0" fontId="65" fillId="74" borderId="0" xfId="0" applyFont="1" applyFill="1" applyAlignment="1" applyProtection="1">
      <alignment horizontal="left" vertical="center"/>
    </xf>
    <xf numFmtId="3" fontId="40" fillId="74" borderId="0" xfId="0" applyNumberFormat="1" applyFont="1" applyFill="1" applyAlignment="1" applyProtection="1">
      <alignment horizontal="center" vertical="center"/>
      <protection locked="0"/>
    </xf>
    <xf numFmtId="3" fontId="40" fillId="74" borderId="0" xfId="0" applyNumberFormat="1" applyFont="1" applyFill="1" applyAlignment="1" applyProtection="1">
      <alignment horizontal="center" vertical="center" wrapText="1"/>
      <protection locked="0"/>
    </xf>
    <xf numFmtId="0" fontId="73" fillId="74" borderId="0" xfId="0" applyFont="1" applyFill="1" applyAlignment="1" applyProtection="1">
      <alignment vertical="center"/>
    </xf>
    <xf numFmtId="3" fontId="40" fillId="74" borderId="0" xfId="439" applyNumberFormat="1" applyFont="1" applyFill="1" applyAlignment="1" applyProtection="1">
      <alignment horizontal="center" vertical="center"/>
      <protection locked="0"/>
    </xf>
    <xf numFmtId="38" fontId="46"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40" fillId="74" borderId="0" xfId="0" applyNumberFormat="1" applyFont="1" applyFill="1" applyAlignment="1" applyProtection="1">
      <alignment wrapText="1"/>
    </xf>
    <xf numFmtId="164" fontId="40" fillId="74" borderId="0" xfId="439" applyNumberFormat="1" applyFont="1" applyFill="1" applyAlignment="1" applyProtection="1">
      <alignment horizontal="center" wrapText="1"/>
    </xf>
    <xf numFmtId="3" fontId="40" fillId="74" borderId="0" xfId="439" applyNumberFormat="1" applyFont="1" applyFill="1" applyAlignment="1" applyProtection="1">
      <alignment horizontal="center" vertical="center" wrapText="1"/>
    </xf>
    <xf numFmtId="41" fontId="72" fillId="74" borderId="0" xfId="0" applyNumberFormat="1" applyFont="1" applyFill="1" applyAlignment="1" applyProtection="1">
      <alignment wrapText="1"/>
    </xf>
    <xf numFmtId="3" fontId="40"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6" fillId="74" borderId="0" xfId="439" applyNumberFormat="1" applyFont="1" applyFill="1" applyProtection="1"/>
    <xf numFmtId="0" fontId="190" fillId="74" borderId="0" xfId="0" applyFont="1" applyFill="1" applyAlignment="1" applyProtection="1">
      <alignment horizontal="left" vertical="center"/>
    </xf>
    <xf numFmtId="37" fontId="0" fillId="74" borderId="0" xfId="439" applyNumberFormat="1" applyFont="1" applyFill="1" applyAlignment="1" applyProtection="1">
      <alignment horizontal="center" vertical="center"/>
    </xf>
    <xf numFmtId="38" fontId="40" fillId="74" borderId="0" xfId="0" applyNumberFormat="1" applyFont="1" applyFill="1" applyAlignment="1" applyProtection="1">
      <alignment horizontal="left" vertical="center"/>
    </xf>
    <xf numFmtId="0" fontId="73"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40"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91" fillId="74" borderId="0" xfId="0" applyFont="1" applyFill="1" applyAlignment="1" applyProtection="1">
      <alignment horizontal="left" vertical="center"/>
    </xf>
    <xf numFmtId="0" fontId="85" fillId="74" borderId="0" xfId="0" applyFont="1" applyFill="1" applyAlignment="1" applyProtection="1">
      <alignment vertical="center"/>
    </xf>
    <xf numFmtId="0" fontId="192" fillId="74" borderId="0" xfId="0" applyFont="1" applyFill="1" applyAlignment="1" applyProtection="1">
      <alignment vertical="center"/>
      <protection locked="0"/>
    </xf>
    <xf numFmtId="0" fontId="65" fillId="74" borderId="36" xfId="0" applyNumberFormat="1" applyFont="1" applyFill="1" applyBorder="1" applyAlignment="1" applyProtection="1">
      <alignment horizontal="left" vertical="center" wrapText="1"/>
    </xf>
    <xf numFmtId="0" fontId="55" fillId="74" borderId="0" xfId="0" applyNumberFormat="1" applyFont="1" applyFill="1" applyAlignment="1" applyProtection="1">
      <alignment horizontal="left" vertical="center" wrapText="1"/>
    </xf>
    <xf numFmtId="168" fontId="40" fillId="29" borderId="0" xfId="439" applyNumberFormat="1" applyFont="1" applyFill="1" applyAlignment="1" applyProtection="1">
      <alignment horizontal="center" vertical="center"/>
      <protection locked="0"/>
    </xf>
    <xf numFmtId="0" fontId="61" fillId="74" borderId="0" xfId="0" applyFont="1" applyFill="1" applyAlignment="1">
      <alignment vertical="center" wrapText="1"/>
    </xf>
    <xf numFmtId="41" fontId="73" fillId="36" borderId="114" xfId="439" applyNumberFormat="1" applyFont="1" applyFill="1" applyBorder="1" applyAlignment="1">
      <alignment vertical="center" wrapText="1"/>
    </xf>
    <xf numFmtId="41" fontId="73" fillId="36" borderId="0" xfId="439" applyNumberFormat="1" applyFont="1" applyFill="1" applyAlignment="1">
      <alignment vertical="center" wrapText="1"/>
    </xf>
    <xf numFmtId="41" fontId="73" fillId="36" borderId="115" xfId="439" applyNumberFormat="1" applyFont="1" applyFill="1" applyBorder="1" applyAlignment="1">
      <alignment vertical="center" wrapText="1"/>
    </xf>
    <xf numFmtId="41" fontId="193" fillId="0" borderId="0" xfId="0" applyNumberFormat="1" applyFont="1" applyFill="1" applyAlignment="1" applyProtection="1">
      <alignment wrapText="1"/>
    </xf>
    <xf numFmtId="0" fontId="61" fillId="74" borderId="0" xfId="0" applyFont="1" applyFill="1" applyAlignment="1" applyProtection="1">
      <alignment vertical="center"/>
    </xf>
    <xf numFmtId="174" fontId="0" fillId="0" borderId="29" xfId="439" applyNumberFormat="1" applyFont="1" applyBorder="1" applyAlignment="1" applyProtection="1">
      <alignment vertical="center"/>
    </xf>
    <xf numFmtId="38" fontId="46" fillId="22" borderId="0" xfId="439" applyNumberFormat="1" applyFont="1" applyFill="1" applyAlignment="1" applyProtection="1">
      <alignment horizontal="center" vertical="center" wrapText="1"/>
    </xf>
    <xf numFmtId="167" fontId="0" fillId="80" borderId="88" xfId="545" applyNumberFormat="1" applyFont="1" applyFill="1" applyBorder="1"/>
    <xf numFmtId="37" fontId="0" fillId="0" borderId="104" xfId="0" applyNumberFormat="1" applyFont="1" applyFill="1" applyBorder="1" applyAlignment="1">
      <alignment horizontal="center" wrapText="1"/>
    </xf>
    <xf numFmtId="37" fontId="85" fillId="0" borderId="104" xfId="0" applyNumberFormat="1" applyFont="1" applyFill="1" applyBorder="1" applyAlignment="1">
      <alignment horizontal="center" wrapText="1"/>
    </xf>
    <xf numFmtId="41" fontId="73" fillId="0" borderId="0" xfId="0" applyNumberFormat="1" applyFont="1" applyFill="1" applyAlignment="1" applyProtection="1">
      <alignment vertical="center" wrapText="1"/>
    </xf>
    <xf numFmtId="0" fontId="0" fillId="78" borderId="10" xfId="0" applyFont="1" applyFill="1" applyBorder="1" applyAlignment="1">
      <alignment horizontal="left" vertical="center" wrapText="1"/>
    </xf>
    <xf numFmtId="0" fontId="163" fillId="73" borderId="57" xfId="0" applyFont="1" applyFill="1" applyBorder="1" applyAlignment="1">
      <alignment vertical="center" wrapText="1"/>
    </xf>
    <xf numFmtId="166" fontId="0" fillId="21" borderId="16" xfId="0" applyNumberFormat="1" applyFont="1" applyFill="1" applyBorder="1" applyProtection="1"/>
    <xf numFmtId="2" fontId="0" fillId="0" borderId="10" xfId="0" applyNumberFormat="1" applyFont="1" applyFill="1" applyBorder="1" applyAlignment="1">
      <alignment horizontal="center" wrapText="1"/>
    </xf>
    <xf numFmtId="37" fontId="0" fillId="0" borderId="10" xfId="0" applyNumberFormat="1" applyFont="1" applyFill="1" applyBorder="1" applyAlignment="1">
      <alignment horizontal="center" wrapText="1"/>
    </xf>
    <xf numFmtId="2" fontId="0" fillId="0" borderId="87" xfId="0" applyNumberFormat="1" applyFont="1" applyFill="1" applyBorder="1" applyAlignment="1">
      <alignment horizontal="center" wrapText="1"/>
    </xf>
    <xf numFmtId="37" fontId="0" fillId="0" borderId="90" xfId="0" applyNumberFormat="1" applyFont="1" applyFill="1" applyBorder="1" applyAlignment="1">
      <alignment horizontal="center" wrapText="1"/>
    </xf>
    <xf numFmtId="10" fontId="0" fillId="0" borderId="96" xfId="0" applyNumberFormat="1" applyFont="1" applyFill="1" applyBorder="1" applyAlignment="1">
      <alignment horizontal="center" wrapText="1"/>
    </xf>
    <xf numFmtId="0" fontId="40" fillId="78" borderId="10" xfId="0" applyFont="1" applyFill="1" applyBorder="1" applyAlignment="1">
      <alignment wrapText="1"/>
    </xf>
    <xf numFmtId="0" fontId="40" fillId="78" borderId="116" xfId="0" applyFont="1" applyFill="1" applyBorder="1" applyAlignment="1">
      <alignment wrapText="1"/>
    </xf>
    <xf numFmtId="10" fontId="0" fillId="0" borderId="85" xfId="4688" applyNumberFormat="1" applyFont="1" applyFill="1" applyBorder="1"/>
    <xf numFmtId="10" fontId="0" fillId="0" borderId="85" xfId="0" applyNumberFormat="1" applyFont="1" applyFill="1" applyBorder="1" applyAlignment="1">
      <alignment horizontal="center" wrapText="1"/>
    </xf>
    <xf numFmtId="0" fontId="0" fillId="0" borderId="117" xfId="0" applyFont="1" applyFill="1" applyBorder="1" applyProtection="1">
      <protection locked="0"/>
    </xf>
    <xf numFmtId="37" fontId="0" fillId="0" borderId="10" xfId="0" applyNumberFormat="1" applyFont="1" applyFill="1" applyBorder="1"/>
    <xf numFmtId="0" fontId="0" fillId="78" borderId="10" xfId="0" applyFont="1" applyFill="1" applyBorder="1" applyAlignment="1">
      <alignment horizontal="center" wrapText="1"/>
    </xf>
    <xf numFmtId="3" fontId="46" fillId="0" borderId="0" xfId="439" applyNumberFormat="1" applyFont="1" applyFill="1" applyAlignment="1" applyProtection="1">
      <alignment horizontal="center" vertical="center" wrapText="1"/>
    </xf>
    <xf numFmtId="0" fontId="0" fillId="78" borderId="87" xfId="0" applyFont="1" applyFill="1" applyBorder="1" applyAlignment="1">
      <alignment vertical="center" wrapText="1"/>
    </xf>
    <xf numFmtId="0" fontId="0" fillId="78" borderId="97" xfId="0" applyFont="1" applyFill="1" applyBorder="1" applyAlignment="1">
      <alignment vertical="center" wrapText="1"/>
    </xf>
    <xf numFmtId="0" fontId="0" fillId="78" borderId="103" xfId="0" applyFont="1" applyFill="1" applyBorder="1" applyAlignment="1">
      <alignment vertical="center" wrapText="1"/>
    </xf>
    <xf numFmtId="0" fontId="0" fillId="78" borderId="96" xfId="0" applyFont="1" applyFill="1" applyBorder="1" applyAlignment="1">
      <alignment vertical="center" wrapText="1"/>
    </xf>
    <xf numFmtId="0" fontId="0" fillId="78" borderId="10" xfId="0" quotePrefix="1" applyFont="1" applyFill="1" applyBorder="1" applyAlignment="1">
      <alignment horizontal="center" vertical="center" wrapText="1"/>
    </xf>
    <xf numFmtId="0" fontId="0" fillId="78" borderId="85" xfId="0" quotePrefix="1" applyFont="1" applyFill="1" applyBorder="1" applyAlignment="1">
      <alignment horizontal="center" vertical="center" wrapText="1"/>
    </xf>
    <xf numFmtId="0" fontId="0" fillId="78" borderId="85" xfId="0" applyFont="1" applyFill="1" applyBorder="1" applyAlignment="1">
      <alignment vertical="center" wrapText="1"/>
    </xf>
    <xf numFmtId="164" fontId="46" fillId="0" borderId="10" xfId="439" applyNumberFormat="1" applyFont="1" applyFill="1" applyBorder="1" applyAlignment="1">
      <alignment horizontal="center"/>
    </xf>
    <xf numFmtId="0" fontId="0" fillId="78" borderId="0" xfId="0" applyFont="1" applyFill="1" applyBorder="1" applyProtection="1">
      <protection locked="0"/>
    </xf>
    <xf numFmtId="0" fontId="173" fillId="78" borderId="118" xfId="0" applyFont="1" applyFill="1" applyBorder="1" applyAlignment="1">
      <alignment wrapText="1"/>
    </xf>
    <xf numFmtId="9" fontId="0" fillId="78" borderId="85" xfId="4688" applyFont="1" applyFill="1" applyBorder="1" applyAlignment="1">
      <alignment horizontal="center" wrapText="1"/>
    </xf>
    <xf numFmtId="0" fontId="0" fillId="78" borderId="96" xfId="0" applyFont="1" applyFill="1" applyBorder="1" applyAlignment="1">
      <alignment horizontal="center" vertical="center" wrapText="1"/>
    </xf>
    <xf numFmtId="37" fontId="0" fillId="78" borderId="104" xfId="0" applyNumberFormat="1" applyFont="1" applyFill="1" applyBorder="1" applyAlignment="1">
      <alignment horizontal="center" wrapText="1"/>
    </xf>
    <xf numFmtId="0" fontId="0" fillId="78" borderId="99" xfId="0" applyFont="1" applyFill="1" applyBorder="1" applyProtection="1">
      <protection locked="0"/>
    </xf>
    <xf numFmtId="43" fontId="0" fillId="0" borderId="10" xfId="439" applyNumberFormat="1" applyFont="1" applyFill="1" applyBorder="1" applyAlignment="1">
      <alignment horizontal="center"/>
    </xf>
    <xf numFmtId="43" fontId="46" fillId="0" borderId="10" xfId="439" applyNumberFormat="1" applyFont="1" applyFill="1" applyBorder="1" applyAlignment="1">
      <alignment horizontal="center"/>
    </xf>
    <xf numFmtId="0" fontId="135" fillId="78" borderId="15" xfId="30099" applyFont="1" applyFill="1" applyBorder="1" applyAlignment="1">
      <alignment horizontal="left" wrapText="1"/>
    </xf>
    <xf numFmtId="0" fontId="135" fillId="78" borderId="0" xfId="30099" applyFont="1" applyFill="1" applyAlignment="1">
      <alignment horizontal="left" wrapText="1"/>
    </xf>
    <xf numFmtId="0" fontId="135" fillId="78" borderId="60" xfId="30099" applyFont="1" applyFill="1" applyBorder="1" applyAlignment="1">
      <alignment horizontal="left" wrapText="1"/>
    </xf>
    <xf numFmtId="0" fontId="0" fillId="0" borderId="0" xfId="0" applyAlignment="1">
      <alignment wrapText="1"/>
    </xf>
    <xf numFmtId="0" fontId="0" fillId="0" borderId="0" xfId="0" applyAlignment="1">
      <alignment horizontal="left"/>
    </xf>
    <xf numFmtId="0" fontId="0" fillId="0" borderId="119" xfId="0" applyBorder="1"/>
    <xf numFmtId="0" fontId="0" fillId="0" borderId="82" xfId="0" applyBorder="1"/>
    <xf numFmtId="0" fontId="0" fillId="0" borderId="83" xfId="0" applyBorder="1"/>
    <xf numFmtId="0" fontId="0" fillId="0" borderId="122" xfId="0" applyBorder="1"/>
    <xf numFmtId="0" fontId="197" fillId="0" borderId="10" xfId="0" applyFont="1" applyBorder="1" applyAlignment="1">
      <alignment horizontal="center" vertical="center" wrapText="1"/>
    </xf>
    <xf numFmtId="0" fontId="0" fillId="0" borderId="75" xfId="0" applyBorder="1" applyAlignment="1">
      <alignment horizontal="center" wrapText="1"/>
    </xf>
    <xf numFmtId="1" fontId="0" fillId="0" borderId="0" xfId="0" applyNumberFormat="1"/>
    <xf numFmtId="0" fontId="197" fillId="0" borderId="85" xfId="0" applyFont="1" applyBorder="1" applyAlignment="1">
      <alignment horizontal="center" vertical="center" wrapText="1"/>
    </xf>
    <xf numFmtId="0" fontId="0" fillId="0" borderId="0" xfId="0" applyAlignment="1">
      <alignment horizontal="center" wrapText="1"/>
    </xf>
    <xf numFmtId="37" fontId="0" fillId="0" borderId="0" xfId="0" applyNumberFormat="1"/>
    <xf numFmtId="0" fontId="0" fillId="78" borderId="123" xfId="0" applyFill="1" applyBorder="1" applyAlignment="1">
      <alignment horizontal="left" vertical="center" wrapText="1"/>
    </xf>
    <xf numFmtId="0" fontId="51" fillId="78" borderId="57" xfId="0" applyFont="1" applyFill="1" applyBorder="1" applyAlignment="1">
      <alignment horizontal="center" wrapText="1"/>
    </xf>
    <xf numFmtId="0" fontId="0" fillId="78" borderId="11" xfId="0" quotePrefix="1" applyFill="1" applyBorder="1" applyAlignment="1">
      <alignment horizontal="center" wrapText="1"/>
    </xf>
    <xf numFmtId="0" fontId="0" fillId="78" borderId="73" xfId="0" applyFill="1" applyBorder="1" applyAlignment="1">
      <alignment horizontal="left" vertical="center" wrapText="1"/>
    </xf>
    <xf numFmtId="10" fontId="0" fillId="0" borderId="0" xfId="0" applyNumberFormat="1"/>
    <xf numFmtId="9" fontId="0" fillId="0" borderId="0" xfId="4688" applyFont="1" applyFill="1" applyBorder="1"/>
    <xf numFmtId="10" fontId="0" fillId="0" borderId="82" xfId="0" applyNumberFormat="1" applyBorder="1"/>
    <xf numFmtId="0" fontId="0" fillId="0" borderId="57" xfId="0" applyBorder="1" applyAlignment="1">
      <alignment horizontal="center" vertical="center" wrapText="1"/>
    </xf>
    <xf numFmtId="10" fontId="0" fillId="0" borderId="57" xfId="0" applyNumberFormat="1" applyBorder="1" applyAlignment="1">
      <alignment horizontal="center" vertical="center" wrapText="1"/>
    </xf>
    <xf numFmtId="0" fontId="0" fillId="78" borderId="16" xfId="0" quotePrefix="1" applyFill="1" applyBorder="1" applyAlignment="1">
      <alignment horizontal="center" wrapText="1"/>
    </xf>
    <xf numFmtId="0" fontId="0" fillId="78" borderId="57" xfId="0" applyFill="1" applyBorder="1" applyAlignment="1">
      <alignment vertical="center" wrapText="1"/>
    </xf>
    <xf numFmtId="0" fontId="61" fillId="78" borderId="13" xfId="0" applyFont="1" applyFill="1" applyBorder="1" applyAlignment="1">
      <alignment wrapText="1"/>
    </xf>
    <xf numFmtId="0" fontId="40" fillId="78" borderId="16" xfId="0" applyFont="1" applyFill="1" applyBorder="1" applyAlignment="1">
      <alignment horizontal="center"/>
    </xf>
    <xf numFmtId="0" fontId="0" fillId="78" borderId="11" xfId="0" applyFill="1" applyBorder="1" applyAlignment="1">
      <alignment wrapText="1"/>
    </xf>
    <xf numFmtId="0" fontId="61" fillId="78" borderId="11" xfId="0" applyFont="1" applyFill="1" applyBorder="1" applyAlignment="1">
      <alignment horizontal="center" vertical="center" wrapText="1"/>
    </xf>
    <xf numFmtId="2" fontId="0" fillId="0" borderId="0" xfId="0" applyNumberFormat="1"/>
    <xf numFmtId="168" fontId="0" fillId="0" borderId="0" xfId="0" applyNumberFormat="1"/>
    <xf numFmtId="168" fontId="0" fillId="0" borderId="82" xfId="0" applyNumberFormat="1" applyBorder="1"/>
    <xf numFmtId="168" fontId="0" fillId="0" borderId="83" xfId="0" applyNumberFormat="1" applyBorder="1"/>
    <xf numFmtId="0" fontId="40" fillId="0" borderId="40" xfId="0" applyFont="1" applyBorder="1" applyAlignment="1">
      <alignment vertical="center" wrapText="1"/>
    </xf>
    <xf numFmtId="2" fontId="0" fillId="0" borderId="41" xfId="0" applyNumberFormat="1" applyBorder="1" applyAlignment="1">
      <alignment horizontal="center"/>
    </xf>
    <xf numFmtId="2" fontId="0" fillId="0" borderId="42" xfId="0" applyNumberFormat="1" applyBorder="1" applyAlignment="1">
      <alignment horizontal="center"/>
    </xf>
    <xf numFmtId="0" fontId="0" fillId="0" borderId="73" xfId="0" applyBorder="1" applyAlignment="1">
      <alignment horizontal="center" vertical="center" wrapText="1"/>
    </xf>
    <xf numFmtId="2" fontId="0" fillId="0" borderId="73" xfId="0" applyNumberFormat="1" applyBorder="1" applyAlignment="1">
      <alignment horizontal="center" vertical="center"/>
    </xf>
    <xf numFmtId="0" fontId="0" fillId="78" borderId="124" xfId="0" applyFill="1" applyBorder="1" applyAlignment="1">
      <alignment horizontal="center" vertical="center" wrapText="1"/>
    </xf>
    <xf numFmtId="0" fontId="40" fillId="0" borderId="37" xfId="0" applyFont="1" applyBorder="1" applyAlignment="1">
      <alignment vertical="center" wrapText="1"/>
    </xf>
    <xf numFmtId="0" fontId="40" fillId="0" borderId="71" xfId="0" applyFont="1" applyBorder="1" applyAlignment="1">
      <alignment horizontal="center"/>
    </xf>
    <xf numFmtId="0" fontId="0" fillId="78" borderId="60" xfId="0" applyFill="1" applyBorder="1" applyAlignment="1">
      <alignment horizontal="center" vertical="center" wrapText="1"/>
    </xf>
    <xf numFmtId="0" fontId="40" fillId="78" borderId="57" xfId="0" applyFont="1" applyFill="1" applyBorder="1" applyAlignment="1">
      <alignment vertical="center" wrapText="1"/>
    </xf>
    <xf numFmtId="42" fontId="0" fillId="0" borderId="57" xfId="0" applyNumberFormat="1" applyBorder="1" applyAlignment="1">
      <alignment horizontal="center"/>
    </xf>
    <xf numFmtId="0" fontId="0" fillId="0" borderId="57" xfId="0" applyBorder="1" applyAlignment="1">
      <alignment horizontal="center" wrapText="1"/>
    </xf>
    <xf numFmtId="0" fontId="0" fillId="78" borderId="57" xfId="0" applyFill="1" applyBorder="1" applyAlignment="1">
      <alignment horizontal="center" vertical="center" wrapText="1"/>
    </xf>
    <xf numFmtId="0" fontId="0" fillId="78" borderId="57" xfId="0" applyFill="1" applyBorder="1" applyAlignment="1">
      <alignment wrapText="1"/>
    </xf>
    <xf numFmtId="167" fontId="0" fillId="0" borderId="0" xfId="545" applyNumberFormat="1" applyFont="1" applyFill="1" applyBorder="1"/>
    <xf numFmtId="10" fontId="0" fillId="0" borderId="57" xfId="4688" applyNumberFormat="1" applyFont="1" applyFill="1" applyBorder="1" applyAlignment="1">
      <alignment horizontal="center"/>
    </xf>
    <xf numFmtId="10" fontId="0" fillId="0" borderId="57" xfId="0" applyNumberFormat="1" applyBorder="1" applyAlignment="1">
      <alignment horizontal="center"/>
    </xf>
    <xf numFmtId="10" fontId="0" fillId="0" borderId="0" xfId="4688" applyNumberFormat="1" applyFont="1" applyFill="1" applyBorder="1"/>
    <xf numFmtId="37" fontId="0" fillId="0" borderId="57" xfId="0" applyNumberFormat="1" applyBorder="1" applyAlignment="1">
      <alignment horizontal="center" wrapText="1"/>
    </xf>
    <xf numFmtId="37" fontId="0" fillId="85" borderId="57" xfId="0" applyNumberFormat="1" applyFill="1" applyBorder="1" applyAlignment="1">
      <alignment horizontal="center" wrapText="1"/>
    </xf>
    <xf numFmtId="43" fontId="0" fillId="0" borderId="0" xfId="439" applyFont="1" applyFill="1" applyBorder="1"/>
    <xf numFmtId="0" fontId="40" fillId="0" borderId="125" xfId="0" applyFont="1" applyBorder="1" applyAlignment="1">
      <alignment wrapText="1"/>
    </xf>
    <xf numFmtId="0" fontId="0" fillId="0" borderId="86" xfId="0" applyBorder="1"/>
    <xf numFmtId="0" fontId="0" fillId="0" borderId="86" xfId="0" applyBorder="1" applyAlignment="1">
      <alignment horizontal="center" wrapText="1"/>
    </xf>
    <xf numFmtId="0" fontId="0" fillId="0" borderId="86" xfId="0" applyBorder="1" applyAlignment="1">
      <alignment wrapText="1"/>
    </xf>
    <xf numFmtId="0" fontId="0" fillId="73" borderId="126" xfId="0" applyFill="1" applyBorder="1" applyAlignment="1">
      <alignment wrapText="1"/>
    </xf>
    <xf numFmtId="0" fontId="61" fillId="78" borderId="39" xfId="0" applyFont="1" applyFill="1" applyBorder="1" applyAlignment="1">
      <alignment horizontal="center" wrapText="1"/>
    </xf>
    <xf numFmtId="2" fontId="0" fillId="0" borderId="0" xfId="439" applyNumberFormat="1" applyFont="1" applyFill="1" applyBorder="1"/>
    <xf numFmtId="39" fontId="0" fillId="0" borderId="0" xfId="0" applyNumberFormat="1"/>
    <xf numFmtId="0" fontId="0" fillId="78" borderId="57" xfId="0" applyFill="1" applyBorder="1" applyAlignment="1">
      <alignment horizontal="left" vertical="center" wrapText="1"/>
    </xf>
    <xf numFmtId="0" fontId="40" fillId="0" borderId="57" xfId="0" applyFont="1" applyBorder="1" applyAlignment="1">
      <alignment vertical="center" wrapText="1"/>
    </xf>
    <xf numFmtId="0" fontId="40" fillId="0" borderId="57" xfId="0" applyFont="1" applyBorder="1" applyAlignment="1">
      <alignment horizontal="center"/>
    </xf>
    <xf numFmtId="167" fontId="0" fillId="0" borderId="57" xfId="545" applyNumberFormat="1" applyFont="1" applyFill="1" applyBorder="1" applyAlignment="1">
      <alignment horizontal="center"/>
    </xf>
    <xf numFmtId="0" fontId="40" fillId="0" borderId="127" xfId="0" applyFont="1" applyBorder="1" applyAlignment="1">
      <alignment wrapText="1"/>
    </xf>
    <xf numFmtId="0" fontId="0" fillId="0" borderId="128" xfId="0" applyBorder="1"/>
    <xf numFmtId="0" fontId="0" fillId="0" borderId="128" xfId="0" applyBorder="1" applyAlignment="1">
      <alignment horizontal="center" wrapText="1"/>
    </xf>
    <xf numFmtId="0" fontId="0" fillId="0" borderId="128" xfId="0" applyBorder="1" applyAlignment="1">
      <alignment wrapText="1"/>
    </xf>
    <xf numFmtId="0" fontId="0" fillId="78" borderId="86" xfId="0" applyFill="1" applyBorder="1"/>
    <xf numFmtId="0" fontId="40" fillId="78" borderId="91" xfId="0" applyFont="1" applyFill="1" applyBorder="1" applyAlignment="1">
      <alignment horizontal="center" wrapText="1"/>
    </xf>
    <xf numFmtId="0" fontId="40" fillId="78" borderId="71" xfId="0" applyFont="1" applyFill="1" applyBorder="1" applyAlignment="1">
      <alignment horizontal="center"/>
    </xf>
    <xf numFmtId="37" fontId="0" fillId="0" borderId="57" xfId="0" applyNumberFormat="1" applyBorder="1" applyAlignment="1">
      <alignment horizontal="center"/>
    </xf>
    <xf numFmtId="0" fontId="40" fillId="78" borderId="11" xfId="0" applyFont="1" applyFill="1" applyBorder="1" applyAlignment="1">
      <alignment horizontal="center" wrapText="1"/>
    </xf>
    <xf numFmtId="0" fontId="40" fillId="78" borderId="57" xfId="0" applyFont="1" applyFill="1" applyBorder="1" applyAlignment="1">
      <alignment horizontal="center"/>
    </xf>
    <xf numFmtId="0" fontId="0" fillId="78" borderId="57" xfId="0" applyFill="1" applyBorder="1"/>
    <xf numFmtId="9" fontId="0" fillId="0" borderId="57" xfId="4688" applyFont="1" applyFill="1" applyBorder="1" applyAlignment="1">
      <alignment horizontal="center"/>
    </xf>
    <xf numFmtId="9" fontId="40" fillId="0" borderId="57" xfId="0" applyNumberFormat="1" applyFont="1" applyBorder="1" applyAlignment="1">
      <alignment horizontal="center"/>
    </xf>
    <xf numFmtId="0" fontId="0" fillId="0" borderId="130" xfId="0" applyBorder="1"/>
    <xf numFmtId="0" fontId="40" fillId="0" borderId="0" xfId="0" applyFont="1" applyAlignment="1">
      <alignment wrapText="1"/>
    </xf>
    <xf numFmtId="0" fontId="0" fillId="0" borderId="121" xfId="0" applyBorder="1"/>
    <xf numFmtId="0" fontId="40" fillId="0" borderId="57" xfId="0" applyFont="1" applyBorder="1" applyAlignment="1">
      <alignment horizontal="center" wrapText="1"/>
    </xf>
    <xf numFmtId="0" fontId="0" fillId="0" borderId="57" xfId="0" applyBorder="1" applyAlignment="1">
      <alignment horizontal="center"/>
    </xf>
    <xf numFmtId="0" fontId="0" fillId="78" borderId="57" xfId="0" applyFill="1" applyBorder="1" applyAlignment="1">
      <alignment horizontal="center"/>
    </xf>
    <xf numFmtId="0" fontId="46" fillId="85" borderId="57" xfId="0" applyFont="1" applyFill="1" applyBorder="1" applyAlignment="1">
      <alignment horizontal="center" wrapText="1"/>
    </xf>
    <xf numFmtId="0" fontId="0" fillId="85" borderId="57" xfId="0" applyFill="1" applyBorder="1" applyAlignment="1">
      <alignment horizontal="center" wrapText="1"/>
    </xf>
    <xf numFmtId="37" fontId="46" fillId="0" borderId="57" xfId="0" applyNumberFormat="1" applyFont="1" applyBorder="1" applyAlignment="1">
      <alignment horizontal="center"/>
    </xf>
    <xf numFmtId="37" fontId="46" fillId="0" borderId="57" xfId="0" applyNumberFormat="1" applyFont="1" applyBorder="1" applyAlignment="1">
      <alignment horizontal="center" wrapText="1"/>
    </xf>
    <xf numFmtId="37" fontId="0" fillId="0" borderId="0" xfId="0" applyNumberFormat="1" applyAlignment="1">
      <alignment horizontal="center"/>
    </xf>
    <xf numFmtId="0" fontId="0" fillId="0" borderId="89" xfId="0" applyBorder="1"/>
    <xf numFmtId="0" fontId="0" fillId="0" borderId="89" xfId="0" applyBorder="1" applyAlignment="1">
      <alignment wrapText="1"/>
    </xf>
    <xf numFmtId="0" fontId="0" fillId="0" borderId="83" xfId="0" applyBorder="1" applyAlignment="1">
      <alignment wrapText="1"/>
    </xf>
    <xf numFmtId="2" fontId="0" fillId="0" borderId="57" xfId="0" applyNumberFormat="1" applyBorder="1" applyAlignment="1">
      <alignment horizontal="center"/>
    </xf>
    <xf numFmtId="0" fontId="0" fillId="0" borderId="91" xfId="0" applyBorder="1"/>
    <xf numFmtId="0" fontId="0" fillId="0" borderId="120" xfId="0" applyBorder="1"/>
    <xf numFmtId="0" fontId="0" fillId="78" borderId="71" xfId="0" applyFill="1" applyBorder="1" applyAlignment="1">
      <alignment horizontal="center" vertical="center" wrapText="1"/>
    </xf>
    <xf numFmtId="0" fontId="61" fillId="78" borderId="57" xfId="0" applyFont="1" applyFill="1" applyBorder="1" applyAlignment="1">
      <alignment horizontal="center" vertical="center" wrapText="1"/>
    </xf>
    <xf numFmtId="0" fontId="61" fillId="78" borderId="57" xfId="0" applyFont="1" applyFill="1" applyBorder="1" applyAlignment="1">
      <alignment horizontal="center" wrapText="1"/>
    </xf>
    <xf numFmtId="0" fontId="38" fillId="78" borderId="57" xfId="0" applyFont="1" applyFill="1" applyBorder="1" applyAlignment="1">
      <alignment vertical="center" wrapText="1"/>
    </xf>
    <xf numFmtId="0" fontId="47" fillId="78" borderId="57" xfId="0" applyFont="1" applyFill="1" applyBorder="1" applyAlignment="1">
      <alignment vertical="center" wrapText="1"/>
    </xf>
    <xf numFmtId="0" fontId="40" fillId="78" borderId="13" xfId="0" applyFont="1" applyFill="1" applyBorder="1" applyAlignment="1">
      <alignment vertical="center" wrapText="1"/>
    </xf>
    <xf numFmtId="0" fontId="0" fillId="78" borderId="16" xfId="0" applyFill="1" applyBorder="1" applyAlignment="1">
      <alignment wrapText="1"/>
    </xf>
    <xf numFmtId="0" fontId="0" fillId="78" borderId="16" xfId="0" applyFill="1" applyBorder="1" applyAlignment="1">
      <alignment vertical="center" wrapText="1"/>
    </xf>
    <xf numFmtId="10" fontId="0" fillId="78" borderId="16" xfId="4688" applyNumberFormat="1" applyFont="1" applyFill="1" applyBorder="1" applyAlignment="1">
      <alignment horizontal="center"/>
    </xf>
    <xf numFmtId="0" fontId="0" fillId="78" borderId="16" xfId="0" applyFill="1" applyBorder="1" applyAlignment="1">
      <alignment horizontal="center" wrapText="1"/>
    </xf>
    <xf numFmtId="10" fontId="0" fillId="78" borderId="16" xfId="0" applyNumberFormat="1" applyFill="1" applyBorder="1" applyAlignment="1">
      <alignment horizontal="center"/>
    </xf>
    <xf numFmtId="0" fontId="163" fillId="0" borderId="0" xfId="0" applyFont="1" applyFill="1" applyBorder="1" applyAlignment="1">
      <alignment vertical="center" wrapText="1"/>
    </xf>
    <xf numFmtId="0" fontId="0" fillId="0" borderId="121" xfId="0" applyBorder="1" applyAlignment="1">
      <alignment wrapText="1"/>
    </xf>
    <xf numFmtId="0" fontId="0" fillId="78" borderId="57" xfId="0" applyFill="1" applyBorder="1" applyAlignment="1">
      <alignment vertical="center"/>
    </xf>
    <xf numFmtId="0" fontId="38" fillId="78" borderId="57" xfId="0" applyFont="1" applyFill="1" applyBorder="1" applyAlignment="1">
      <alignment horizontal="left" vertical="center" wrapText="1"/>
    </xf>
    <xf numFmtId="0" fontId="38" fillId="78" borderId="57" xfId="0" applyFont="1" applyFill="1" applyBorder="1" applyAlignment="1">
      <alignment horizontal="justify" vertical="center"/>
    </xf>
    <xf numFmtId="0" fontId="47" fillId="78" borderId="57" xfId="0" quotePrefix="1" applyFont="1" applyFill="1" applyBorder="1" applyAlignment="1">
      <alignment horizontal="center" vertical="center" wrapText="1"/>
    </xf>
    <xf numFmtId="0" fontId="47" fillId="78" borderId="57" xfId="0" applyFont="1" applyFill="1" applyBorder="1" applyAlignment="1">
      <alignment horizontal="center" vertical="center" wrapText="1"/>
    </xf>
    <xf numFmtId="0" fontId="47" fillId="78" borderId="57" xfId="0" applyFont="1" applyFill="1" applyBorder="1" applyAlignment="1">
      <alignment horizontal="center" wrapText="1"/>
    </xf>
    <xf numFmtId="0" fontId="0" fillId="0" borderId="57" xfId="0" applyFill="1" applyBorder="1" applyAlignment="1">
      <alignment vertical="center" wrapText="1"/>
    </xf>
    <xf numFmtId="0" fontId="0" fillId="0" borderId="57" xfId="0" applyFill="1" applyBorder="1" applyAlignment="1">
      <alignment wrapText="1"/>
    </xf>
    <xf numFmtId="0" fontId="0" fillId="0" borderId="57" xfId="0" applyFill="1" applyBorder="1" applyAlignment="1">
      <alignment horizontal="left" vertical="center" wrapText="1"/>
    </xf>
    <xf numFmtId="0" fontId="47" fillId="78" borderId="13" xfId="0" applyFont="1" applyFill="1" applyBorder="1" applyAlignment="1">
      <alignment vertical="center" wrapText="1"/>
    </xf>
    <xf numFmtId="0" fontId="47" fillId="0" borderId="91" xfId="0" applyFont="1" applyFill="1" applyBorder="1" applyAlignment="1">
      <alignment vertical="center"/>
    </xf>
    <xf numFmtId="0" fontId="0" fillId="0" borderId="57" xfId="0" applyFill="1" applyBorder="1" applyAlignment="1">
      <alignment horizontal="justify" vertical="center"/>
    </xf>
    <xf numFmtId="0" fontId="41" fillId="78" borderId="13" xfId="0" applyFont="1" applyFill="1" applyBorder="1" applyAlignment="1">
      <alignment horizontal="center" vertical="center"/>
    </xf>
    <xf numFmtId="0" fontId="47" fillId="78" borderId="13" xfId="0" applyFont="1" applyFill="1" applyBorder="1" applyAlignment="1">
      <alignment vertical="center"/>
    </xf>
    <xf numFmtId="0" fontId="47" fillId="78" borderId="13" xfId="0" applyFont="1" applyFill="1" applyBorder="1" applyAlignment="1">
      <alignment horizontal="left" vertical="center" wrapText="1"/>
    </xf>
    <xf numFmtId="0" fontId="47" fillId="78" borderId="131" xfId="0" applyFont="1" applyFill="1" applyBorder="1" applyAlignment="1">
      <alignment vertical="center" wrapText="1"/>
    </xf>
    <xf numFmtId="0" fontId="0" fillId="78" borderId="123" xfId="0" applyFill="1" applyBorder="1"/>
    <xf numFmtId="10" fontId="0" fillId="0" borderId="0" xfId="0" applyNumberFormat="1" applyAlignment="1">
      <alignment horizontal="center" wrapText="1"/>
    </xf>
    <xf numFmtId="10" fontId="0" fillId="0" borderId="0" xfId="4688" applyNumberFormat="1" applyFont="1" applyAlignment="1">
      <alignment horizontal="center" wrapText="1"/>
    </xf>
    <xf numFmtId="9" fontId="0" fillId="0" borderId="119" xfId="4688" applyNumberFormat="1" applyFont="1" applyBorder="1"/>
    <xf numFmtId="9" fontId="0" fillId="0" borderId="57" xfId="0" applyNumberFormat="1" applyBorder="1" applyAlignment="1">
      <alignment horizontal="center" vertical="center" wrapText="1"/>
    </xf>
    <xf numFmtId="0" fontId="0" fillId="0" borderId="0" xfId="4688" applyNumberFormat="1" applyFont="1" applyFill="1" applyBorder="1"/>
    <xf numFmtId="0" fontId="0" fillId="78" borderId="10" xfId="0" applyFill="1" applyBorder="1"/>
    <xf numFmtId="37" fontId="0" fillId="0" borderId="10" xfId="0" applyNumberFormat="1" applyBorder="1"/>
    <xf numFmtId="0" fontId="0" fillId="78" borderId="10" xfId="0" applyFill="1" applyBorder="1" applyAlignment="1">
      <alignment horizontal="center" wrapText="1"/>
    </xf>
    <xf numFmtId="0" fontId="0" fillId="78" borderId="10" xfId="0" applyFill="1" applyBorder="1" applyAlignment="1">
      <alignment vertical="center" wrapText="1"/>
    </xf>
    <xf numFmtId="0" fontId="46" fillId="78" borderId="11" xfId="0" applyFont="1" applyFill="1" applyBorder="1" applyAlignment="1">
      <alignment horizontal="center" vertical="center" wrapText="1"/>
    </xf>
    <xf numFmtId="0" fontId="47" fillId="78" borderId="57" xfId="0" applyFont="1" applyFill="1" applyBorder="1" applyAlignment="1">
      <alignment wrapText="1"/>
    </xf>
    <xf numFmtId="0" fontId="0" fillId="78" borderId="84" xfId="0" applyFill="1" applyBorder="1" applyAlignment="1">
      <alignment vertical="center" wrapText="1"/>
    </xf>
    <xf numFmtId="0" fontId="0" fillId="0" borderId="57" xfId="0" applyBorder="1"/>
    <xf numFmtId="0" fontId="47" fillId="78" borderId="16" xfId="0" applyFont="1" applyFill="1" applyBorder="1" applyAlignment="1">
      <alignment vertical="center" wrapText="1"/>
    </xf>
    <xf numFmtId="0" fontId="0" fillId="78" borderId="11" xfId="0" applyFill="1" applyBorder="1" applyAlignment="1">
      <alignment vertical="center" wrapText="1"/>
    </xf>
    <xf numFmtId="4" fontId="0" fillId="0" borderId="57" xfId="4688" applyNumberFormat="1" applyFont="1" applyFill="1" applyBorder="1" applyAlignment="1">
      <alignment horizontal="center"/>
    </xf>
    <xf numFmtId="4" fontId="0" fillId="0" borderId="57" xfId="0" applyNumberFormat="1" applyBorder="1" applyAlignment="1">
      <alignment horizontal="center"/>
    </xf>
    <xf numFmtId="0" fontId="0" fillId="0" borderId="25" xfId="0" applyNumberFormat="1" applyFont="1" applyFill="1" applyBorder="1" applyAlignment="1">
      <alignment horizontal="center" vertical="center" wrapText="1"/>
    </xf>
    <xf numFmtId="164" fontId="0" fillId="0" borderId="0" xfId="439" applyNumberFormat="1" applyFont="1" applyFill="1" applyProtection="1"/>
    <xf numFmtId="164" fontId="0" fillId="27" borderId="0" xfId="439" applyNumberFormat="1" applyFont="1" applyFill="1"/>
    <xf numFmtId="164" fontId="0" fillId="27" borderId="0" xfId="439" applyNumberFormat="1" applyFont="1" applyFill="1" applyAlignment="1">
      <alignment horizontal="center"/>
    </xf>
    <xf numFmtId="37" fontId="0" fillId="27" borderId="0" xfId="439" applyNumberFormat="1" applyFont="1" applyFill="1"/>
    <xf numFmtId="164" fontId="46" fillId="22" borderId="0" xfId="439" applyNumberFormat="1" applyFont="1" applyFill="1" applyAlignment="1" applyProtection="1">
      <alignment horizontal="center" vertical="center" wrapText="1"/>
    </xf>
    <xf numFmtId="173" fontId="46" fillId="22" borderId="0" xfId="439" applyNumberFormat="1" applyFont="1" applyFill="1" applyAlignment="1" applyProtection="1">
      <alignment horizontal="center" vertical="center" wrapText="1"/>
    </xf>
    <xf numFmtId="41" fontId="73" fillId="0" borderId="0" xfId="439" applyNumberFormat="1" applyFont="1" applyFill="1" applyAlignment="1" applyProtection="1">
      <alignment horizontal="center" vertical="center" wrapText="1"/>
      <protection locked="0"/>
    </xf>
    <xf numFmtId="4" fontId="0" fillId="0" borderId="0" xfId="0" applyNumberFormat="1"/>
    <xf numFmtId="3" fontId="0" fillId="0" borderId="0" xfId="0" applyNumberFormat="1"/>
    <xf numFmtId="0" fontId="45" fillId="0" borderId="0" xfId="659" applyFont="1" applyAlignment="1">
      <alignment horizontal="center"/>
    </xf>
    <xf numFmtId="0" fontId="25" fillId="0" borderId="0" xfId="659" applyFont="1" applyAlignment="1">
      <alignment horizontal="left" vertical="center" wrapText="1"/>
    </xf>
    <xf numFmtId="0" fontId="45" fillId="0" borderId="0" xfId="659" applyFont="1"/>
    <xf numFmtId="38" fontId="198" fillId="0" borderId="0" xfId="440" applyNumberFormat="1" applyFont="1" applyFill="1" applyAlignment="1" applyProtection="1">
      <alignment horizontal="right" vertical="center"/>
    </xf>
    <xf numFmtId="0" fontId="199" fillId="0" borderId="0" xfId="659" applyFont="1"/>
    <xf numFmtId="0" fontId="35" fillId="0" borderId="0" xfId="659"/>
    <xf numFmtId="0" fontId="115" fillId="0" borderId="0" xfId="0" applyFont="1"/>
    <xf numFmtId="172" fontId="0" fillId="0" borderId="0" xfId="439" applyNumberFormat="1" applyFont="1"/>
    <xf numFmtId="164" fontId="35" fillId="0" borderId="0" xfId="659" applyNumberFormat="1"/>
    <xf numFmtId="37" fontId="0" fillId="0" borderId="0" xfId="439" applyNumberFormat="1" applyFont="1"/>
    <xf numFmtId="38" fontId="0" fillId="0" borderId="0" xfId="0" applyNumberFormat="1"/>
    <xf numFmtId="40" fontId="0" fillId="0" borderId="0" xfId="0" applyNumberFormat="1"/>
    <xf numFmtId="164" fontId="0" fillId="0" borderId="0" xfId="439" applyNumberFormat="1" applyFont="1" applyFill="1" applyAlignment="1">
      <alignment wrapText="1"/>
    </xf>
    <xf numFmtId="9" fontId="0" fillId="0" borderId="0" xfId="439" applyNumberFormat="1" applyFont="1" applyFill="1"/>
    <xf numFmtId="10" fontId="0" fillId="0" borderId="0" xfId="439" applyNumberFormat="1" applyFont="1" applyFill="1"/>
    <xf numFmtId="4" fontId="0" fillId="0" borderId="0" xfId="0" applyNumberFormat="1" applyFill="1"/>
    <xf numFmtId="3" fontId="0" fillId="0" borderId="0" xfId="0" applyNumberFormat="1" applyFill="1"/>
    <xf numFmtId="0" fontId="130" fillId="26" borderId="0" xfId="30099" applyFont="1" applyFill="1" applyAlignment="1">
      <alignment horizontal="left" vertical="top" wrapText="1"/>
    </xf>
    <xf numFmtId="0" fontId="136" fillId="26" borderId="0" xfId="30099" applyFont="1" applyFill="1" applyAlignment="1">
      <alignment horizontal="left" wrapText="1"/>
    </xf>
    <xf numFmtId="164" fontId="51" fillId="0" borderId="0" xfId="0" applyNumberFormat="1" applyFont="1" applyAlignment="1">
      <alignment wrapText="1"/>
    </xf>
    <xf numFmtId="10" fontId="0" fillId="0" borderId="57" xfId="0" applyNumberFormat="1" applyBorder="1" applyAlignment="1">
      <alignment horizontal="center" wrapText="1"/>
    </xf>
    <xf numFmtId="0" fontId="40" fillId="78" borderId="86" xfId="0" applyFont="1" applyFill="1" applyBorder="1" applyAlignment="1">
      <alignment horizontal="left"/>
    </xf>
    <xf numFmtId="0" fontId="0" fillId="78" borderId="132" xfId="0" applyFill="1" applyBorder="1"/>
    <xf numFmtId="0" fontId="200" fillId="77" borderId="57" xfId="0" applyFont="1" applyFill="1" applyBorder="1" applyAlignment="1">
      <alignment horizontal="center" vertical="center" wrapText="1"/>
    </xf>
    <xf numFmtId="0" fontId="195" fillId="0" borderId="0" xfId="0" applyFont="1"/>
    <xf numFmtId="0" fontId="201" fillId="73" borderId="0" xfId="0" applyFont="1" applyFill="1" applyAlignment="1">
      <alignment horizontal="justify" vertical="center"/>
    </xf>
    <xf numFmtId="0" fontId="201" fillId="73" borderId="0" xfId="0" applyFont="1" applyFill="1" applyAlignment="1">
      <alignment vertical="center"/>
    </xf>
    <xf numFmtId="0" fontId="0" fillId="0" borderId="0" xfId="0" applyAlignment="1">
      <alignment vertical="center"/>
    </xf>
    <xf numFmtId="0" fontId="201" fillId="73" borderId="0" xfId="0" applyFont="1" applyFill="1" applyAlignment="1">
      <alignment vertical="center" wrapText="1"/>
    </xf>
    <xf numFmtId="0" fontId="205" fillId="73" borderId="0" xfId="611" applyFont="1" applyFill="1" applyAlignment="1">
      <alignment vertical="center"/>
    </xf>
    <xf numFmtId="0" fontId="206" fillId="73" borderId="0" xfId="0" applyFont="1" applyFill="1" applyAlignment="1">
      <alignment vertical="center"/>
    </xf>
    <xf numFmtId="0" fontId="207" fillId="73" borderId="0" xfId="611" applyFont="1" applyFill="1" applyAlignment="1" applyProtection="1">
      <alignment vertical="center"/>
      <protection locked="0"/>
    </xf>
    <xf numFmtId="0" fontId="206" fillId="73" borderId="0" xfId="0" applyFont="1" applyFill="1"/>
    <xf numFmtId="0" fontId="207" fillId="73" borderId="0" xfId="611" applyFont="1" applyFill="1" applyProtection="1">
      <protection locked="0"/>
    </xf>
    <xf numFmtId="0" fontId="122" fillId="73" borderId="0" xfId="30098" applyFont="1" applyFill="1" applyAlignment="1">
      <alignment horizontal="left" vertical="center" wrapText="1" indent="1"/>
    </xf>
    <xf numFmtId="0" fontId="122" fillId="73" borderId="0" xfId="30098" quotePrefix="1" applyFont="1" applyFill="1" applyAlignment="1">
      <alignment horizontal="left" vertical="center" wrapText="1" indent="1"/>
    </xf>
    <xf numFmtId="0" fontId="210" fillId="73" borderId="0" xfId="30098" applyFont="1" applyFill="1" applyAlignment="1">
      <alignment vertical="center" wrapText="1"/>
    </xf>
    <xf numFmtId="0" fontId="36" fillId="0" borderId="0" xfId="611"/>
    <xf numFmtId="0" fontId="201" fillId="73" borderId="0" xfId="30098" applyFont="1" applyFill="1" applyAlignment="1">
      <alignment vertical="center" wrapText="1"/>
    </xf>
    <xf numFmtId="0" fontId="207" fillId="73" borderId="0" xfId="611" applyFont="1" applyFill="1" applyAlignment="1">
      <alignment vertical="center"/>
    </xf>
    <xf numFmtId="164" fontId="0" fillId="0" borderId="0" xfId="0" applyNumberFormat="1" applyFill="1"/>
    <xf numFmtId="0" fontId="134" fillId="78" borderId="0" xfId="30099" applyFont="1" applyFill="1" applyAlignment="1">
      <alignment vertical="top"/>
    </xf>
    <xf numFmtId="0" fontId="135" fillId="78" borderId="0" xfId="30099" applyFont="1" applyFill="1" applyAlignment="1">
      <alignment vertical="top"/>
    </xf>
    <xf numFmtId="0" fontId="135" fillId="78" borderId="60" xfId="30099" applyFont="1" applyFill="1" applyBorder="1" applyAlignment="1">
      <alignment vertical="top"/>
    </xf>
    <xf numFmtId="0" fontId="212" fillId="78" borderId="15" xfId="30099" applyFont="1" applyFill="1" applyBorder="1" applyAlignment="1">
      <alignment vertical="center"/>
    </xf>
    <xf numFmtId="0" fontId="135" fillId="78" borderId="41" xfId="30099" applyFont="1" applyFill="1" applyBorder="1" applyAlignment="1"/>
    <xf numFmtId="0" fontId="135" fillId="78" borderId="42" xfId="30099" applyFont="1" applyFill="1" applyBorder="1" applyAlignment="1"/>
    <xf numFmtId="0" fontId="135" fillId="78" borderId="40" xfId="30099" applyFont="1" applyFill="1" applyBorder="1" applyAlignment="1">
      <alignment vertical="center"/>
    </xf>
    <xf numFmtId="38" fontId="0" fillId="34" borderId="0" xfId="0" applyNumberFormat="1" applyFill="1" applyAlignment="1" applyProtection="1">
      <alignment vertical="center" wrapText="1"/>
      <protection locked="0"/>
    </xf>
    <xf numFmtId="164" fontId="60" fillId="34" borderId="29" xfId="439" applyNumberFormat="1" applyFont="1" applyFill="1" applyBorder="1" applyAlignment="1" applyProtection="1">
      <alignment horizontal="center" vertical="center" wrapText="1"/>
    </xf>
    <xf numFmtId="0" fontId="0" fillId="34" borderId="25" xfId="0" applyNumberFormat="1" applyFont="1" applyFill="1" applyBorder="1" applyAlignment="1" applyProtection="1">
      <alignment horizontal="center" vertical="center" wrapText="1"/>
    </xf>
    <xf numFmtId="14" fontId="0" fillId="0" borderId="0" xfId="0" applyNumberFormat="1" applyFont="1" applyProtection="1"/>
    <xf numFmtId="0" fontId="147" fillId="26" borderId="0" xfId="30099" applyFont="1" applyFill="1" applyAlignment="1">
      <alignment horizontal="right" vertical="center" wrapText="1"/>
    </xf>
    <xf numFmtId="0" fontId="156" fillId="26" borderId="0" xfId="30099" applyFont="1" applyFill="1" applyAlignment="1">
      <alignment horizontal="left" vertical="center"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40" fillId="0" borderId="13" xfId="0" applyFont="1" applyBorder="1" applyAlignment="1">
      <alignment horizontal="center"/>
    </xf>
    <xf numFmtId="0" fontId="40" fillId="0" borderId="16" xfId="0" applyFont="1" applyBorder="1" applyAlignment="1">
      <alignment horizontal="center"/>
    </xf>
    <xf numFmtId="0" fontId="40" fillId="0" borderId="11" xfId="0" applyFont="1" applyBorder="1" applyAlignment="1">
      <alignment horizontal="center"/>
    </xf>
    <xf numFmtId="0" fontId="61" fillId="74" borderId="113" xfId="0" applyFont="1" applyFill="1" applyBorder="1" applyAlignment="1">
      <alignment horizontal="center" vertical="center" wrapText="1"/>
    </xf>
    <xf numFmtId="0" fontId="0" fillId="0" borderId="38" xfId="0" applyFont="1" applyBorder="1" applyAlignment="1">
      <alignment horizontal="left" wrapText="1"/>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130" fillId="0" borderId="67" xfId="30099" applyFont="1" applyBorder="1" applyAlignment="1" applyProtection="1">
      <alignment horizontal="left" vertical="center"/>
      <protection locked="0"/>
    </xf>
    <xf numFmtId="0" fontId="130" fillId="0" borderId="68" xfId="30099" applyFont="1" applyBorder="1" applyAlignment="1" applyProtection="1">
      <alignment horizontal="left" vertical="center"/>
      <protection locked="0"/>
    </xf>
    <xf numFmtId="0" fontId="130" fillId="0" borderId="69" xfId="30099" applyFont="1" applyBorder="1" applyAlignment="1" applyProtection="1">
      <alignment horizontal="left" vertical="center"/>
      <protection locked="0"/>
    </xf>
    <xf numFmtId="0" fontId="150" fillId="26" borderId="0" xfId="30099" applyFont="1" applyFill="1" applyAlignment="1">
      <alignment horizontal="right" vertical="center" wrapText="1"/>
    </xf>
    <xf numFmtId="0" fontId="152" fillId="26" borderId="0" xfId="30099" applyFont="1" applyFill="1" applyAlignment="1">
      <alignment horizontal="center" vertical="center" wrapText="1"/>
    </xf>
    <xf numFmtId="0" fontId="142" fillId="26" borderId="0" xfId="30099" applyFont="1" applyFill="1" applyAlignment="1">
      <alignment horizontal="left" vertical="center" wrapText="1"/>
    </xf>
    <xf numFmtId="0" fontId="130" fillId="26" borderId="0" xfId="30099" applyFont="1" applyFill="1" applyAlignment="1">
      <alignment horizontal="left" vertical="center" wrapText="1"/>
    </xf>
    <xf numFmtId="0" fontId="130" fillId="26" borderId="0" xfId="30099" applyFont="1" applyFill="1" applyAlignment="1">
      <alignment horizontal="left" vertical="top" wrapText="1"/>
    </xf>
    <xf numFmtId="0" fontId="130" fillId="26" borderId="60" xfId="30099" applyFont="1" applyFill="1" applyBorder="1" applyAlignment="1">
      <alignment horizontal="left" vertical="center" wrapText="1"/>
    </xf>
    <xf numFmtId="0" fontId="136" fillId="26" borderId="0" xfId="30099" applyFont="1" applyFill="1" applyAlignment="1">
      <alignment horizontal="left" wrapText="1"/>
    </xf>
    <xf numFmtId="0" fontId="136" fillId="26" borderId="60" xfId="30099" applyFont="1" applyFill="1" applyBorder="1" applyAlignment="1">
      <alignment horizontal="left" wrapText="1"/>
    </xf>
    <xf numFmtId="0" fontId="136" fillId="26" borderId="0" xfId="30099" applyFont="1" applyFill="1" applyBorder="1" applyAlignment="1">
      <alignment horizontal="left" wrapText="1"/>
    </xf>
    <xf numFmtId="0" fontId="144" fillId="26" borderId="0" xfId="30099" applyFont="1" applyFill="1" applyAlignment="1">
      <alignment horizontal="left" vertical="center" wrapText="1"/>
    </xf>
    <xf numFmtId="0" fontId="120" fillId="0" borderId="67" xfId="29597" applyFill="1" applyBorder="1" applyAlignment="1" applyProtection="1">
      <alignment horizontal="left" vertical="center"/>
      <protection locked="0"/>
    </xf>
    <xf numFmtId="0" fontId="130" fillId="26" borderId="0" xfId="30099" applyFont="1" applyFill="1" applyAlignment="1">
      <alignment horizontal="left" wrapText="1"/>
    </xf>
    <xf numFmtId="0" fontId="130" fillId="26" borderId="72" xfId="30099" applyFont="1" applyFill="1" applyBorder="1" applyAlignment="1">
      <alignment horizontal="left" wrapText="1"/>
    </xf>
    <xf numFmtId="0" fontId="147" fillId="0" borderId="67" xfId="30099" applyFont="1" applyBorder="1" applyAlignment="1" applyProtection="1">
      <alignment horizontal="left" vertical="center"/>
      <protection locked="0"/>
    </xf>
    <xf numFmtId="0" fontId="147" fillId="0" borderId="68" xfId="30099" applyFont="1" applyBorder="1" applyAlignment="1" applyProtection="1">
      <alignment horizontal="left" vertical="center"/>
      <protection locked="0"/>
    </xf>
    <xf numFmtId="0" fontId="147" fillId="0" borderId="69" xfId="30099" applyFont="1" applyBorder="1" applyAlignment="1" applyProtection="1">
      <alignment horizontal="left" vertical="center"/>
      <protection locked="0"/>
    </xf>
    <xf numFmtId="0" fontId="130" fillId="0" borderId="13" xfId="30099" applyFont="1" applyBorder="1" applyAlignment="1" applyProtection="1">
      <alignment horizontal="left" vertical="center"/>
      <protection locked="0"/>
    </xf>
    <xf numFmtId="0" fontId="130" fillId="0" borderId="11" xfId="30099" applyFont="1" applyBorder="1" applyAlignment="1" applyProtection="1">
      <alignment horizontal="left" vertical="center"/>
      <protection locked="0"/>
    </xf>
    <xf numFmtId="0" fontId="146" fillId="26" borderId="0" xfId="30099" applyFont="1" applyFill="1" applyAlignment="1">
      <alignment horizontal="center" vertical="center" wrapText="1"/>
    </xf>
    <xf numFmtId="0" fontId="142" fillId="26" borderId="15" xfId="30099" applyFont="1" applyFill="1" applyBorder="1" applyAlignment="1">
      <alignment horizontal="center" vertical="top"/>
    </xf>
    <xf numFmtId="0" fontId="142" fillId="26" borderId="0" xfId="30099" applyFont="1" applyFill="1" applyAlignment="1">
      <alignment horizontal="center" vertical="top"/>
    </xf>
    <xf numFmtId="0" fontId="142" fillId="26" borderId="0" xfId="30099" applyFont="1" applyFill="1" applyAlignment="1">
      <alignment horizontal="center" vertical="top" wrapText="1"/>
    </xf>
    <xf numFmtId="0" fontId="131" fillId="78" borderId="13" xfId="30099" applyFont="1" applyFill="1" applyBorder="1" applyAlignment="1">
      <alignment horizontal="center" vertical="center" wrapText="1"/>
    </xf>
    <xf numFmtId="0" fontId="131" fillId="78" borderId="16" xfId="30099" applyFont="1" applyFill="1" applyBorder="1" applyAlignment="1">
      <alignment horizontal="center" vertical="center" wrapText="1"/>
    </xf>
    <xf numFmtId="0" fontId="131" fillId="78" borderId="11" xfId="30099" applyFont="1" applyFill="1" applyBorder="1" applyAlignment="1">
      <alignment horizontal="center" vertical="center" wrapText="1"/>
    </xf>
    <xf numFmtId="0" fontId="131" fillId="78" borderId="13" xfId="30099" applyFont="1" applyFill="1" applyBorder="1" applyAlignment="1">
      <alignment horizontal="center" vertical="top" wrapText="1"/>
    </xf>
    <xf numFmtId="0" fontId="131" fillId="78" borderId="16" xfId="30099" applyFont="1" applyFill="1" applyBorder="1" applyAlignment="1">
      <alignment horizontal="center" vertical="top" wrapText="1"/>
    </xf>
    <xf numFmtId="0" fontId="131" fillId="78" borderId="11" xfId="30099" applyFont="1" applyFill="1" applyBorder="1" applyAlignment="1">
      <alignment horizontal="center" vertical="top" wrapText="1"/>
    </xf>
    <xf numFmtId="164" fontId="133" fillId="79" borderId="13" xfId="30100" applyNumberFormat="1" applyFont="1" applyFill="1" applyBorder="1" applyAlignment="1">
      <alignment horizontal="center" vertical="center"/>
    </xf>
    <xf numFmtId="164" fontId="133" fillId="79" borderId="16" xfId="30100" applyNumberFormat="1" applyFont="1" applyFill="1" applyBorder="1" applyAlignment="1">
      <alignment horizontal="center" vertical="center"/>
    </xf>
    <xf numFmtId="164" fontId="133" fillId="79" borderId="11" xfId="30100" applyNumberFormat="1" applyFont="1" applyFill="1" applyBorder="1" applyAlignment="1">
      <alignment horizontal="center" vertical="center"/>
    </xf>
    <xf numFmtId="0" fontId="135" fillId="78" borderId="15" xfId="30099" applyFont="1" applyFill="1" applyBorder="1" applyAlignment="1">
      <alignment horizontal="left" wrapText="1"/>
    </xf>
    <xf numFmtId="0" fontId="135" fillId="78" borderId="0" xfId="30099" applyFont="1" applyFill="1" applyAlignment="1">
      <alignment horizontal="left" wrapText="1"/>
    </xf>
    <xf numFmtId="0" fontId="135" fillId="78" borderId="60" xfId="30099" applyFont="1" applyFill="1" applyBorder="1" applyAlignment="1">
      <alignment horizontal="left" wrapText="1"/>
    </xf>
    <xf numFmtId="0" fontId="130" fillId="26" borderId="72" xfId="30099" applyFont="1" applyFill="1" applyBorder="1" applyAlignment="1">
      <alignment horizontal="left" vertical="center" wrapText="1"/>
    </xf>
    <xf numFmtId="0" fontId="146" fillId="26" borderId="41" xfId="30099" applyFont="1" applyFill="1" applyBorder="1" applyAlignment="1">
      <alignment horizontal="center" vertical="center" wrapText="1"/>
    </xf>
    <xf numFmtId="164" fontId="137" fillId="79" borderId="13" xfId="30100" applyNumberFormat="1" applyFont="1" applyFill="1" applyBorder="1" applyAlignment="1">
      <alignment horizontal="center" vertical="center" wrapText="1"/>
    </xf>
    <xf numFmtId="164" fontId="137" fillId="79" borderId="16" xfId="30100" applyNumberFormat="1" applyFont="1" applyFill="1" applyBorder="1" applyAlignment="1">
      <alignment horizontal="center" vertical="center" wrapText="1"/>
    </xf>
    <xf numFmtId="164" fontId="137" fillId="79" borderId="11" xfId="30100" applyNumberFormat="1" applyFont="1" applyFill="1" applyBorder="1" applyAlignment="1">
      <alignment horizontal="center" vertical="center" wrapText="1"/>
    </xf>
    <xf numFmtId="0" fontId="196" fillId="0" borderId="13" xfId="0" applyFont="1" applyBorder="1" applyAlignment="1">
      <alignment horizontal="center" vertical="center"/>
    </xf>
    <xf numFmtId="0" fontId="196" fillId="0" borderId="16" xfId="0" applyFont="1" applyBorder="1" applyAlignment="1">
      <alignment horizontal="center" vertical="center"/>
    </xf>
    <xf numFmtId="0" fontId="196" fillId="0" borderId="11" xfId="0" applyFont="1" applyBorder="1" applyAlignment="1">
      <alignment horizontal="center" vertical="center"/>
    </xf>
    <xf numFmtId="0" fontId="61" fillId="34" borderId="13" xfId="0" applyFont="1" applyFill="1" applyBorder="1" applyAlignment="1">
      <alignment horizontal="center" vertical="center" wrapText="1"/>
    </xf>
    <xf numFmtId="0" fontId="61" fillId="34" borderId="16" xfId="0" applyFont="1" applyFill="1" applyBorder="1" applyAlignment="1">
      <alignment horizontal="center" vertical="center" wrapText="1"/>
    </xf>
    <xf numFmtId="0" fontId="61" fillId="34" borderId="11" xfId="0" applyFont="1" applyFill="1" applyBorder="1" applyAlignment="1">
      <alignment horizontal="center" vertical="center" wrapText="1"/>
    </xf>
    <xf numFmtId="0" fontId="0" fillId="78" borderId="133" xfId="0" applyFill="1" applyBorder="1" applyAlignment="1">
      <alignment horizontal="center"/>
    </xf>
    <xf numFmtId="0" fontId="0" fillId="78" borderId="17" xfId="0" applyFill="1" applyBorder="1" applyAlignment="1">
      <alignment horizontal="center"/>
    </xf>
    <xf numFmtId="0" fontId="50" fillId="0" borderId="10" xfId="0" applyFont="1" applyBorder="1" applyAlignment="1">
      <alignment horizontal="center" vertical="center" wrapText="1"/>
    </xf>
    <xf numFmtId="0" fontId="40" fillId="0" borderId="22" xfId="0" applyFont="1" applyBorder="1" applyAlignment="1">
      <alignment horizontal="center" vertical="center"/>
    </xf>
    <xf numFmtId="0" fontId="40" fillId="0" borderId="0" xfId="0" applyFont="1" applyAlignment="1">
      <alignment horizontal="center" vertical="center"/>
    </xf>
    <xf numFmtId="0" fontId="40" fillId="0" borderId="85" xfId="0" applyFont="1" applyBorder="1" applyAlignment="1">
      <alignment horizontal="center" vertical="center"/>
    </xf>
    <xf numFmtId="0" fontId="40" fillId="0" borderId="134" xfId="0" applyFont="1" applyBorder="1" applyAlignment="1">
      <alignment horizontal="center" vertical="center"/>
    </xf>
    <xf numFmtId="0" fontId="50" fillId="0" borderId="85" xfId="0" applyFont="1" applyBorder="1" applyAlignment="1">
      <alignment horizontal="center" vertical="center"/>
    </xf>
    <xf numFmtId="0" fontId="40" fillId="78" borderId="13" xfId="0" applyFont="1" applyFill="1" applyBorder="1" applyAlignment="1">
      <alignment horizontal="center" wrapText="1"/>
    </xf>
    <xf numFmtId="0" fontId="40" fillId="78" borderId="16" xfId="0" applyFont="1" applyFill="1" applyBorder="1" applyAlignment="1">
      <alignment horizontal="center" wrapText="1"/>
    </xf>
    <xf numFmtId="0" fontId="40" fillId="78" borderId="11" xfId="0" applyFont="1" applyFill="1" applyBorder="1" applyAlignment="1">
      <alignment horizontal="center" wrapText="1"/>
    </xf>
    <xf numFmtId="0" fontId="61" fillId="0" borderId="37" xfId="0" applyFont="1" applyBorder="1" applyAlignment="1">
      <alignment horizontal="center" wrapText="1"/>
    </xf>
    <xf numFmtId="0" fontId="61" fillId="0" borderId="38" xfId="0" applyFont="1" applyBorder="1" applyAlignment="1">
      <alignment horizontal="center" wrapText="1"/>
    </xf>
    <xf numFmtId="0" fontId="61" fillId="0" borderId="39" xfId="0" applyFont="1" applyBorder="1" applyAlignment="1">
      <alignment horizontal="center" wrapText="1"/>
    </xf>
    <xf numFmtId="0" fontId="61" fillId="0" borderId="15" xfId="0" applyFont="1" applyBorder="1" applyAlignment="1">
      <alignment horizontal="center" wrapText="1"/>
    </xf>
    <xf numFmtId="0" fontId="61" fillId="0" borderId="0" xfId="0" applyFont="1" applyAlignment="1">
      <alignment horizontal="center" wrapText="1"/>
    </xf>
    <xf numFmtId="0" fontId="61" fillId="0" borderId="60" xfId="0" applyFont="1" applyBorder="1" applyAlignment="1">
      <alignment horizontal="center" wrapText="1"/>
    </xf>
    <xf numFmtId="0" fontId="38" fillId="78" borderId="71" xfId="0" applyFont="1" applyFill="1" applyBorder="1" applyAlignment="1">
      <alignment horizontal="left" vertical="center" wrapText="1"/>
    </xf>
    <xf numFmtId="0" fontId="38" fillId="78" borderId="123" xfId="0" applyFont="1" applyFill="1" applyBorder="1" applyAlignment="1">
      <alignment horizontal="left" vertical="center" wrapText="1"/>
    </xf>
    <xf numFmtId="0" fontId="38" fillId="78" borderId="73" xfId="0" applyFont="1" applyFill="1" applyBorder="1" applyAlignment="1">
      <alignment horizontal="left" vertical="center" wrapText="1"/>
    </xf>
    <xf numFmtId="0" fontId="61" fillId="78" borderId="57" xfId="0" applyFont="1" applyFill="1" applyBorder="1" applyAlignment="1">
      <alignment horizontal="left" wrapText="1"/>
    </xf>
    <xf numFmtId="0" fontId="40" fillId="0" borderId="13" xfId="0" applyFont="1" applyBorder="1" applyAlignment="1">
      <alignment horizontal="left" wrapText="1"/>
    </xf>
    <xf numFmtId="0" fontId="40" fillId="0" borderId="16" xfId="0" applyFont="1" applyBorder="1" applyAlignment="1">
      <alignment horizontal="left" wrapText="1"/>
    </xf>
    <xf numFmtId="0" fontId="40" fillId="0" borderId="11" xfId="0" applyFont="1" applyBorder="1" applyAlignment="1">
      <alignment horizontal="left" wrapText="1"/>
    </xf>
    <xf numFmtId="0" fontId="40" fillId="78" borderId="13" xfId="0" applyFont="1" applyFill="1" applyBorder="1" applyAlignment="1">
      <alignment horizontal="left" wrapText="1"/>
    </xf>
    <xf numFmtId="0" fontId="40" fillId="78" borderId="16" xfId="0" applyFont="1" applyFill="1" applyBorder="1" applyAlignment="1">
      <alignment horizontal="left" wrapText="1"/>
    </xf>
    <xf numFmtId="0" fontId="40" fillId="78" borderId="11" xfId="0" applyFont="1" applyFill="1" applyBorder="1" applyAlignment="1">
      <alignment horizontal="left" wrapText="1"/>
    </xf>
    <xf numFmtId="0" fontId="61" fillId="78" borderId="13" xfId="0" applyFont="1" applyFill="1" applyBorder="1" applyAlignment="1">
      <alignment horizontal="left" wrapText="1"/>
    </xf>
    <xf numFmtId="0" fontId="61" fillId="78" borderId="16" xfId="0" applyFont="1" applyFill="1" applyBorder="1" applyAlignment="1">
      <alignment horizontal="left" wrapText="1"/>
    </xf>
    <xf numFmtId="0" fontId="40" fillId="0" borderId="13" xfId="0" applyFont="1" applyBorder="1" applyAlignment="1">
      <alignment horizontal="center" wrapText="1"/>
    </xf>
    <xf numFmtId="0" fontId="40" fillId="0" borderId="16" xfId="0" applyFont="1" applyBorder="1" applyAlignment="1">
      <alignment horizontal="center" wrapText="1"/>
    </xf>
    <xf numFmtId="0" fontId="40" fillId="0" borderId="11" xfId="0" applyFont="1" applyBorder="1" applyAlignment="1">
      <alignment horizontal="center" wrapText="1"/>
    </xf>
    <xf numFmtId="0" fontId="61" fillId="78" borderId="129" xfId="0" applyFont="1" applyFill="1" applyBorder="1" applyAlignment="1">
      <alignment horizontal="left" wrapText="1"/>
    </xf>
    <xf numFmtId="0" fontId="40" fillId="78" borderId="57" xfId="0" applyFont="1" applyFill="1" applyBorder="1" applyAlignment="1">
      <alignment horizontal="left" wrapText="1"/>
    </xf>
    <xf numFmtId="0" fontId="196" fillId="0" borderId="40" xfId="0" applyFont="1" applyBorder="1" applyAlignment="1">
      <alignment horizontal="center" vertical="center"/>
    </xf>
    <xf numFmtId="0" fontId="196" fillId="0" borderId="41" xfId="0" applyFont="1" applyBorder="1" applyAlignment="1">
      <alignment horizontal="center" vertical="center"/>
    </xf>
    <xf numFmtId="0" fontId="163" fillId="73" borderId="71" xfId="0" applyFont="1" applyFill="1" applyBorder="1" applyAlignment="1">
      <alignment horizontal="center" vertical="center" wrapText="1"/>
    </xf>
    <xf numFmtId="0" fontId="163" fillId="73" borderId="123" xfId="0" applyFont="1" applyFill="1" applyBorder="1" applyAlignment="1">
      <alignment horizontal="center" vertical="center" wrapText="1"/>
    </xf>
    <xf numFmtId="0" fontId="163" fillId="73" borderId="60" xfId="0" applyFont="1" applyFill="1" applyBorder="1" applyAlignment="1">
      <alignment horizontal="center" vertical="center" wrapText="1"/>
    </xf>
    <xf numFmtId="0" fontId="163" fillId="73" borderId="42" xfId="0" applyFont="1" applyFill="1" applyBorder="1" applyAlignment="1">
      <alignment horizontal="center" vertical="center" wrapText="1"/>
    </xf>
    <xf numFmtId="0" fontId="40" fillId="78" borderId="71" xfId="0" applyFont="1" applyFill="1" applyBorder="1" applyAlignment="1">
      <alignment horizontal="center" vertical="center" wrapText="1"/>
    </xf>
    <xf numFmtId="0" fontId="40" fillId="78" borderId="123" xfId="0" applyFont="1" applyFill="1" applyBorder="1" applyAlignment="1">
      <alignment horizontal="center" vertical="center" wrapText="1"/>
    </xf>
    <xf numFmtId="0" fontId="40" fillId="78" borderId="73" xfId="0" applyFont="1" applyFill="1" applyBorder="1" applyAlignment="1">
      <alignment horizontal="center" vertical="center" wrapText="1"/>
    </xf>
    <xf numFmtId="0" fontId="0" fillId="0" borderId="71" xfId="0" applyFill="1" applyBorder="1" applyAlignment="1">
      <alignment horizontal="center" vertical="center" wrapText="1"/>
    </xf>
    <xf numFmtId="0" fontId="0" fillId="0" borderId="123" xfId="0" applyFill="1" applyBorder="1" applyAlignment="1">
      <alignment horizontal="center" vertical="center" wrapText="1"/>
    </xf>
    <xf numFmtId="0" fontId="0" fillId="0" borderId="73" xfId="0" applyFill="1" applyBorder="1" applyAlignment="1">
      <alignment horizontal="center" vertical="center" wrapText="1"/>
    </xf>
    <xf numFmtId="0" fontId="0" fillId="78" borderId="13" xfId="0" applyFill="1" applyBorder="1" applyAlignment="1">
      <alignment horizontal="center"/>
    </xf>
    <xf numFmtId="0" fontId="0" fillId="78" borderId="16" xfId="0" applyFill="1" applyBorder="1" applyAlignment="1">
      <alignment horizontal="center"/>
    </xf>
    <xf numFmtId="0" fontId="0" fillId="78" borderId="11" xfId="0" applyFill="1" applyBorder="1" applyAlignment="1">
      <alignment horizontal="center"/>
    </xf>
    <xf numFmtId="0" fontId="40" fillId="78" borderId="57" xfId="0" applyFont="1" applyFill="1" applyBorder="1" applyAlignment="1">
      <alignment horizontal="left" vertical="center" wrapText="1"/>
    </xf>
    <xf numFmtId="0" fontId="61" fillId="78" borderId="11" xfId="0" applyFont="1" applyFill="1" applyBorder="1" applyAlignment="1">
      <alignment horizontal="left" wrapText="1"/>
    </xf>
    <xf numFmtId="0" fontId="40" fillId="78" borderId="108" xfId="0" applyFont="1" applyFill="1" applyBorder="1" applyAlignment="1">
      <alignment horizontal="left" wrapText="1"/>
    </xf>
    <xf numFmtId="0" fontId="40" fillId="78" borderId="104" xfId="0" applyFont="1" applyFill="1" applyBorder="1" applyAlignment="1">
      <alignment horizontal="left" wrapText="1"/>
    </xf>
    <xf numFmtId="0" fontId="0" fillId="78" borderId="80" xfId="0" applyFont="1" applyFill="1" applyBorder="1" applyAlignment="1">
      <alignment horizontal="center"/>
    </xf>
    <xf numFmtId="0" fontId="0" fillId="78" borderId="81" xfId="0" applyFont="1" applyFill="1" applyBorder="1" applyAlignment="1">
      <alignment horizontal="center"/>
    </xf>
    <xf numFmtId="0" fontId="50" fillId="73" borderId="10" xfId="0" applyFont="1" applyFill="1" applyBorder="1" applyAlignment="1">
      <alignment horizontal="center" vertical="center" wrapText="1"/>
    </xf>
    <xf numFmtId="0" fontId="47" fillId="73" borderId="10" xfId="0" applyFont="1" applyFill="1" applyBorder="1" applyAlignment="1">
      <alignment horizontal="center" vertical="center" wrapText="1"/>
    </xf>
    <xf numFmtId="0" fontId="47" fillId="73" borderId="85" xfId="0" applyFont="1" applyFill="1" applyBorder="1" applyAlignment="1">
      <alignment horizontal="center" vertical="center" wrapText="1"/>
    </xf>
    <xf numFmtId="0" fontId="0" fillId="73" borderId="10" xfId="0" applyFont="1" applyFill="1" applyBorder="1" applyAlignment="1">
      <alignment horizontal="center" vertical="center"/>
    </xf>
    <xf numFmtId="0" fontId="163" fillId="73" borderId="75" xfId="0" applyFont="1" applyFill="1" applyBorder="1" applyAlignment="1">
      <alignment horizontal="center" vertical="center" wrapText="1"/>
    </xf>
    <xf numFmtId="0" fontId="163" fillId="73" borderId="0" xfId="0" applyFont="1" applyFill="1" applyBorder="1" applyAlignment="1">
      <alignment horizontal="center" vertical="center" wrapText="1"/>
    </xf>
    <xf numFmtId="0" fontId="164" fillId="73" borderId="109" xfId="0" applyFont="1" applyFill="1" applyBorder="1" applyAlignment="1">
      <alignment horizontal="center" vertical="center" wrapText="1"/>
    </xf>
    <xf numFmtId="0" fontId="164" fillId="73" borderId="110" xfId="0" applyFont="1" applyFill="1" applyBorder="1" applyAlignment="1">
      <alignment horizontal="center" vertical="center" wrapText="1"/>
    </xf>
    <xf numFmtId="0" fontId="54" fillId="0" borderId="0" xfId="682" applyFont="1" applyAlignment="1">
      <alignment horizontal="left" wrapText="1"/>
    </xf>
    <xf numFmtId="0" fontId="172" fillId="27" borderId="0" xfId="682" applyFont="1" applyFill="1" applyAlignment="1">
      <alignment horizontal="left" vertical="center" wrapText="1"/>
    </xf>
    <xf numFmtId="0" fontId="169" fillId="0" borderId="0" xfId="682" applyFont="1" applyAlignment="1">
      <alignment horizontal="center" vertical="center"/>
    </xf>
    <xf numFmtId="0" fontId="40" fillId="27" borderId="0" xfId="682" applyFont="1" applyFill="1" applyAlignment="1">
      <alignment horizontal="left" wrapText="1"/>
    </xf>
    <xf numFmtId="0" fontId="46" fillId="0" borderId="0" xfId="30099" applyFont="1" applyAlignment="1">
      <alignment horizontal="left" vertical="top" wrapText="1" indent="1"/>
    </xf>
    <xf numFmtId="0" fontId="46" fillId="0" borderId="0" xfId="30099" applyFont="1" applyAlignment="1">
      <alignment horizontal="left" vertical="top" wrapText="1" indent="5"/>
    </xf>
    <xf numFmtId="0" fontId="46" fillId="0" borderId="0" xfId="30099" applyFont="1" applyAlignment="1">
      <alignment horizontal="center" vertical="top" wrapText="1"/>
    </xf>
    <xf numFmtId="0" fontId="46" fillId="0" borderId="0" xfId="30099" applyFont="1" applyAlignment="1">
      <alignment horizontal="left" vertical="top" wrapText="1" indent="4"/>
    </xf>
    <xf numFmtId="0" fontId="46" fillId="0" borderId="0" xfId="30099" applyFont="1" applyAlignment="1">
      <alignment horizontal="left" vertical="top" wrapText="1" indent="8"/>
    </xf>
    <xf numFmtId="0" fontId="46" fillId="0" borderId="0" xfId="30099" applyFont="1" applyAlignment="1">
      <alignment horizontal="left" vertical="center" wrapText="1" indent="1"/>
    </xf>
    <xf numFmtId="0" fontId="46" fillId="0" borderId="37" xfId="26000" applyFont="1" applyBorder="1" applyAlignment="1" applyProtection="1">
      <alignment horizontal="left" vertical="top" wrapText="1"/>
    </xf>
    <xf numFmtId="0" fontId="46" fillId="0" borderId="38" xfId="26000" applyFont="1" applyBorder="1" applyAlignment="1" applyProtection="1">
      <alignment horizontal="left" vertical="top" wrapText="1"/>
    </xf>
    <xf numFmtId="0" fontId="46" fillId="0" borderId="39" xfId="26000" applyFont="1" applyBorder="1" applyAlignment="1" applyProtection="1">
      <alignment horizontal="left" vertical="top" wrapText="1"/>
    </xf>
    <xf numFmtId="0" fontId="46" fillId="0" borderId="15" xfId="26000" applyFont="1" applyBorder="1" applyAlignment="1" applyProtection="1">
      <alignment horizontal="left" vertical="top" wrapText="1"/>
    </xf>
    <xf numFmtId="0" fontId="46" fillId="0" borderId="0" xfId="26000" applyFont="1" applyAlignment="1" applyProtection="1">
      <alignment horizontal="left" vertical="top" wrapText="1"/>
    </xf>
    <xf numFmtId="0" fontId="46" fillId="0" borderId="60" xfId="26000" applyFont="1" applyBorder="1" applyAlignment="1" applyProtection="1">
      <alignment horizontal="left" vertical="top" wrapText="1"/>
    </xf>
    <xf numFmtId="0" fontId="46" fillId="0" borderId="40" xfId="26000" applyFont="1" applyBorder="1" applyAlignment="1" applyProtection="1">
      <alignment horizontal="left" vertical="top" wrapText="1"/>
    </xf>
    <xf numFmtId="0" fontId="46" fillId="0" borderId="41" xfId="26000" applyFont="1" applyBorder="1" applyAlignment="1" applyProtection="1">
      <alignment horizontal="left" vertical="top" wrapText="1"/>
    </xf>
    <xf numFmtId="0" fontId="46" fillId="0" borderId="42" xfId="26000" applyFont="1" applyBorder="1" applyAlignment="1" applyProtection="1">
      <alignment horizontal="left" vertical="top" wrapText="1"/>
    </xf>
    <xf numFmtId="0" fontId="61" fillId="0" borderId="0" xfId="26000" applyFont="1" applyAlignment="1" applyProtection="1">
      <alignment horizontal="center" vertical="top"/>
    </xf>
    <xf numFmtId="0" fontId="61" fillId="0" borderId="0" xfId="26000" applyFont="1" applyAlignment="1" applyProtection="1">
      <alignment horizontal="center" vertical="top" wrapText="1"/>
    </xf>
    <xf numFmtId="0" fontId="166" fillId="0" borderId="74" xfId="26000" applyFont="1" applyBorder="1" applyAlignment="1" applyProtection="1">
      <alignment horizontal="left" vertical="top" wrapText="1"/>
    </xf>
    <xf numFmtId="0" fontId="166" fillId="0" borderId="75" xfId="26000" applyFont="1" applyBorder="1" applyAlignment="1" applyProtection="1">
      <alignment horizontal="left" vertical="top" wrapText="1"/>
    </xf>
    <xf numFmtId="0" fontId="166" fillId="0" borderId="76" xfId="26000" applyFont="1" applyBorder="1" applyAlignment="1" applyProtection="1">
      <alignment horizontal="left" vertical="top" wrapText="1"/>
    </xf>
    <xf numFmtId="0" fontId="166" fillId="0" borderId="22" xfId="26000" applyFont="1" applyBorder="1" applyAlignment="1" applyProtection="1">
      <alignment horizontal="left" vertical="top" wrapText="1"/>
    </xf>
    <xf numFmtId="0" fontId="166" fillId="0" borderId="0" xfId="26000" applyFont="1" applyAlignment="1" applyProtection="1">
      <alignment horizontal="left" vertical="top" wrapText="1"/>
    </xf>
    <xf numFmtId="0" fontId="166" fillId="0" borderId="56" xfId="26000" applyFont="1" applyBorder="1" applyAlignment="1" applyProtection="1">
      <alignment horizontal="left" vertical="top" wrapText="1"/>
    </xf>
    <xf numFmtId="0" fontId="166" fillId="0" borderId="77" xfId="26000" applyFont="1" applyBorder="1" applyAlignment="1" applyProtection="1">
      <alignment horizontal="left" vertical="top" wrapText="1"/>
    </xf>
    <xf numFmtId="0" fontId="166" fillId="0" borderId="17" xfId="26000" applyFont="1" applyBorder="1" applyAlignment="1" applyProtection="1">
      <alignment horizontal="left" vertical="top" wrapText="1"/>
    </xf>
    <xf numFmtId="0" fontId="166" fillId="0" borderId="78" xfId="26000" applyFont="1" applyBorder="1" applyAlignment="1" applyProtection="1">
      <alignment horizontal="left" vertical="top" wrapText="1"/>
    </xf>
    <xf numFmtId="0" fontId="61" fillId="0" borderId="41" xfId="26000" applyFont="1" applyBorder="1" applyAlignment="1" applyProtection="1">
      <alignment horizontal="left"/>
    </xf>
  </cellXfs>
  <cellStyles count="31722">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3" xfId="551" xr:uid="{00000000-0005-0000-0000-000048030000}"/>
    <cellStyle name="Currency 3 10" xfId="30620" xr:uid="{CC98C09A-FB90-4F09-8713-CE67BE1C4FA6}"/>
    <cellStyle name="Currency 3 11" xfId="30918" xr:uid="{AC79C766-96F4-4BB0-9D53-CAD075CD5FB9}"/>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5" xfId="30098" xr:uid="{07506169-A6FD-44A0-8C52-1A1EF451F172}"/>
    <cellStyle name="Normal 26" xfId="30103" xr:uid="{7027CCDA-B9FD-43DE-A40A-182DF76F28F4}"/>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5" formatCode=";;;"/>
    </dxf>
    <dxf>
      <numFmt numFmtId="185" formatCode=";;;"/>
    </dxf>
    <dxf>
      <numFmt numFmtId="185" formatCode=";;;"/>
    </dxf>
    <dxf>
      <numFmt numFmtId="185" formatCode=";;;"/>
    </dxf>
    <dxf>
      <numFmt numFmtId="185"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38"/>
      <tableStyleElement type="headerRow" dxfId="137"/>
      <tableStyleElement type="firstRowStripe" dxfId="136"/>
    </tableStyle>
  </tableStyles>
  <colors>
    <mruColors>
      <color rgb="FFCCFFFF"/>
      <color rgb="FFFFFFCC"/>
      <color rgb="FFCCFF66"/>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0FB8-451E-A31F-8106E5059BFB}"/>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0FB8-451E-A31F-8106E5059BFB}"/>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0FB8-451E-A31F-8106E5059BFB}"/>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layout>
        <c:manualLayout>
          <c:xMode val="edge"/>
          <c:yMode val="edge"/>
          <c:x val="0.27314075943617855"/>
          <c:y val="8.035367889975679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#'!$B$11</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#'!$B$12</c:f>
              <c:numCache>
                <c:formatCode>0.00</c:formatCode>
                <c:ptCount val="1"/>
                <c:pt idx="0">
                  <c:v>#N/A</c:v>
                </c:pt>
              </c:numCache>
            </c:numRef>
          </c:val>
          <c:extLst>
            <c:ext xmlns:c16="http://schemas.microsoft.com/office/drawing/2014/chart" uri="{C3380CC4-5D6E-409C-BE32-E72D297353CC}">
              <c16:uniqueId val="{00000000-EC99-4B84-819B-5FA53B597976}"/>
            </c:ext>
          </c:extLst>
        </c:ser>
        <c:ser>
          <c:idx val="1"/>
          <c:order val="1"/>
          <c:tx>
            <c:strRef>
              <c:f>'PI series #'!$C$11</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#'!$C$12</c:f>
              <c:numCache>
                <c:formatCode>0.00</c:formatCode>
                <c:ptCount val="1"/>
                <c:pt idx="0">
                  <c:v>#N/A</c:v>
                </c:pt>
              </c:numCache>
            </c:numRef>
          </c:val>
          <c:extLst>
            <c:ext xmlns:c16="http://schemas.microsoft.com/office/drawing/2014/chart" uri="{C3380CC4-5D6E-409C-BE32-E72D297353CC}">
              <c16:uniqueId val="{00000001-EC99-4B84-819B-5FA53B597976}"/>
            </c:ext>
          </c:extLst>
        </c:ser>
        <c:ser>
          <c:idx val="2"/>
          <c:order val="2"/>
          <c:tx>
            <c:strRef>
              <c:f>'PI series #'!$D$11</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#'!$D$12</c:f>
              <c:numCache>
                <c:formatCode>0.00</c:formatCode>
                <c:ptCount val="1"/>
                <c:pt idx="0">
                  <c:v>#N/A</c:v>
                </c:pt>
              </c:numCache>
            </c:numRef>
          </c:val>
          <c:extLst>
            <c:ext xmlns:c16="http://schemas.microsoft.com/office/drawing/2014/chart" uri="{C3380CC4-5D6E-409C-BE32-E72D297353CC}">
              <c16:uniqueId val="{00000002-EC99-4B84-819B-5FA53B597976}"/>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layout>
        <c:manualLayout>
          <c:xMode val="edge"/>
          <c:yMode val="edge"/>
          <c:x val="0.37882602401356363"/>
          <c:y val="0.89314561268280834"/>
          <c:w val="0.24234779045462701"/>
          <c:h val="0.1014280294031689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layout>
        <c:manualLayout>
          <c:xMode val="edge"/>
          <c:yMode val="edge"/>
          <c:x val="0.38390997231415752"/>
          <c:y val="8.571773700680382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#'!$B$17</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#'!$B$18</c:f>
              <c:numCache>
                <c:formatCode>0.00</c:formatCode>
                <c:ptCount val="1"/>
                <c:pt idx="0">
                  <c:v>#N/A</c:v>
                </c:pt>
              </c:numCache>
            </c:numRef>
          </c:val>
          <c:extLst>
            <c:ext xmlns:c16="http://schemas.microsoft.com/office/drawing/2014/chart" uri="{C3380CC4-5D6E-409C-BE32-E72D297353CC}">
              <c16:uniqueId val="{00000000-A6EC-4DCA-A4FF-DAB01969D3CA}"/>
            </c:ext>
          </c:extLst>
        </c:ser>
        <c:ser>
          <c:idx val="1"/>
          <c:order val="1"/>
          <c:tx>
            <c:strRef>
              <c:f>'PI series #'!$C$17</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#'!$C$18</c:f>
              <c:numCache>
                <c:formatCode>0.00</c:formatCode>
                <c:ptCount val="1"/>
                <c:pt idx="0">
                  <c:v>#N/A</c:v>
                </c:pt>
              </c:numCache>
            </c:numRef>
          </c:val>
          <c:extLst>
            <c:ext xmlns:c16="http://schemas.microsoft.com/office/drawing/2014/chart" uri="{C3380CC4-5D6E-409C-BE32-E72D297353CC}">
              <c16:uniqueId val="{00000001-A6EC-4DCA-A4FF-DAB01969D3CA}"/>
            </c:ext>
          </c:extLst>
        </c:ser>
        <c:ser>
          <c:idx val="2"/>
          <c:order val="2"/>
          <c:tx>
            <c:strRef>
              <c:f>'PI series #'!$D$17</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#'!$D$18</c:f>
              <c:numCache>
                <c:formatCode>0.00</c:formatCode>
                <c:ptCount val="1"/>
                <c:pt idx="0">
                  <c:v>#N/A</c:v>
                </c:pt>
              </c:numCache>
            </c:numRef>
          </c:val>
          <c:extLst>
            <c:ext xmlns:c16="http://schemas.microsoft.com/office/drawing/2014/chart" uri="{C3380CC4-5D6E-409C-BE32-E72D297353CC}">
              <c16:uniqueId val="{00000002-A6EC-4DCA-A4FF-DAB01969D3CA}"/>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9E9-4F09-B4AB-5AEBE682FC95}"/>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9E9-4F09-B4AB-5AEBE682FC95}"/>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9E9-4F09-B4AB-5AEBE682FC95}"/>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CD8-4BD2-BB91-ABDB6BD1EDAF}"/>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CD8-4BD2-BB91-ABDB6BD1EDAF}"/>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CD8-4BD2-BB91-ABDB6BD1EDAF}"/>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1952621</xdr:colOff>
      <xdr:row>46</xdr:row>
      <xdr:rowOff>228600</xdr:rowOff>
    </xdr:from>
    <xdr:to>
      <xdr:col>5</xdr:col>
      <xdr:colOff>3507101</xdr:colOff>
      <xdr:row>51</xdr:row>
      <xdr:rowOff>95250</xdr:rowOff>
    </xdr:to>
    <xdr:sp macro="" textlink="">
      <xdr:nvSpPr>
        <xdr:cNvPr id="2" name="Arrow: Right 1">
          <a:extLst>
            <a:ext uri="{FF2B5EF4-FFF2-40B4-BE49-F238E27FC236}">
              <a16:creationId xmlns:a16="http://schemas.microsoft.com/office/drawing/2014/main" id="{00000000-0008-0000-0200-000002000000}"/>
            </a:ext>
          </a:extLst>
        </xdr:cNvPr>
        <xdr:cNvSpPr/>
      </xdr:nvSpPr>
      <xdr:spPr>
        <a:xfrm>
          <a:off x="5848346" y="4752975"/>
          <a:ext cx="1554480" cy="137160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950" b="1" i="1" baseline="0">
              <a:solidFill>
                <a:schemeClr val="tx1"/>
              </a:solidFill>
              <a:effectLst/>
              <a:latin typeface="+mn-lt"/>
              <a:ea typeface="+mn-ea"/>
              <a:cs typeface="+mn-cs"/>
            </a:rPr>
            <a:t>Q 955 &amp; 957 Exclude Federal and State compliance findings from this number</a:t>
          </a:r>
          <a:endParaRPr lang="en-US" sz="950" b="1" i="1">
            <a:solidFill>
              <a:schemeClr val="tx1"/>
            </a:solidFill>
            <a:effectLst/>
          </a:endParaRPr>
        </a:p>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353784</xdr:colOff>
      <xdr:row>8</xdr:row>
      <xdr:rowOff>176893</xdr:rowOff>
    </xdr:from>
    <xdr:to>
      <xdr:col>3</xdr:col>
      <xdr:colOff>1170214</xdr:colOff>
      <xdr:row>8</xdr:row>
      <xdr:rowOff>2286000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340178</xdr:colOff>
      <xdr:row>13</xdr:row>
      <xdr:rowOff>68036</xdr:rowOff>
    </xdr:from>
    <xdr:to>
      <xdr:col>3</xdr:col>
      <xdr:colOff>1156608</xdr:colOff>
      <xdr:row>13</xdr:row>
      <xdr:rowOff>2408464</xdr:rowOff>
    </xdr:to>
    <xdr:graphicFrame macro="">
      <xdr:nvGraphicFramePr>
        <xdr:cNvPr id="3" name="Chart 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272144</xdr:colOff>
      <xdr:row>20</xdr:row>
      <xdr:rowOff>81643</xdr:rowOff>
    </xdr:from>
    <xdr:to>
      <xdr:col>3</xdr:col>
      <xdr:colOff>1088574</xdr:colOff>
      <xdr:row>20</xdr:row>
      <xdr:rowOff>2449286</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289560</xdr:colOff>
          <xdr:row>5</xdr:row>
          <xdr:rowOff>251460</xdr:rowOff>
        </xdr:from>
        <xdr:to>
          <xdr:col>5</xdr:col>
          <xdr:colOff>480060</xdr:colOff>
          <xdr:row>6</xdr:row>
          <xdr:rowOff>1203960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400-0000014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353784</xdr:colOff>
      <xdr:row>9</xdr:row>
      <xdr:rowOff>176893</xdr:rowOff>
    </xdr:from>
    <xdr:to>
      <xdr:col>3</xdr:col>
      <xdr:colOff>1170214</xdr:colOff>
      <xdr:row>9</xdr:row>
      <xdr:rowOff>2286000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353784</xdr:colOff>
      <xdr:row>10</xdr:row>
      <xdr:rowOff>176893</xdr:rowOff>
    </xdr:from>
    <xdr:to>
      <xdr:col>3</xdr:col>
      <xdr:colOff>1170214</xdr:colOff>
      <xdr:row>10</xdr:row>
      <xdr:rowOff>2286000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F73F-CC12-4A37-9A71-25656318CEB1}">
  <sheetPr>
    <tabColor theme="4" tint="0.79998168889431442"/>
  </sheetPr>
  <dimension ref="B1:N58"/>
  <sheetViews>
    <sheetView tabSelected="1" zoomScaleNormal="100" workbookViewId="0">
      <selection activeCell="B2" sqref="B2"/>
    </sheetView>
  </sheetViews>
  <sheetFormatPr defaultColWidth="9.109375" defaultRowHeight="14.4" x14ac:dyDescent="0.3"/>
  <cols>
    <col min="1" max="1" width="1.6640625" style="271" customWidth="1"/>
    <col min="2" max="2" width="187.109375" style="271" customWidth="1"/>
    <col min="3" max="4" width="9.109375" style="271" hidden="1" customWidth="1"/>
    <col min="5" max="5" width="2.33203125" style="271" customWidth="1"/>
    <col min="6" max="6" width="8.109375" style="271" customWidth="1"/>
    <col min="7" max="16384" width="9.109375" style="271"/>
  </cols>
  <sheetData>
    <row r="1" spans="2:14" ht="9.6" customHeight="1" thickBot="1" x14ac:dyDescent="0.35">
      <c r="B1" s="178"/>
    </row>
    <row r="2" spans="2:14" ht="86.4" customHeight="1" thickBot="1" x14ac:dyDescent="0.35">
      <c r="B2" s="1138" t="s">
        <v>1796</v>
      </c>
    </row>
    <row r="3" spans="2:14" ht="58.2" customHeight="1" x14ac:dyDescent="0.3">
      <c r="B3" s="189" t="s">
        <v>1797</v>
      </c>
    </row>
    <row r="4" spans="2:14" ht="93.6" customHeight="1" x14ac:dyDescent="0.4">
      <c r="B4" s="189" t="s">
        <v>1798</v>
      </c>
      <c r="F4" s="1139"/>
      <c r="G4" s="1139"/>
      <c r="H4" s="1139"/>
      <c r="I4" s="1139"/>
      <c r="J4" s="1139"/>
      <c r="K4" s="1139"/>
      <c r="L4" s="1139"/>
      <c r="M4" s="1139"/>
      <c r="N4" s="1139"/>
    </row>
    <row r="5" spans="2:14" ht="49.2" customHeight="1" x14ac:dyDescent="0.3">
      <c r="B5" s="189" t="s">
        <v>1799</v>
      </c>
    </row>
    <row r="6" spans="2:14" ht="126.6" customHeight="1" x14ac:dyDescent="0.3">
      <c r="B6" s="179" t="s">
        <v>1800</v>
      </c>
    </row>
    <row r="7" spans="2:14" ht="25.95" customHeight="1" x14ac:dyDescent="0.3">
      <c r="B7" s="191" t="s">
        <v>862</v>
      </c>
    </row>
    <row r="8" spans="2:14" ht="54.6" customHeight="1" x14ac:dyDescent="0.3">
      <c r="B8" s="1140" t="s">
        <v>1801</v>
      </c>
    </row>
    <row r="9" spans="2:14" ht="53.4" customHeight="1" x14ac:dyDescent="0.3">
      <c r="B9" s="1140" t="s">
        <v>863</v>
      </c>
    </row>
    <row r="10" spans="2:14" s="1142" customFormat="1" ht="37.950000000000003" customHeight="1" x14ac:dyDescent="0.3">
      <c r="B10" s="1141" t="s">
        <v>864</v>
      </c>
    </row>
    <row r="11" spans="2:14" s="1142" customFormat="1" ht="51.6" customHeight="1" x14ac:dyDescent="0.3">
      <c r="B11" s="1143" t="s">
        <v>1802</v>
      </c>
    </row>
    <row r="12" spans="2:14" ht="49.95" customHeight="1" x14ac:dyDescent="0.3">
      <c r="B12" s="1143" t="s">
        <v>1803</v>
      </c>
    </row>
    <row r="13" spans="2:14" ht="21" customHeight="1" x14ac:dyDescent="0.3">
      <c r="B13" s="1144" t="s">
        <v>1804</v>
      </c>
    </row>
    <row r="14" spans="2:14" ht="25.95" customHeight="1" x14ac:dyDescent="0.3">
      <c r="B14" s="191" t="s">
        <v>865</v>
      </c>
    </row>
    <row r="15" spans="2:14" x14ac:dyDescent="0.3">
      <c r="B15" s="178"/>
    </row>
    <row r="16" spans="2:14" x14ac:dyDescent="0.3">
      <c r="B16" s="1145" t="s">
        <v>37</v>
      </c>
    </row>
    <row r="17" spans="2:2" ht="23.4" customHeight="1" x14ac:dyDescent="0.3">
      <c r="B17" s="1146" t="s">
        <v>1805</v>
      </c>
    </row>
    <row r="18" spans="2:2" x14ac:dyDescent="0.3">
      <c r="B18" s="1147"/>
    </row>
    <row r="19" spans="2:2" x14ac:dyDescent="0.3">
      <c r="B19" s="1145" t="s">
        <v>38</v>
      </c>
    </row>
    <row r="20" spans="2:2" ht="24.6" customHeight="1" x14ac:dyDescent="0.3">
      <c r="B20" s="1148" t="s">
        <v>674</v>
      </c>
    </row>
    <row r="21" spans="2:2" ht="13.2" customHeight="1" x14ac:dyDescent="0.3">
      <c r="B21" s="178"/>
    </row>
    <row r="22" spans="2:2" ht="25.95" customHeight="1" x14ac:dyDescent="0.3">
      <c r="B22" s="191" t="s">
        <v>866</v>
      </c>
    </row>
    <row r="23" spans="2:2" s="1142" customFormat="1" ht="82.2" customHeight="1" x14ac:dyDescent="0.3">
      <c r="B23" s="1140" t="s">
        <v>1806</v>
      </c>
    </row>
    <row r="24" spans="2:2" s="1142" customFormat="1" ht="74.400000000000006" customHeight="1" x14ac:dyDescent="0.3">
      <c r="B24" s="1140" t="s">
        <v>1807</v>
      </c>
    </row>
    <row r="25" spans="2:2" s="1142" customFormat="1" ht="81" customHeight="1" x14ac:dyDescent="0.3">
      <c r="B25" s="1140" t="s">
        <v>867</v>
      </c>
    </row>
    <row r="26" spans="2:2" ht="15" x14ac:dyDescent="0.3">
      <c r="B26" s="181" t="s">
        <v>1808</v>
      </c>
    </row>
    <row r="27" spans="2:2" ht="8.4" customHeight="1" x14ac:dyDescent="0.3">
      <c r="B27" s="180"/>
    </row>
    <row r="28" spans="2:2" ht="25.95" customHeight="1" x14ac:dyDescent="0.3">
      <c r="B28" s="191" t="s">
        <v>1809</v>
      </c>
    </row>
    <row r="29" spans="2:2" ht="17.399999999999999" customHeight="1" x14ac:dyDescent="0.3">
      <c r="B29" s="192" t="s">
        <v>1810</v>
      </c>
    </row>
    <row r="30" spans="2:2" ht="29.4" customHeight="1" x14ac:dyDescent="0.3">
      <c r="B30" s="192" t="s">
        <v>1811</v>
      </c>
    </row>
    <row r="31" spans="2:2" ht="35.4" customHeight="1" x14ac:dyDescent="0.3">
      <c r="B31" s="1149" t="s">
        <v>1812</v>
      </c>
    </row>
    <row r="32" spans="2:2" ht="33.6" customHeight="1" x14ac:dyDescent="0.3">
      <c r="B32" s="1149" t="s">
        <v>1813</v>
      </c>
    </row>
    <row r="33" spans="2:7" ht="25.95" customHeight="1" x14ac:dyDescent="0.3">
      <c r="B33" s="1150" t="s">
        <v>1814</v>
      </c>
    </row>
    <row r="34" spans="2:7" ht="28.95" customHeight="1" x14ac:dyDescent="0.3">
      <c r="B34" s="1151" t="s">
        <v>1815</v>
      </c>
    </row>
    <row r="35" spans="2:7" ht="52.2" customHeight="1" x14ac:dyDescent="0.3">
      <c r="B35" s="192" t="s">
        <v>1816</v>
      </c>
    </row>
    <row r="36" spans="2:7" ht="25.95" customHeight="1" x14ac:dyDescent="0.3">
      <c r="B36" s="192" t="s">
        <v>1817</v>
      </c>
    </row>
    <row r="37" spans="2:7" ht="12" customHeight="1" x14ac:dyDescent="0.3">
      <c r="B37" s="192"/>
    </row>
    <row r="38" spans="2:7" ht="25.95" customHeight="1" x14ac:dyDescent="0.3">
      <c r="B38" s="191" t="s">
        <v>1131</v>
      </c>
    </row>
    <row r="39" spans="2:7" x14ac:dyDescent="0.3">
      <c r="B39" s="190"/>
      <c r="G39" s="1152"/>
    </row>
    <row r="40" spans="2:7" ht="39.6" customHeight="1" x14ac:dyDescent="0.3">
      <c r="B40" s="1153" t="s">
        <v>1818</v>
      </c>
    </row>
    <row r="41" spans="2:7" ht="19.95" customHeight="1" x14ac:dyDescent="0.3">
      <c r="B41" s="1154" t="s">
        <v>1804</v>
      </c>
    </row>
    <row r="42" spans="2:7" ht="11.4" customHeight="1" x14ac:dyDescent="0.3">
      <c r="B42" s="193"/>
    </row>
    <row r="43" spans="2:7" ht="15" x14ac:dyDescent="0.3">
      <c r="B43" s="194"/>
    </row>
    <row r="44" spans="2:7" ht="7.2" customHeight="1" x14ac:dyDescent="0.3">
      <c r="B44" s="192"/>
    </row>
    <row r="45" spans="2:7" ht="25.95" customHeight="1" x14ac:dyDescent="0.3">
      <c r="B45" s="191" t="s">
        <v>1132</v>
      </c>
    </row>
    <row r="46" spans="2:7" ht="35.4" customHeight="1" x14ac:dyDescent="0.3">
      <c r="B46" s="1153" t="s">
        <v>1819</v>
      </c>
    </row>
    <row r="47" spans="2:7" ht="15" x14ac:dyDescent="0.3">
      <c r="B47" s="194"/>
    </row>
    <row r="58" ht="44.25" customHeight="1" x14ac:dyDescent="0.3"/>
  </sheetData>
  <sheetProtection algorithmName="SHA-512" hashValue="GuCeqAFO4lguaSghtLhbGdRPbVN5/Ivc0chLrQ19gNM4jTzmNIlmz8snAe1PAAF/9NQZWKngJT+/pTmHiMg2Ng==" saltValue="iA5wBYjUSPpHNIO0WE9zYg==" spinCount="100000" sheet="1" formatCells="0" formatColumns="0" formatRows="0"/>
  <hyperlinks>
    <hyperlink ref="B17" r:id="rId1" xr:uid="{186875CF-BE50-4C0B-A4C9-FCB79C4B1FA1}"/>
    <hyperlink ref="B20" r:id="rId2" xr:uid="{5CDFE29C-2ED3-4C9F-A8B7-1704D1F026C1}"/>
    <hyperlink ref="B41" r:id="rId3" xr:uid="{D94FF68D-C7AE-4A04-9ACC-298D012F3370}"/>
    <hyperlink ref="B13" r:id="rId4" xr:uid="{CAF70820-7427-4CA4-90BF-291C497661E7}"/>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8B78-A2B6-4661-B34D-EE63136445DC}">
  <sheetPr codeName="Sheet11">
    <pageSetUpPr fitToPage="1"/>
  </sheetPr>
  <dimension ref="A1:CF417"/>
  <sheetViews>
    <sheetView zoomScale="91" zoomScaleNormal="91" workbookViewId="0">
      <pane xSplit="5" ySplit="1" topLeftCell="BV2" activePane="bottomRight" state="frozen"/>
      <selection pane="topRight" activeCell="F1" sqref="F1"/>
      <selection pane="bottomLeft" activeCell="A2" sqref="A2"/>
      <selection pane="bottomRight" activeCell="G369" sqref="G368:G369"/>
    </sheetView>
  </sheetViews>
  <sheetFormatPr defaultColWidth="9.109375" defaultRowHeight="14.4" x14ac:dyDescent="0.3"/>
  <cols>
    <col min="1" max="1" width="14.44140625" style="99" customWidth="1"/>
    <col min="2" max="2" width="17.44140625" style="315" customWidth="1"/>
    <col min="3" max="3" width="16.5546875" style="99" customWidth="1"/>
    <col min="4" max="4" width="27.6640625" style="99" customWidth="1"/>
    <col min="5" max="5" width="14.44140625" style="99" bestFit="1" customWidth="1"/>
    <col min="6" max="6" width="15.5546875" style="99" bestFit="1" customWidth="1"/>
    <col min="7" max="7" width="17.6640625" style="99" customWidth="1"/>
    <col min="8" max="8" width="17" style="99" bestFit="1" customWidth="1"/>
    <col min="9" max="9" width="15.5546875" style="99" bestFit="1" customWidth="1"/>
    <col min="10" max="10" width="14.44140625" style="99" bestFit="1" customWidth="1"/>
    <col min="11" max="11" width="15.44140625" style="99" bestFit="1" customWidth="1"/>
    <col min="12" max="12" width="14.44140625" style="99" bestFit="1" customWidth="1"/>
    <col min="13" max="13" width="17" style="99" bestFit="1" customWidth="1"/>
    <col min="14" max="14" width="17.44140625" style="99" customWidth="1"/>
    <col min="15" max="15" width="19.33203125" style="99" customWidth="1"/>
    <col min="16" max="16" width="15.5546875" style="99" bestFit="1" customWidth="1"/>
    <col min="17" max="17" width="15.88671875" style="99" bestFit="1" customWidth="1"/>
    <col min="18" max="18" width="15.5546875" style="99" bestFit="1" customWidth="1"/>
    <col min="19" max="32" width="16.88671875" style="99" customWidth="1"/>
    <col min="33" max="33" width="22.33203125" style="99" customWidth="1"/>
    <col min="34" max="34" width="18.6640625" style="99" customWidth="1"/>
    <col min="35" max="35" width="13.88671875" style="99" bestFit="1" customWidth="1"/>
    <col min="36" max="36" width="14.44140625" style="99" bestFit="1" customWidth="1"/>
    <col min="37" max="37" width="16.5546875" style="99" bestFit="1" customWidth="1"/>
    <col min="38" max="38" width="14.44140625" style="99" bestFit="1" customWidth="1"/>
    <col min="39" max="39" width="13.44140625" style="99" bestFit="1" customWidth="1"/>
    <col min="40" max="41" width="15.5546875" style="99" bestFit="1" customWidth="1"/>
    <col min="42" max="42" width="14.44140625" style="99" bestFit="1" customWidth="1"/>
    <col min="43" max="43" width="15.44140625" style="99" bestFit="1" customWidth="1"/>
    <col min="44" max="44" width="17" style="99" bestFit="1" customWidth="1"/>
    <col min="45" max="45" width="15.5546875" style="99" bestFit="1" customWidth="1"/>
    <col min="46" max="84" width="16.88671875" style="99" customWidth="1"/>
    <col min="85" max="16384" width="9.109375" style="99"/>
  </cols>
  <sheetData>
    <row r="1" spans="1:84" s="405" customFormat="1" x14ac:dyDescent="0.3">
      <c r="A1" s="405" t="s">
        <v>567</v>
      </c>
      <c r="B1" s="406" t="s">
        <v>703</v>
      </c>
      <c r="C1" s="405" t="s">
        <v>567</v>
      </c>
      <c r="E1" s="405" t="s">
        <v>567</v>
      </c>
      <c r="F1" s="405" t="s">
        <v>957</v>
      </c>
      <c r="G1" s="405" t="s">
        <v>958</v>
      </c>
      <c r="H1" s="405" t="s">
        <v>1701</v>
      </c>
      <c r="I1" s="405" t="s">
        <v>1702</v>
      </c>
      <c r="J1" s="405" t="s">
        <v>1703</v>
      </c>
      <c r="K1" s="405" t="s">
        <v>1704</v>
      </c>
      <c r="L1" s="405" t="s">
        <v>1705</v>
      </c>
      <c r="M1" s="405" t="s">
        <v>1706</v>
      </c>
      <c r="N1" s="405" t="s">
        <v>1707</v>
      </c>
      <c r="O1" s="405" t="s">
        <v>1708</v>
      </c>
      <c r="P1" s="405" t="s">
        <v>1709</v>
      </c>
      <c r="Q1" s="405" t="s">
        <v>1710</v>
      </c>
      <c r="R1" s="405" t="s">
        <v>959</v>
      </c>
      <c r="S1" s="405" t="s">
        <v>1711</v>
      </c>
      <c r="T1" s="405" t="s">
        <v>1712</v>
      </c>
      <c r="U1" s="405" t="s">
        <v>1713</v>
      </c>
      <c r="V1" s="405" t="s">
        <v>961</v>
      </c>
      <c r="W1" s="405" t="s">
        <v>1714</v>
      </c>
      <c r="X1" s="405" t="s">
        <v>1715</v>
      </c>
      <c r="Y1" s="405" t="s">
        <v>1716</v>
      </c>
      <c r="Z1" s="405" t="s">
        <v>962</v>
      </c>
      <c r="AA1" s="405" t="s">
        <v>963</v>
      </c>
      <c r="AB1" s="405" t="s">
        <v>1717</v>
      </c>
      <c r="AC1" s="405" t="s">
        <v>1718</v>
      </c>
      <c r="AD1" s="405" t="s">
        <v>1719</v>
      </c>
      <c r="AE1" s="405" t="s">
        <v>1720</v>
      </c>
      <c r="AF1" s="405" t="s">
        <v>1721</v>
      </c>
      <c r="AG1" s="405" t="s">
        <v>761</v>
      </c>
      <c r="AH1" s="405" t="s">
        <v>1722</v>
      </c>
      <c r="AI1" s="405" t="s">
        <v>1723</v>
      </c>
      <c r="AJ1" s="405" t="s">
        <v>1609</v>
      </c>
      <c r="AK1" s="405" t="s">
        <v>1724</v>
      </c>
      <c r="AL1" s="405" t="s">
        <v>964</v>
      </c>
      <c r="AM1" s="405" t="s">
        <v>1725</v>
      </c>
      <c r="AN1" s="405" t="e">
        <v>#N/A</v>
      </c>
      <c r="AO1" s="405" t="s">
        <v>1726</v>
      </c>
      <c r="AP1" s="405" t="s">
        <v>1727</v>
      </c>
      <c r="AQ1" s="405" t="s">
        <v>1728</v>
      </c>
      <c r="AR1" s="405" t="s">
        <v>1729</v>
      </c>
      <c r="AS1" s="405" t="s">
        <v>1730</v>
      </c>
      <c r="AT1" s="405" t="s">
        <v>1731</v>
      </c>
      <c r="AU1" s="405" t="s">
        <v>1610</v>
      </c>
      <c r="AV1" s="405" t="s">
        <v>966</v>
      </c>
      <c r="AW1" s="405" t="s">
        <v>775</v>
      </c>
      <c r="AX1" s="405" t="s">
        <v>776</v>
      </c>
      <c r="AY1" s="405" t="s">
        <v>1732</v>
      </c>
      <c r="AZ1" s="405" t="s">
        <v>1733</v>
      </c>
      <c r="BA1" s="405" t="s">
        <v>967</v>
      </c>
      <c r="BB1" s="405" t="s">
        <v>968</v>
      </c>
      <c r="BC1" s="405" t="e">
        <v>#N/A</v>
      </c>
      <c r="BD1" s="405" t="s">
        <v>970</v>
      </c>
      <c r="BE1" s="405" t="s">
        <v>1734</v>
      </c>
      <c r="BF1" s="405" t="s">
        <v>1735</v>
      </c>
      <c r="BG1" s="405" t="s">
        <v>1736</v>
      </c>
      <c r="BH1" s="405" t="s">
        <v>1737</v>
      </c>
      <c r="BI1" s="405" t="s">
        <v>1611</v>
      </c>
      <c r="BJ1" s="405" t="s">
        <v>1738</v>
      </c>
      <c r="BK1" s="405" t="s">
        <v>1612</v>
      </c>
      <c r="BL1" s="405" t="s">
        <v>1739</v>
      </c>
      <c r="BM1" s="405" t="s">
        <v>1740</v>
      </c>
      <c r="BN1" s="405" t="s">
        <v>762</v>
      </c>
      <c r="BO1" s="405" t="s">
        <v>1741</v>
      </c>
      <c r="BP1" s="405" t="s">
        <v>1613</v>
      </c>
      <c r="BQ1" s="405" t="s">
        <v>1742</v>
      </c>
      <c r="BR1" s="405" t="s">
        <v>777</v>
      </c>
      <c r="BS1" s="405" t="s">
        <v>1743</v>
      </c>
      <c r="BT1" s="405" t="s">
        <v>1744</v>
      </c>
      <c r="BU1" s="405" t="s">
        <v>1745</v>
      </c>
      <c r="BV1" s="405" t="s">
        <v>1746</v>
      </c>
      <c r="BW1" s="405" t="s">
        <v>1747</v>
      </c>
      <c r="BX1" s="405" t="s">
        <v>971</v>
      </c>
      <c r="BY1" s="405" t="s">
        <v>1748</v>
      </c>
      <c r="BZ1" s="405" t="s">
        <v>972</v>
      </c>
      <c r="CA1" s="405" t="s">
        <v>1749</v>
      </c>
      <c r="CB1" s="405" t="s">
        <v>973</v>
      </c>
      <c r="CC1" s="405" t="s">
        <v>1750</v>
      </c>
      <c r="CD1" s="405" t="s">
        <v>1751</v>
      </c>
      <c r="CE1" s="405" t="s">
        <v>1752</v>
      </c>
      <c r="CF1" s="405" t="s">
        <v>1753</v>
      </c>
    </row>
    <row r="2" spans="1:84" s="405" customFormat="1" x14ac:dyDescent="0.3">
      <c r="B2" s="406"/>
      <c r="E2" s="405" t="s">
        <v>297</v>
      </c>
      <c r="F2" s="405">
        <v>50129</v>
      </c>
      <c r="G2" s="405">
        <v>50130</v>
      </c>
      <c r="H2" s="405">
        <v>50560</v>
      </c>
      <c r="I2" s="405">
        <v>50131</v>
      </c>
      <c r="J2" s="405">
        <v>50132</v>
      </c>
      <c r="K2" s="405">
        <v>50133</v>
      </c>
      <c r="L2" s="405">
        <v>50134</v>
      </c>
      <c r="M2" s="405">
        <v>50473</v>
      </c>
      <c r="N2" s="405">
        <v>50135</v>
      </c>
      <c r="O2" s="405">
        <v>50136</v>
      </c>
      <c r="P2" s="405">
        <v>50514</v>
      </c>
      <c r="Q2" s="405">
        <v>50515</v>
      </c>
      <c r="R2" s="405">
        <v>50570</v>
      </c>
      <c r="S2" s="405">
        <v>50137</v>
      </c>
      <c r="T2" s="405">
        <v>50549</v>
      </c>
      <c r="U2" s="405">
        <v>50138</v>
      </c>
      <c r="V2" s="405">
        <v>50139</v>
      </c>
      <c r="W2" s="405">
        <v>50474</v>
      </c>
      <c r="X2" s="405">
        <v>50140</v>
      </c>
      <c r="Y2" s="405">
        <v>50141</v>
      </c>
      <c r="Z2" s="405">
        <v>50142</v>
      </c>
      <c r="AA2" s="405">
        <v>50143</v>
      </c>
      <c r="AB2" s="405">
        <v>50144</v>
      </c>
      <c r="AC2" s="405">
        <v>50492</v>
      </c>
      <c r="AD2" s="405">
        <v>50145</v>
      </c>
      <c r="AE2" s="405">
        <v>50146</v>
      </c>
      <c r="AF2" s="405">
        <v>50147</v>
      </c>
      <c r="AG2" s="405">
        <v>50148</v>
      </c>
      <c r="AH2" s="405">
        <v>50149</v>
      </c>
      <c r="AI2" s="405">
        <v>50150</v>
      </c>
      <c r="AJ2" s="405">
        <v>50151</v>
      </c>
      <c r="AK2" s="405">
        <v>50152</v>
      </c>
      <c r="AL2" s="405">
        <v>50153</v>
      </c>
      <c r="AM2" s="405">
        <v>50475</v>
      </c>
      <c r="AN2" s="405">
        <v>0</v>
      </c>
      <c r="AO2" s="405">
        <v>50155</v>
      </c>
      <c r="AP2" s="405">
        <v>50156</v>
      </c>
      <c r="AQ2" s="405">
        <v>50516</v>
      </c>
      <c r="AR2" s="405">
        <v>50157</v>
      </c>
      <c r="AS2" s="405">
        <v>50158</v>
      </c>
      <c r="AT2" s="405">
        <v>50545</v>
      </c>
      <c r="AU2" s="405">
        <v>50517</v>
      </c>
      <c r="AV2" s="405">
        <v>50448</v>
      </c>
      <c r="AW2" s="405">
        <v>50159</v>
      </c>
      <c r="AX2" s="405">
        <v>50160</v>
      </c>
      <c r="AY2" s="405">
        <v>50161</v>
      </c>
      <c r="AZ2" s="405">
        <v>50162</v>
      </c>
      <c r="BA2" s="405">
        <v>50163</v>
      </c>
      <c r="BB2" s="405">
        <v>50165</v>
      </c>
      <c r="BC2" s="405">
        <v>0</v>
      </c>
      <c r="BD2" s="405">
        <v>50167</v>
      </c>
      <c r="BE2" s="405">
        <v>50168</v>
      </c>
      <c r="BF2" s="405">
        <v>50169</v>
      </c>
      <c r="BG2" s="405">
        <v>50170</v>
      </c>
      <c r="BH2" s="405">
        <v>50451</v>
      </c>
      <c r="BI2" s="405">
        <v>50171</v>
      </c>
      <c r="BJ2" s="405">
        <v>50172</v>
      </c>
      <c r="BK2" s="405">
        <v>50440</v>
      </c>
      <c r="BL2" s="405">
        <v>50173</v>
      </c>
      <c r="BM2" s="405">
        <v>50547</v>
      </c>
      <c r="BN2" s="405">
        <v>50175</v>
      </c>
      <c r="BO2" s="405">
        <v>50176</v>
      </c>
      <c r="BP2" s="405">
        <v>50177</v>
      </c>
      <c r="BQ2" s="405">
        <v>50178</v>
      </c>
      <c r="BR2" s="405">
        <v>50180</v>
      </c>
      <c r="BS2" s="405">
        <v>50447</v>
      </c>
      <c r="BT2" s="405">
        <v>50179</v>
      </c>
      <c r="BU2" s="405">
        <v>50462</v>
      </c>
      <c r="BV2" s="405">
        <v>50181</v>
      </c>
      <c r="BW2" s="405">
        <v>50182</v>
      </c>
      <c r="BX2" s="405">
        <v>50183</v>
      </c>
      <c r="BY2" s="405">
        <v>50446</v>
      </c>
      <c r="BZ2" s="405">
        <v>50184</v>
      </c>
      <c r="CA2" s="405">
        <v>50185</v>
      </c>
      <c r="CB2" s="405">
        <v>50186</v>
      </c>
      <c r="CC2" s="405">
        <v>50187</v>
      </c>
      <c r="CD2" s="405">
        <v>50188</v>
      </c>
      <c r="CE2" s="405">
        <v>50189</v>
      </c>
      <c r="CF2" s="405">
        <v>50190</v>
      </c>
    </row>
    <row r="3" spans="1:84" s="405" customFormat="1" x14ac:dyDescent="0.3">
      <c r="A3" s="405">
        <v>4</v>
      </c>
      <c r="B3" s="406">
        <v>4</v>
      </c>
      <c r="C3" s="405">
        <v>4</v>
      </c>
      <c r="D3" s="405" t="s">
        <v>617</v>
      </c>
      <c r="E3" s="405" t="s">
        <v>298</v>
      </c>
      <c r="F3" s="405">
        <v>502686</v>
      </c>
      <c r="G3" s="405">
        <v>25797</v>
      </c>
      <c r="H3" s="405">
        <v>19357</v>
      </c>
      <c r="I3" s="405">
        <v>51748</v>
      </c>
      <c r="J3" s="405">
        <v>129530</v>
      </c>
      <c r="K3" s="405">
        <v>7269</v>
      </c>
      <c r="L3" s="405">
        <v>467</v>
      </c>
      <c r="M3" s="405">
        <v>13775</v>
      </c>
      <c r="N3" s="405">
        <v>254346</v>
      </c>
      <c r="O3" s="405">
        <v>9574436</v>
      </c>
      <c r="P3" s="405">
        <v>54910</v>
      </c>
      <c r="Q3" s="405">
        <v>150233</v>
      </c>
      <c r="R3" s="405">
        <v>2741</v>
      </c>
      <c r="S3" s="405">
        <v>802946</v>
      </c>
      <c r="T3" s="405">
        <v>3992</v>
      </c>
      <c r="U3" s="405">
        <v>5961</v>
      </c>
      <c r="V3" s="405">
        <v>0</v>
      </c>
      <c r="W3" s="405">
        <v>29331</v>
      </c>
      <c r="X3" s="405">
        <v>202310</v>
      </c>
      <c r="Y3" s="405">
        <v>43639</v>
      </c>
      <c r="Z3" s="405">
        <v>0</v>
      </c>
      <c r="AA3" s="405">
        <v>185772</v>
      </c>
      <c r="AB3" s="405">
        <v>1770613</v>
      </c>
      <c r="AC3" s="405">
        <v>2874</v>
      </c>
      <c r="AD3" s="405">
        <v>13215</v>
      </c>
      <c r="AE3" s="405">
        <v>1174509</v>
      </c>
      <c r="AF3" s="405">
        <v>19619</v>
      </c>
      <c r="AG3" s="405">
        <v>5339</v>
      </c>
      <c r="AH3" s="405">
        <v>3360893</v>
      </c>
      <c r="AI3" s="405">
        <v>9563</v>
      </c>
      <c r="AJ3" s="405">
        <v>7507</v>
      </c>
      <c r="AK3" s="405">
        <v>177056</v>
      </c>
      <c r="AL3" s="405">
        <v>23872</v>
      </c>
      <c r="AM3" s="405">
        <v>1069</v>
      </c>
      <c r="AN3" s="405">
        <v>0</v>
      </c>
      <c r="AO3" s="405">
        <v>0</v>
      </c>
      <c r="AP3" s="405">
        <v>929483</v>
      </c>
      <c r="AQ3" s="405">
        <v>150</v>
      </c>
      <c r="AR3" s="405">
        <v>150538</v>
      </c>
      <c r="AS3" s="405">
        <v>84111</v>
      </c>
      <c r="AT3" s="405">
        <v>908</v>
      </c>
      <c r="AU3" s="405">
        <v>0</v>
      </c>
      <c r="AV3" s="405">
        <v>13966</v>
      </c>
      <c r="AW3" s="405">
        <v>11454769</v>
      </c>
      <c r="AX3" s="405">
        <v>4293630</v>
      </c>
      <c r="AY3" s="405">
        <v>53358</v>
      </c>
      <c r="AZ3" s="405">
        <v>3053</v>
      </c>
      <c r="BA3" s="405">
        <v>15514</v>
      </c>
      <c r="BB3" s="405">
        <v>2951</v>
      </c>
      <c r="BC3" s="405">
        <v>0</v>
      </c>
      <c r="BD3" s="405">
        <v>55341</v>
      </c>
      <c r="BE3" s="405">
        <v>8614</v>
      </c>
      <c r="BF3" s="405">
        <v>3068</v>
      </c>
      <c r="BG3" s="405">
        <v>2652</v>
      </c>
      <c r="BH3" s="405">
        <v>502521</v>
      </c>
      <c r="BI3" s="405">
        <v>0</v>
      </c>
      <c r="BJ3" s="405">
        <v>544173</v>
      </c>
      <c r="BK3" s="405">
        <v>43789</v>
      </c>
      <c r="BL3" s="405">
        <v>13048</v>
      </c>
      <c r="BM3" s="405">
        <v>666</v>
      </c>
      <c r="BN3" s="405">
        <v>789261</v>
      </c>
      <c r="BO3" s="405">
        <v>1145223</v>
      </c>
      <c r="BP3" s="405">
        <v>0</v>
      </c>
      <c r="BQ3" s="405">
        <v>2800537</v>
      </c>
      <c r="BR3" s="405">
        <v>5187482</v>
      </c>
      <c r="BS3" s="405">
        <v>5056</v>
      </c>
      <c r="BT3" s="405">
        <v>247004</v>
      </c>
      <c r="BU3" s="405">
        <v>32147</v>
      </c>
      <c r="BV3" s="405">
        <v>472285</v>
      </c>
      <c r="BW3" s="405">
        <v>4490</v>
      </c>
      <c r="BX3" s="405">
        <v>8099</v>
      </c>
      <c r="BY3" s="405">
        <v>32187</v>
      </c>
      <c r="BZ3" s="405">
        <v>113321</v>
      </c>
      <c r="CA3" s="405">
        <v>4831540</v>
      </c>
      <c r="CB3" s="405">
        <v>0</v>
      </c>
      <c r="CC3" s="405">
        <v>490570</v>
      </c>
      <c r="CD3" s="405">
        <v>35677</v>
      </c>
      <c r="CE3" s="405">
        <v>190761</v>
      </c>
      <c r="CF3" s="405">
        <v>4661872</v>
      </c>
    </row>
    <row r="4" spans="1:84" s="405" customFormat="1" x14ac:dyDescent="0.3">
      <c r="A4" s="405">
        <v>5</v>
      </c>
      <c r="B4" s="406">
        <v>5</v>
      </c>
      <c r="C4" s="405">
        <v>5</v>
      </c>
      <c r="D4" s="405" t="s">
        <v>120</v>
      </c>
      <c r="E4" s="405" t="s">
        <v>299</v>
      </c>
      <c r="F4" s="405">
        <v>85781</v>
      </c>
      <c r="G4" s="405">
        <v>0</v>
      </c>
      <c r="H4" s="405">
        <v>7</v>
      </c>
      <c r="I4" s="405">
        <v>0</v>
      </c>
      <c r="J4" s="405">
        <v>0</v>
      </c>
      <c r="K4" s="405">
        <v>0</v>
      </c>
      <c r="L4" s="405">
        <v>15</v>
      </c>
      <c r="M4" s="405">
        <v>0</v>
      </c>
      <c r="N4" s="405">
        <v>0</v>
      </c>
      <c r="O4" s="405">
        <v>5961</v>
      </c>
      <c r="P4" s="405">
        <v>0</v>
      </c>
      <c r="Q4" s="405">
        <v>0</v>
      </c>
      <c r="R4" s="405">
        <v>0</v>
      </c>
      <c r="S4" s="405">
        <v>9919</v>
      </c>
      <c r="T4" s="405">
        <v>0</v>
      </c>
      <c r="U4" s="405">
        <v>0</v>
      </c>
      <c r="V4" s="405">
        <v>0</v>
      </c>
      <c r="W4" s="405">
        <v>0</v>
      </c>
      <c r="X4" s="405">
        <v>1366</v>
      </c>
      <c r="Y4" s="405">
        <v>0</v>
      </c>
      <c r="Z4" s="405">
        <v>0</v>
      </c>
      <c r="AA4" s="405">
        <v>66332</v>
      </c>
      <c r="AB4" s="405">
        <v>11525</v>
      </c>
      <c r="AC4" s="405">
        <v>0</v>
      </c>
      <c r="AD4" s="405">
        <v>0</v>
      </c>
      <c r="AE4" s="405">
        <v>9991</v>
      </c>
      <c r="AF4" s="405">
        <v>0</v>
      </c>
      <c r="AG4" s="405">
        <v>0</v>
      </c>
      <c r="AH4" s="405">
        <v>0</v>
      </c>
      <c r="AI4" s="405">
        <v>0</v>
      </c>
      <c r="AJ4" s="405">
        <v>0</v>
      </c>
      <c r="AK4" s="405">
        <v>2340</v>
      </c>
      <c r="AL4" s="405">
        <v>0</v>
      </c>
      <c r="AM4" s="405">
        <v>0</v>
      </c>
      <c r="AN4" s="405">
        <v>0</v>
      </c>
      <c r="AO4" s="405">
        <v>300</v>
      </c>
      <c r="AP4" s="405">
        <v>313608</v>
      </c>
      <c r="AQ4" s="405">
        <v>0</v>
      </c>
      <c r="AR4" s="405">
        <v>4483</v>
      </c>
      <c r="AS4" s="405">
        <v>0</v>
      </c>
      <c r="AT4" s="405">
        <v>3388</v>
      </c>
      <c r="AU4" s="405">
        <v>0</v>
      </c>
      <c r="AV4" s="405">
        <v>0</v>
      </c>
      <c r="AW4" s="405">
        <v>25063</v>
      </c>
      <c r="AX4" s="405">
        <v>0</v>
      </c>
      <c r="AY4" s="405">
        <v>0</v>
      </c>
      <c r="AZ4" s="405">
        <v>0</v>
      </c>
      <c r="BA4" s="405">
        <v>0</v>
      </c>
      <c r="BB4" s="405">
        <v>0</v>
      </c>
      <c r="BC4" s="405">
        <v>0</v>
      </c>
      <c r="BD4" s="405">
        <v>6586</v>
      </c>
      <c r="BE4" s="405">
        <v>0</v>
      </c>
      <c r="BF4" s="405">
        <v>2968</v>
      </c>
      <c r="BG4" s="405">
        <v>0</v>
      </c>
      <c r="BH4" s="405">
        <v>5964</v>
      </c>
      <c r="BI4" s="405">
        <v>3749</v>
      </c>
      <c r="BJ4" s="405">
        <v>425</v>
      </c>
      <c r="BK4" s="405">
        <v>0</v>
      </c>
      <c r="BL4" s="405">
        <v>0</v>
      </c>
      <c r="BM4" s="405">
        <v>0</v>
      </c>
      <c r="BN4" s="405">
        <v>25695</v>
      </c>
      <c r="BO4" s="405">
        <v>1231</v>
      </c>
      <c r="BP4" s="405">
        <v>0</v>
      </c>
      <c r="BQ4" s="405">
        <v>15315</v>
      </c>
      <c r="BR4" s="405">
        <v>22844</v>
      </c>
      <c r="BS4" s="405">
        <v>0</v>
      </c>
      <c r="BT4" s="405">
        <v>0</v>
      </c>
      <c r="BU4" s="405">
        <v>0</v>
      </c>
      <c r="BV4" s="405">
        <v>0</v>
      </c>
      <c r="BW4" s="405">
        <v>0</v>
      </c>
      <c r="BX4" s="405">
        <v>262</v>
      </c>
      <c r="BY4" s="405">
        <v>0</v>
      </c>
      <c r="BZ4" s="405">
        <v>0</v>
      </c>
      <c r="CA4" s="405">
        <v>7630</v>
      </c>
      <c r="CB4" s="405">
        <v>0</v>
      </c>
      <c r="CC4" s="405">
        <v>0</v>
      </c>
      <c r="CD4" s="405">
        <v>1000</v>
      </c>
      <c r="CE4" s="405">
        <v>0</v>
      </c>
      <c r="CF4" s="405">
        <v>344003</v>
      </c>
    </row>
    <row r="5" spans="1:84" s="405" customFormat="1" x14ac:dyDescent="0.3">
      <c r="A5" s="405">
        <v>6</v>
      </c>
      <c r="B5" s="406">
        <v>6</v>
      </c>
      <c r="C5" s="405">
        <v>6</v>
      </c>
      <c r="D5" s="405" t="s">
        <v>265</v>
      </c>
      <c r="E5" s="405" t="s">
        <v>300</v>
      </c>
      <c r="F5" s="405">
        <v>0</v>
      </c>
      <c r="G5" s="405">
        <v>0</v>
      </c>
      <c r="H5" s="405">
        <v>0</v>
      </c>
      <c r="I5" s="405">
        <v>0</v>
      </c>
      <c r="J5" s="405">
        <v>0</v>
      </c>
      <c r="K5" s="405">
        <v>0</v>
      </c>
      <c r="L5" s="405">
        <v>0</v>
      </c>
      <c r="M5" s="405">
        <v>0</v>
      </c>
      <c r="N5" s="405">
        <v>0</v>
      </c>
      <c r="O5" s="405">
        <v>1687083</v>
      </c>
      <c r="P5" s="405">
        <v>0</v>
      </c>
      <c r="Q5" s="405">
        <v>0</v>
      </c>
      <c r="R5" s="405">
        <v>0</v>
      </c>
      <c r="S5" s="405">
        <v>0</v>
      </c>
      <c r="T5" s="405">
        <v>0</v>
      </c>
      <c r="U5" s="405">
        <v>0</v>
      </c>
      <c r="V5" s="405">
        <v>0</v>
      </c>
      <c r="W5" s="405">
        <v>0</v>
      </c>
      <c r="X5" s="405">
        <v>0</v>
      </c>
      <c r="Y5" s="405">
        <v>0</v>
      </c>
      <c r="Z5" s="405">
        <v>0</v>
      </c>
      <c r="AA5" s="405">
        <v>0</v>
      </c>
      <c r="AB5" s="405">
        <v>0</v>
      </c>
      <c r="AC5" s="405">
        <v>0</v>
      </c>
      <c r="AD5" s="405">
        <v>0</v>
      </c>
      <c r="AE5" s="405">
        <v>1168902</v>
      </c>
      <c r="AF5" s="405">
        <v>0</v>
      </c>
      <c r="AG5" s="405">
        <v>0</v>
      </c>
      <c r="AH5" s="405">
        <v>1399227</v>
      </c>
      <c r="AI5" s="405">
        <v>0</v>
      </c>
      <c r="AJ5" s="405">
        <v>0</v>
      </c>
      <c r="AK5" s="405">
        <v>0</v>
      </c>
      <c r="AL5" s="405">
        <v>0</v>
      </c>
      <c r="AM5" s="405">
        <v>0</v>
      </c>
      <c r="AN5" s="405">
        <v>0</v>
      </c>
      <c r="AO5" s="405">
        <v>0</v>
      </c>
      <c r="AP5" s="405">
        <v>0</v>
      </c>
      <c r="AQ5" s="405">
        <v>0</v>
      </c>
      <c r="AR5" s="405">
        <v>0</v>
      </c>
      <c r="AS5" s="405">
        <v>0</v>
      </c>
      <c r="AT5" s="405">
        <v>0</v>
      </c>
      <c r="AU5" s="405">
        <v>0</v>
      </c>
      <c r="AV5" s="405">
        <v>0</v>
      </c>
      <c r="AW5" s="405">
        <v>4485873</v>
      </c>
      <c r="AX5" s="405">
        <v>699806</v>
      </c>
      <c r="AY5" s="405">
        <v>0</v>
      </c>
      <c r="AZ5" s="405">
        <v>0</v>
      </c>
      <c r="BA5" s="405">
        <v>0</v>
      </c>
      <c r="BB5" s="405">
        <v>0</v>
      </c>
      <c r="BC5" s="405">
        <v>0</v>
      </c>
      <c r="BD5" s="405">
        <v>0</v>
      </c>
      <c r="BE5" s="405">
        <v>0</v>
      </c>
      <c r="BF5" s="405">
        <v>0</v>
      </c>
      <c r="BG5" s="405">
        <v>0</v>
      </c>
      <c r="BH5" s="405">
        <v>617572</v>
      </c>
      <c r="BI5" s="405">
        <v>0</v>
      </c>
      <c r="BJ5" s="405">
        <v>840185</v>
      </c>
      <c r="BK5" s="405">
        <v>0</v>
      </c>
      <c r="BL5" s="405">
        <v>0</v>
      </c>
      <c r="BM5" s="405">
        <v>0</v>
      </c>
      <c r="BN5" s="405">
        <v>0</v>
      </c>
      <c r="BO5" s="405">
        <v>0</v>
      </c>
      <c r="BP5" s="405">
        <v>0</v>
      </c>
      <c r="BQ5" s="405">
        <v>2296795</v>
      </c>
      <c r="BR5" s="405">
        <v>3095194</v>
      </c>
      <c r="BS5" s="405">
        <v>0</v>
      </c>
      <c r="BT5" s="405">
        <v>0</v>
      </c>
      <c r="BU5" s="405">
        <v>0</v>
      </c>
      <c r="BV5" s="405">
        <v>37965</v>
      </c>
      <c r="BW5" s="405">
        <v>0</v>
      </c>
      <c r="BX5" s="405">
        <v>0</v>
      </c>
      <c r="BY5" s="405">
        <v>0</v>
      </c>
      <c r="BZ5" s="405">
        <v>0</v>
      </c>
      <c r="CA5" s="405">
        <v>1138915</v>
      </c>
      <c r="CB5" s="405">
        <v>0</v>
      </c>
      <c r="CC5" s="405">
        <v>74759</v>
      </c>
      <c r="CD5" s="405">
        <v>0</v>
      </c>
      <c r="CE5" s="405">
        <v>0</v>
      </c>
      <c r="CF5" s="405">
        <v>4596173</v>
      </c>
    </row>
    <row r="6" spans="1:84" s="405" customFormat="1" x14ac:dyDescent="0.3">
      <c r="A6" s="405">
        <v>7</v>
      </c>
      <c r="B6" s="406">
        <v>7</v>
      </c>
      <c r="C6" s="405">
        <v>7</v>
      </c>
      <c r="D6" s="405" t="s">
        <v>202</v>
      </c>
      <c r="E6" s="405" t="s">
        <v>301</v>
      </c>
      <c r="F6" s="405">
        <v>0</v>
      </c>
      <c r="G6" s="405">
        <v>0</v>
      </c>
      <c r="H6" s="405">
        <v>1162</v>
      </c>
      <c r="I6" s="405">
        <v>0</v>
      </c>
      <c r="J6" s="405">
        <v>4031</v>
      </c>
      <c r="K6" s="405">
        <v>0</v>
      </c>
      <c r="L6" s="405">
        <v>2435</v>
      </c>
      <c r="M6" s="405">
        <v>6295</v>
      </c>
      <c r="N6" s="405">
        <v>17898</v>
      </c>
      <c r="O6" s="405">
        <v>85790</v>
      </c>
      <c r="P6" s="405">
        <v>0</v>
      </c>
      <c r="Q6" s="405">
        <v>29513</v>
      </c>
      <c r="R6" s="405">
        <v>0</v>
      </c>
      <c r="S6" s="405">
        <v>0</v>
      </c>
      <c r="T6" s="405">
        <v>0</v>
      </c>
      <c r="U6" s="405">
        <v>7233</v>
      </c>
      <c r="V6" s="405">
        <v>0</v>
      </c>
      <c r="W6" s="405">
        <v>0</v>
      </c>
      <c r="X6" s="405">
        <v>0</v>
      </c>
      <c r="Y6" s="405">
        <v>0</v>
      </c>
      <c r="Z6" s="405">
        <v>0</v>
      </c>
      <c r="AA6" s="405">
        <v>0</v>
      </c>
      <c r="AB6" s="405">
        <v>0</v>
      </c>
      <c r="AC6" s="405">
        <v>0</v>
      </c>
      <c r="AD6" s="405">
        <v>0</v>
      </c>
      <c r="AE6" s="405">
        <v>27359</v>
      </c>
      <c r="AF6" s="405">
        <v>0</v>
      </c>
      <c r="AG6" s="405">
        <v>0</v>
      </c>
      <c r="AH6" s="405">
        <v>727185</v>
      </c>
      <c r="AI6" s="405">
        <v>7782</v>
      </c>
      <c r="AJ6" s="405">
        <v>1795</v>
      </c>
      <c r="AK6" s="405">
        <v>24894</v>
      </c>
      <c r="AL6" s="405">
        <v>0</v>
      </c>
      <c r="AM6" s="405">
        <v>0</v>
      </c>
      <c r="AN6" s="405">
        <v>0</v>
      </c>
      <c r="AO6" s="405">
        <v>0</v>
      </c>
      <c r="AP6" s="405">
        <v>0</v>
      </c>
      <c r="AQ6" s="405">
        <v>0</v>
      </c>
      <c r="AR6" s="405">
        <v>0</v>
      </c>
      <c r="AS6" s="405">
        <v>0</v>
      </c>
      <c r="AT6" s="405">
        <v>0</v>
      </c>
      <c r="AU6" s="405">
        <v>0</v>
      </c>
      <c r="AV6" s="405">
        <v>0</v>
      </c>
      <c r="AW6" s="405">
        <v>1372407</v>
      </c>
      <c r="AX6" s="405">
        <v>59346</v>
      </c>
      <c r="AY6" s="405">
        <v>32741</v>
      </c>
      <c r="AZ6" s="405">
        <v>0</v>
      </c>
      <c r="BA6" s="405">
        <v>0</v>
      </c>
      <c r="BB6" s="405">
        <v>0</v>
      </c>
      <c r="BC6" s="405">
        <v>0</v>
      </c>
      <c r="BD6" s="405">
        <v>0</v>
      </c>
      <c r="BE6" s="405">
        <v>11397</v>
      </c>
      <c r="BF6" s="405">
        <v>0</v>
      </c>
      <c r="BG6" s="405">
        <v>0</v>
      </c>
      <c r="BH6" s="405">
        <v>76089</v>
      </c>
      <c r="BI6" s="405">
        <v>0</v>
      </c>
      <c r="BJ6" s="405">
        <v>6459</v>
      </c>
      <c r="BK6" s="405">
        <v>0</v>
      </c>
      <c r="BL6" s="405">
        <v>0</v>
      </c>
      <c r="BM6" s="405">
        <v>0</v>
      </c>
      <c r="BN6" s="405">
        <v>0</v>
      </c>
      <c r="BO6" s="405">
        <v>104022</v>
      </c>
      <c r="BP6" s="405">
        <v>0</v>
      </c>
      <c r="BQ6" s="405">
        <v>2546535</v>
      </c>
      <c r="BR6" s="405">
        <v>109556</v>
      </c>
      <c r="BS6" s="405">
        <v>0</v>
      </c>
      <c r="BT6" s="405">
        <v>30674</v>
      </c>
      <c r="BU6" s="405">
        <v>0</v>
      </c>
      <c r="BV6" s="405">
        <v>0</v>
      </c>
      <c r="BW6" s="405">
        <v>0</v>
      </c>
      <c r="BX6" s="405">
        <v>0</v>
      </c>
      <c r="BY6" s="405">
        <v>0</v>
      </c>
      <c r="BZ6" s="405">
        <v>0</v>
      </c>
      <c r="CA6" s="405">
        <v>125674</v>
      </c>
      <c r="CB6" s="405">
        <v>0</v>
      </c>
      <c r="CC6" s="405">
        <v>32411</v>
      </c>
      <c r="CD6" s="405">
        <v>6803</v>
      </c>
      <c r="CE6" s="405">
        <v>29310</v>
      </c>
      <c r="CF6" s="405">
        <v>38450</v>
      </c>
    </row>
    <row r="7" spans="1:84" s="405" customFormat="1" x14ac:dyDescent="0.3">
      <c r="A7" s="405">
        <v>9</v>
      </c>
      <c r="B7" s="406">
        <v>9</v>
      </c>
      <c r="C7" s="405">
        <v>9</v>
      </c>
      <c r="D7" s="405" t="s">
        <v>204</v>
      </c>
      <c r="E7" s="405" t="s">
        <v>302</v>
      </c>
      <c r="F7" s="405">
        <v>747831</v>
      </c>
      <c r="G7" s="405">
        <v>1115158</v>
      </c>
      <c r="H7" s="405">
        <v>401742</v>
      </c>
      <c r="I7" s="405">
        <v>1131517</v>
      </c>
      <c r="J7" s="405">
        <v>835510</v>
      </c>
      <c r="K7" s="405">
        <v>111431</v>
      </c>
      <c r="L7" s="405">
        <v>132091</v>
      </c>
      <c r="M7" s="405">
        <v>626428</v>
      </c>
      <c r="N7" s="405">
        <v>3314544</v>
      </c>
      <c r="O7" s="405">
        <v>82576939</v>
      </c>
      <c r="P7" s="405">
        <v>2733624</v>
      </c>
      <c r="Q7" s="405">
        <v>4987109</v>
      </c>
      <c r="R7" s="405">
        <v>166501</v>
      </c>
      <c r="S7" s="405">
        <v>5404915</v>
      </c>
      <c r="T7" s="405">
        <v>138869</v>
      </c>
      <c r="U7" s="405">
        <v>575467</v>
      </c>
      <c r="V7" s="405">
        <v>0</v>
      </c>
      <c r="W7" s="405">
        <v>1272912</v>
      </c>
      <c r="X7" s="405">
        <v>4295758</v>
      </c>
      <c r="Y7" s="405">
        <v>665125</v>
      </c>
      <c r="Z7" s="405">
        <v>0</v>
      </c>
      <c r="AA7" s="405">
        <v>272453</v>
      </c>
      <c r="AB7" s="405">
        <v>27250750</v>
      </c>
      <c r="AC7" s="405">
        <v>7377980</v>
      </c>
      <c r="AD7" s="405">
        <v>921536</v>
      </c>
      <c r="AE7" s="405">
        <v>29182238</v>
      </c>
      <c r="AF7" s="405">
        <v>503301</v>
      </c>
      <c r="AG7" s="405">
        <v>379400</v>
      </c>
      <c r="AH7" s="405">
        <v>35580740</v>
      </c>
      <c r="AI7" s="405">
        <v>924729</v>
      </c>
      <c r="AJ7" s="405">
        <v>285559</v>
      </c>
      <c r="AK7" s="405">
        <v>2867437</v>
      </c>
      <c r="AL7" s="405">
        <v>952907</v>
      </c>
      <c r="AM7" s="405">
        <v>151308</v>
      </c>
      <c r="AN7" s="405">
        <v>0</v>
      </c>
      <c r="AO7" s="405">
        <v>677998</v>
      </c>
      <c r="AP7" s="405">
        <v>11451972</v>
      </c>
      <c r="AQ7" s="405">
        <v>45200</v>
      </c>
      <c r="AR7" s="405">
        <v>3625554</v>
      </c>
      <c r="AS7" s="405">
        <v>2069428</v>
      </c>
      <c r="AT7" s="405">
        <v>224732</v>
      </c>
      <c r="AU7" s="405">
        <v>0</v>
      </c>
      <c r="AV7" s="405">
        <v>701970</v>
      </c>
      <c r="AW7" s="405">
        <v>72046863</v>
      </c>
      <c r="AX7" s="405">
        <v>25764762</v>
      </c>
      <c r="AY7" s="405">
        <v>928352</v>
      </c>
      <c r="AZ7" s="405">
        <v>202556</v>
      </c>
      <c r="BA7" s="405">
        <v>402308</v>
      </c>
      <c r="BB7" s="405">
        <v>195993</v>
      </c>
      <c r="BC7" s="405">
        <v>0</v>
      </c>
      <c r="BD7" s="405">
        <v>3087745</v>
      </c>
      <c r="BE7" s="405">
        <v>1173814</v>
      </c>
      <c r="BF7" s="405">
        <v>260174</v>
      </c>
      <c r="BG7" s="405">
        <v>135007</v>
      </c>
      <c r="BH7" s="405">
        <v>6921758</v>
      </c>
      <c r="BI7" s="405">
        <v>87617</v>
      </c>
      <c r="BJ7" s="405">
        <v>13228694</v>
      </c>
      <c r="BK7" s="405">
        <v>1323138</v>
      </c>
      <c r="BL7" s="405">
        <v>512134</v>
      </c>
      <c r="BM7" s="405">
        <v>517796</v>
      </c>
      <c r="BN7" s="405">
        <v>11580441</v>
      </c>
      <c r="BO7" s="405">
        <v>8552569</v>
      </c>
      <c r="BP7" s="405">
        <v>0</v>
      </c>
      <c r="BQ7" s="405">
        <v>37101122</v>
      </c>
      <c r="BR7" s="405">
        <v>28005526</v>
      </c>
      <c r="BS7" s="405">
        <v>235178</v>
      </c>
      <c r="BT7" s="405">
        <v>4200267</v>
      </c>
      <c r="BU7" s="405">
        <v>2890535</v>
      </c>
      <c r="BV7" s="405">
        <v>8471021</v>
      </c>
      <c r="BW7" s="405">
        <v>347952</v>
      </c>
      <c r="BX7" s="405">
        <v>901098</v>
      </c>
      <c r="BY7" s="405">
        <v>3229697</v>
      </c>
      <c r="BZ7" s="405">
        <v>2252342</v>
      </c>
      <c r="CA7" s="405">
        <v>21736491</v>
      </c>
      <c r="CB7" s="405">
        <v>0</v>
      </c>
      <c r="CC7" s="405">
        <v>7328466</v>
      </c>
      <c r="CD7" s="405">
        <v>551352</v>
      </c>
      <c r="CE7" s="405">
        <v>1809309</v>
      </c>
      <c r="CF7" s="405">
        <v>60090297</v>
      </c>
    </row>
    <row r="8" spans="1:84" s="405" customFormat="1" x14ac:dyDescent="0.3">
      <c r="A8" s="405">
        <v>11</v>
      </c>
      <c r="B8" s="406">
        <v>11</v>
      </c>
      <c r="C8" s="405">
        <v>11</v>
      </c>
      <c r="D8" s="405" t="s">
        <v>203</v>
      </c>
      <c r="E8" s="405" t="s">
        <v>303</v>
      </c>
      <c r="F8" s="405">
        <v>0</v>
      </c>
      <c r="G8" s="405">
        <v>124748</v>
      </c>
      <c r="H8" s="405">
        <v>0</v>
      </c>
      <c r="I8" s="405">
        <v>9176</v>
      </c>
      <c r="J8" s="405">
        <v>151789</v>
      </c>
      <c r="K8" s="405">
        <v>7221</v>
      </c>
      <c r="L8" s="405">
        <v>22735</v>
      </c>
      <c r="M8" s="405">
        <v>140441</v>
      </c>
      <c r="N8" s="405">
        <v>572138</v>
      </c>
      <c r="O8" s="405">
        <v>0</v>
      </c>
      <c r="P8" s="405">
        <v>0</v>
      </c>
      <c r="Q8" s="405">
        <v>556399</v>
      </c>
      <c r="R8" s="405">
        <v>23629</v>
      </c>
      <c r="S8" s="405">
        <v>382069</v>
      </c>
      <c r="T8" s="405">
        <v>0</v>
      </c>
      <c r="U8" s="405">
        <v>37097</v>
      </c>
      <c r="V8" s="405">
        <v>0</v>
      </c>
      <c r="W8" s="405">
        <v>47000</v>
      </c>
      <c r="X8" s="405">
        <v>603464</v>
      </c>
      <c r="Y8" s="405">
        <v>40310</v>
      </c>
      <c r="Z8" s="405">
        <v>0</v>
      </c>
      <c r="AA8" s="405">
        <v>76813</v>
      </c>
      <c r="AB8" s="405">
        <v>1980910</v>
      </c>
      <c r="AC8" s="405">
        <v>0</v>
      </c>
      <c r="AD8" s="405">
        <v>19348</v>
      </c>
      <c r="AE8" s="405">
        <v>0</v>
      </c>
      <c r="AF8" s="405">
        <v>6564</v>
      </c>
      <c r="AG8" s="405">
        <v>0</v>
      </c>
      <c r="AH8" s="405">
        <v>95030</v>
      </c>
      <c r="AI8" s="405">
        <v>24869</v>
      </c>
      <c r="AJ8" s="405">
        <v>25216</v>
      </c>
      <c r="AK8" s="405">
        <v>146110</v>
      </c>
      <c r="AL8" s="405">
        <v>54049</v>
      </c>
      <c r="AM8" s="405">
        <v>24589</v>
      </c>
      <c r="AN8" s="405">
        <v>0</v>
      </c>
      <c r="AO8" s="405">
        <v>66171</v>
      </c>
      <c r="AP8" s="405">
        <v>0</v>
      </c>
      <c r="AQ8" s="405">
        <v>0</v>
      </c>
      <c r="AR8" s="405">
        <v>0</v>
      </c>
      <c r="AS8" s="405">
        <v>104543</v>
      </c>
      <c r="AT8" s="405">
        <v>0</v>
      </c>
      <c r="AU8" s="405">
        <v>0</v>
      </c>
      <c r="AV8" s="405">
        <v>77336</v>
      </c>
      <c r="AW8" s="405">
        <v>0</v>
      </c>
      <c r="AX8" s="405">
        <v>376486</v>
      </c>
      <c r="AY8" s="405">
        <v>0</v>
      </c>
      <c r="AZ8" s="405">
        <v>3592</v>
      </c>
      <c r="BA8" s="405">
        <v>39577</v>
      </c>
      <c r="BB8" s="405">
        <v>0</v>
      </c>
      <c r="BC8" s="405">
        <v>0</v>
      </c>
      <c r="BD8" s="405">
        <v>73742</v>
      </c>
      <c r="BE8" s="405">
        <v>0</v>
      </c>
      <c r="BF8" s="405">
        <v>41390</v>
      </c>
      <c r="BG8" s="405">
        <v>15563</v>
      </c>
      <c r="BH8" s="405">
        <v>187850</v>
      </c>
      <c r="BI8" s="405">
        <v>14883</v>
      </c>
      <c r="BJ8" s="405">
        <v>610767</v>
      </c>
      <c r="BK8" s="405">
        <v>487145</v>
      </c>
      <c r="BL8" s="405">
        <v>69355</v>
      </c>
      <c r="BM8" s="405">
        <v>0</v>
      </c>
      <c r="BN8" s="405">
        <v>1475323</v>
      </c>
      <c r="BO8" s="405">
        <v>0</v>
      </c>
      <c r="BP8" s="405">
        <v>0</v>
      </c>
      <c r="BQ8" s="405">
        <v>0</v>
      </c>
      <c r="BR8" s="405">
        <v>0</v>
      </c>
      <c r="BS8" s="405">
        <v>24858</v>
      </c>
      <c r="BT8" s="405">
        <v>113439</v>
      </c>
      <c r="BU8" s="405">
        <v>0</v>
      </c>
      <c r="BV8" s="405">
        <v>200490</v>
      </c>
      <c r="BW8" s="405">
        <v>64402</v>
      </c>
      <c r="BX8" s="405">
        <v>130623</v>
      </c>
      <c r="BY8" s="405">
        <v>0</v>
      </c>
      <c r="BZ8" s="405">
        <v>77207</v>
      </c>
      <c r="CA8" s="405">
        <v>1348632</v>
      </c>
      <c r="CB8" s="405">
        <v>0</v>
      </c>
      <c r="CC8" s="405">
        <v>70398</v>
      </c>
      <c r="CD8" s="405">
        <v>60832</v>
      </c>
      <c r="CE8" s="405">
        <v>83710</v>
      </c>
      <c r="CF8" s="405">
        <v>2985463</v>
      </c>
    </row>
    <row r="9" spans="1:84" s="405" customFormat="1" x14ac:dyDescent="0.3">
      <c r="A9" s="405">
        <v>12</v>
      </c>
      <c r="B9" s="406"/>
      <c r="C9" s="405">
        <v>12</v>
      </c>
      <c r="D9" s="405" t="s">
        <v>618</v>
      </c>
      <c r="E9" s="405" t="s">
        <v>304</v>
      </c>
    </row>
    <row r="10" spans="1:84" s="405" customFormat="1" x14ac:dyDescent="0.3">
      <c r="A10" s="405">
        <v>13</v>
      </c>
      <c r="B10" s="406"/>
      <c r="C10" s="405">
        <v>13</v>
      </c>
      <c r="D10" s="405" t="s">
        <v>619</v>
      </c>
      <c r="E10" s="405" t="s">
        <v>305</v>
      </c>
    </row>
    <row r="11" spans="1:84" s="405" customFormat="1" x14ac:dyDescent="0.3">
      <c r="A11" s="405">
        <v>14</v>
      </c>
      <c r="B11" s="406"/>
      <c r="C11" s="405">
        <v>14</v>
      </c>
      <c r="D11" s="405" t="s">
        <v>306</v>
      </c>
      <c r="E11" s="405" t="s">
        <v>307</v>
      </c>
    </row>
    <row r="12" spans="1:84" s="405" customFormat="1" x14ac:dyDescent="0.3">
      <c r="A12" s="405">
        <v>16</v>
      </c>
      <c r="B12" s="406">
        <v>16</v>
      </c>
      <c r="C12" s="405">
        <v>16</v>
      </c>
      <c r="D12" s="405" t="s">
        <v>206</v>
      </c>
      <c r="E12" s="405" t="s">
        <v>308</v>
      </c>
      <c r="F12" s="405">
        <v>2439251</v>
      </c>
      <c r="G12" s="405">
        <v>2102001</v>
      </c>
      <c r="H12" s="405">
        <v>304782</v>
      </c>
      <c r="I12" s="405">
        <v>859358</v>
      </c>
      <c r="J12" s="405">
        <v>658059</v>
      </c>
      <c r="K12" s="405">
        <v>252039</v>
      </c>
      <c r="L12" s="405">
        <v>49218</v>
      </c>
      <c r="M12" s="405">
        <v>97729</v>
      </c>
      <c r="N12" s="405">
        <v>4387007</v>
      </c>
      <c r="O12" s="405">
        <v>167845614</v>
      </c>
      <c r="P12" s="405">
        <v>2021505</v>
      </c>
      <c r="Q12" s="405">
        <v>7625563</v>
      </c>
      <c r="R12" s="405">
        <v>82918</v>
      </c>
      <c r="S12" s="405">
        <v>11366183</v>
      </c>
      <c r="T12" s="405">
        <v>83641</v>
      </c>
      <c r="U12" s="405">
        <v>643627</v>
      </c>
      <c r="V12" s="405">
        <v>0</v>
      </c>
      <c r="W12" s="405">
        <v>1155439</v>
      </c>
      <c r="X12" s="405">
        <v>5125927</v>
      </c>
      <c r="Y12" s="405">
        <v>2007910</v>
      </c>
      <c r="Z12" s="405">
        <v>0</v>
      </c>
      <c r="AA12" s="405">
        <v>974051</v>
      </c>
      <c r="AB12" s="405">
        <v>33202321</v>
      </c>
      <c r="AC12" s="405">
        <v>1096621</v>
      </c>
      <c r="AD12" s="405">
        <v>672542</v>
      </c>
      <c r="AE12" s="405">
        <v>35819180</v>
      </c>
      <c r="AF12" s="405">
        <v>680218</v>
      </c>
      <c r="AG12" s="405">
        <v>630628</v>
      </c>
      <c r="AH12" s="405">
        <v>70087049</v>
      </c>
      <c r="AI12" s="405">
        <v>211909</v>
      </c>
      <c r="AJ12" s="405">
        <v>264126</v>
      </c>
      <c r="AK12" s="405">
        <v>6347138</v>
      </c>
      <c r="AL12" s="405">
        <v>893471</v>
      </c>
      <c r="AM12" s="405">
        <v>68093</v>
      </c>
      <c r="AN12" s="405">
        <v>0</v>
      </c>
      <c r="AO12" s="405">
        <v>181521</v>
      </c>
      <c r="AP12" s="405">
        <v>13164997</v>
      </c>
      <c r="AQ12" s="405">
        <v>44953</v>
      </c>
      <c r="AR12" s="405">
        <v>4238215</v>
      </c>
      <c r="AS12" s="405">
        <v>2513493</v>
      </c>
      <c r="AT12" s="405">
        <v>70942</v>
      </c>
      <c r="AU12" s="405">
        <v>0</v>
      </c>
      <c r="AV12" s="405">
        <v>291024</v>
      </c>
      <c r="AW12" s="405">
        <v>292336175</v>
      </c>
      <c r="AX12" s="405">
        <v>79054665</v>
      </c>
      <c r="AY12" s="405">
        <v>1716417</v>
      </c>
      <c r="AZ12" s="405">
        <v>274672</v>
      </c>
      <c r="BA12" s="405">
        <v>353190</v>
      </c>
      <c r="BB12" s="405">
        <v>187243</v>
      </c>
      <c r="BC12" s="405">
        <v>0</v>
      </c>
      <c r="BD12" s="405">
        <v>5398301</v>
      </c>
      <c r="BE12" s="405">
        <v>271689</v>
      </c>
      <c r="BF12" s="405">
        <v>135131</v>
      </c>
      <c r="BG12" s="405">
        <v>51578</v>
      </c>
      <c r="BH12" s="405">
        <v>15585679</v>
      </c>
      <c r="BI12" s="405">
        <v>23607</v>
      </c>
      <c r="BJ12" s="405">
        <v>12525168</v>
      </c>
      <c r="BK12" s="405">
        <v>2110100</v>
      </c>
      <c r="BL12" s="405">
        <v>223232</v>
      </c>
      <c r="BM12" s="405">
        <v>80633</v>
      </c>
      <c r="BN12" s="405">
        <v>15557614</v>
      </c>
      <c r="BO12" s="405">
        <v>17320222</v>
      </c>
      <c r="BP12" s="405">
        <v>0</v>
      </c>
      <c r="BQ12" s="405">
        <v>53813346</v>
      </c>
      <c r="BR12" s="405">
        <v>110070013</v>
      </c>
      <c r="BS12" s="405">
        <v>328559</v>
      </c>
      <c r="BT12" s="405">
        <v>6089224</v>
      </c>
      <c r="BU12" s="405">
        <v>1050466</v>
      </c>
      <c r="BV12" s="405">
        <v>11162292</v>
      </c>
      <c r="BW12" s="405">
        <v>173352</v>
      </c>
      <c r="BX12" s="405">
        <v>257556</v>
      </c>
      <c r="BY12" s="405">
        <v>3670079</v>
      </c>
      <c r="BZ12" s="405">
        <v>3331580</v>
      </c>
      <c r="CA12" s="405">
        <v>40049419</v>
      </c>
      <c r="CB12" s="405">
        <v>0</v>
      </c>
      <c r="CC12" s="405">
        <v>13250730</v>
      </c>
      <c r="CD12" s="405">
        <v>559209</v>
      </c>
      <c r="CE12" s="405">
        <v>3525845</v>
      </c>
      <c r="CF12" s="405">
        <v>47460572</v>
      </c>
    </row>
    <row r="13" spans="1:84" s="405" customFormat="1" x14ac:dyDescent="0.3">
      <c r="A13" s="405">
        <v>17</v>
      </c>
      <c r="B13" s="406">
        <v>17</v>
      </c>
      <c r="C13" s="405">
        <v>17</v>
      </c>
      <c r="D13" s="405" t="s">
        <v>209</v>
      </c>
      <c r="E13" s="405" t="s">
        <v>309</v>
      </c>
      <c r="F13" s="405">
        <v>0</v>
      </c>
      <c r="G13" s="405">
        <v>0</v>
      </c>
      <c r="H13" s="405">
        <v>0</v>
      </c>
      <c r="I13" s="405">
        <v>0</v>
      </c>
      <c r="J13" s="405">
        <v>0</v>
      </c>
      <c r="K13" s="405">
        <v>0</v>
      </c>
      <c r="L13" s="405">
        <v>0</v>
      </c>
      <c r="M13" s="405">
        <v>0</v>
      </c>
      <c r="N13" s="405">
        <v>458867</v>
      </c>
      <c r="O13" s="405">
        <v>1061349</v>
      </c>
      <c r="P13" s="405">
        <v>106365</v>
      </c>
      <c r="Q13" s="405">
        <v>0</v>
      </c>
      <c r="R13" s="405">
        <v>0</v>
      </c>
      <c r="S13" s="405">
        <v>3950600</v>
      </c>
      <c r="T13" s="405">
        <v>0</v>
      </c>
      <c r="U13" s="405">
        <v>0</v>
      </c>
      <c r="V13" s="405">
        <v>0</v>
      </c>
      <c r="W13" s="405">
        <v>0</v>
      </c>
      <c r="X13" s="405">
        <v>0</v>
      </c>
      <c r="Y13" s="405">
        <v>0</v>
      </c>
      <c r="Z13" s="405">
        <v>0</v>
      </c>
      <c r="AA13" s="405">
        <v>61050</v>
      </c>
      <c r="AB13" s="405">
        <v>417390</v>
      </c>
      <c r="AC13" s="405">
        <v>0</v>
      </c>
      <c r="AD13" s="405">
        <v>0</v>
      </c>
      <c r="AE13" s="405">
        <v>0</v>
      </c>
      <c r="AF13" s="405">
        <v>0</v>
      </c>
      <c r="AG13" s="405">
        <v>0</v>
      </c>
      <c r="AH13" s="405">
        <v>2040000</v>
      </c>
      <c r="AI13" s="405">
        <v>0</v>
      </c>
      <c r="AJ13" s="405">
        <v>0</v>
      </c>
      <c r="AK13" s="405">
        <v>374768</v>
      </c>
      <c r="AL13" s="405">
        <v>0</v>
      </c>
      <c r="AM13" s="405">
        <v>0</v>
      </c>
      <c r="AN13" s="405">
        <v>0</v>
      </c>
      <c r="AO13" s="405">
        <v>0</v>
      </c>
      <c r="AP13" s="405">
        <v>28141</v>
      </c>
      <c r="AQ13" s="405">
        <v>0</v>
      </c>
      <c r="AR13" s="405">
        <v>0</v>
      </c>
      <c r="AS13" s="405">
        <v>0</v>
      </c>
      <c r="AT13" s="405">
        <v>0</v>
      </c>
      <c r="AU13" s="405">
        <v>0</v>
      </c>
      <c r="AV13" s="405">
        <v>0</v>
      </c>
      <c r="AW13" s="405">
        <v>6754548</v>
      </c>
      <c r="AX13" s="405">
        <v>7851887</v>
      </c>
      <c r="AY13" s="405">
        <v>0</v>
      </c>
      <c r="AZ13" s="405">
        <v>0</v>
      </c>
      <c r="BA13" s="405">
        <v>0</v>
      </c>
      <c r="BB13" s="405">
        <v>0</v>
      </c>
      <c r="BC13" s="405">
        <v>0</v>
      </c>
      <c r="BD13" s="405">
        <v>0</v>
      </c>
      <c r="BE13" s="405">
        <v>0</v>
      </c>
      <c r="BF13" s="405">
        <v>0</v>
      </c>
      <c r="BG13" s="405">
        <v>0</v>
      </c>
      <c r="BH13" s="405">
        <v>559977</v>
      </c>
      <c r="BI13" s="405">
        <v>0</v>
      </c>
      <c r="BJ13" s="405">
        <v>0</v>
      </c>
      <c r="BK13" s="405">
        <v>0</v>
      </c>
      <c r="BL13" s="405">
        <v>0</v>
      </c>
      <c r="BM13" s="405">
        <v>0</v>
      </c>
      <c r="BN13" s="405">
        <v>0</v>
      </c>
      <c r="BO13" s="405">
        <v>0</v>
      </c>
      <c r="BP13" s="405">
        <v>0</v>
      </c>
      <c r="BQ13" s="405">
        <v>6488371</v>
      </c>
      <c r="BR13" s="405">
        <v>2075892</v>
      </c>
      <c r="BS13" s="405">
        <v>12500</v>
      </c>
      <c r="BT13" s="405">
        <v>0</v>
      </c>
      <c r="BU13" s="405">
        <v>0</v>
      </c>
      <c r="BV13" s="405">
        <v>91855</v>
      </c>
      <c r="BW13" s="405">
        <v>0</v>
      </c>
      <c r="BX13" s="405">
        <v>0</v>
      </c>
      <c r="BY13" s="405">
        <v>0</v>
      </c>
      <c r="BZ13" s="405">
        <v>0</v>
      </c>
      <c r="CA13" s="405">
        <v>5473176</v>
      </c>
      <c r="CB13" s="405">
        <v>0</v>
      </c>
      <c r="CC13" s="405">
        <v>0</v>
      </c>
      <c r="CD13" s="405">
        <v>0</v>
      </c>
      <c r="CE13" s="405">
        <v>0</v>
      </c>
      <c r="CF13" s="405">
        <v>220000</v>
      </c>
    </row>
    <row r="14" spans="1:84" s="405" customFormat="1" x14ac:dyDescent="0.3">
      <c r="A14" s="405">
        <v>19</v>
      </c>
      <c r="B14" s="406"/>
      <c r="C14" s="405">
        <v>19</v>
      </c>
      <c r="D14" s="405" t="s">
        <v>620</v>
      </c>
      <c r="E14" s="405" t="s">
        <v>310</v>
      </c>
    </row>
    <row r="15" spans="1:84" s="405" customFormat="1" x14ac:dyDescent="0.3">
      <c r="A15" s="405">
        <v>20</v>
      </c>
      <c r="B15" s="406">
        <v>20</v>
      </c>
      <c r="C15" s="405">
        <v>20</v>
      </c>
      <c r="D15" s="405" t="s">
        <v>210</v>
      </c>
      <c r="E15" s="405" t="s">
        <v>311</v>
      </c>
      <c r="F15" s="405">
        <v>86985</v>
      </c>
      <c r="G15" s="405">
        <v>0</v>
      </c>
      <c r="H15" s="405">
        <v>0</v>
      </c>
      <c r="I15" s="405">
        <v>0</v>
      </c>
      <c r="J15" s="405">
        <v>0</v>
      </c>
      <c r="K15" s="405">
        <v>0</v>
      </c>
      <c r="L15" s="405">
        <v>0</v>
      </c>
      <c r="M15" s="405">
        <v>0</v>
      </c>
      <c r="N15" s="405">
        <v>0</v>
      </c>
      <c r="O15" s="405">
        <v>17047333</v>
      </c>
      <c r="P15" s="405">
        <v>99000</v>
      </c>
      <c r="Q15" s="405">
        <v>956322</v>
      </c>
      <c r="R15" s="405">
        <v>0</v>
      </c>
      <c r="S15" s="405">
        <v>0</v>
      </c>
      <c r="T15" s="405">
        <v>0</v>
      </c>
      <c r="U15" s="405">
        <v>0</v>
      </c>
      <c r="V15" s="405">
        <v>0</v>
      </c>
      <c r="W15" s="405">
        <v>0</v>
      </c>
      <c r="X15" s="405">
        <v>0</v>
      </c>
      <c r="Y15" s="405">
        <v>0</v>
      </c>
      <c r="Z15" s="405">
        <v>0</v>
      </c>
      <c r="AA15" s="405">
        <v>0</v>
      </c>
      <c r="AB15" s="405">
        <v>5545089</v>
      </c>
      <c r="AC15" s="405">
        <v>6507</v>
      </c>
      <c r="AD15" s="405">
        <v>8000</v>
      </c>
      <c r="AE15" s="405">
        <v>823881</v>
      </c>
      <c r="AF15" s="405">
        <v>0</v>
      </c>
      <c r="AG15" s="405">
        <v>0</v>
      </c>
      <c r="AH15" s="405">
        <v>5517468</v>
      </c>
      <c r="AI15" s="405">
        <v>0</v>
      </c>
      <c r="AJ15" s="405">
        <v>0</v>
      </c>
      <c r="AK15" s="405">
        <v>0</v>
      </c>
      <c r="AL15" s="405">
        <v>2500</v>
      </c>
      <c r="AM15" s="405">
        <v>0</v>
      </c>
      <c r="AN15" s="405">
        <v>0</v>
      </c>
      <c r="AO15" s="405">
        <v>0</v>
      </c>
      <c r="AP15" s="405">
        <v>0</v>
      </c>
      <c r="AQ15" s="405">
        <v>0</v>
      </c>
      <c r="AR15" s="405">
        <v>0</v>
      </c>
      <c r="AS15" s="405">
        <v>336523</v>
      </c>
      <c r="AT15" s="405">
        <v>0</v>
      </c>
      <c r="AU15" s="405">
        <v>0</v>
      </c>
      <c r="AV15" s="405">
        <v>0</v>
      </c>
      <c r="AW15" s="405">
        <v>40296344</v>
      </c>
      <c r="AX15" s="405">
        <v>13167334</v>
      </c>
      <c r="AY15" s="405">
        <v>0</v>
      </c>
      <c r="AZ15" s="405">
        <v>0</v>
      </c>
      <c r="BA15" s="405">
        <v>0</v>
      </c>
      <c r="BB15" s="405">
        <v>0</v>
      </c>
      <c r="BC15" s="405">
        <v>0</v>
      </c>
      <c r="BD15" s="405">
        <v>0</v>
      </c>
      <c r="BE15" s="405">
        <v>0</v>
      </c>
      <c r="BF15" s="405">
        <v>0</v>
      </c>
      <c r="BG15" s="405">
        <v>0</v>
      </c>
      <c r="BH15" s="405">
        <v>2580000</v>
      </c>
      <c r="BI15" s="405">
        <v>0</v>
      </c>
      <c r="BJ15" s="405">
        <v>191149</v>
      </c>
      <c r="BK15" s="405">
        <v>0</v>
      </c>
      <c r="BL15" s="405">
        <v>0</v>
      </c>
      <c r="BM15" s="405">
        <v>0</v>
      </c>
      <c r="BN15" s="405">
        <v>1068390</v>
      </c>
      <c r="BO15" s="405">
        <v>235683</v>
      </c>
      <c r="BP15" s="405">
        <v>0</v>
      </c>
      <c r="BQ15" s="405">
        <v>12075433</v>
      </c>
      <c r="BR15" s="405">
        <v>8064467</v>
      </c>
      <c r="BS15" s="405">
        <v>0</v>
      </c>
      <c r="BT15" s="405">
        <v>490725</v>
      </c>
      <c r="BU15" s="405">
        <v>0</v>
      </c>
      <c r="BV15" s="405">
        <v>442343</v>
      </c>
      <c r="BW15" s="405">
        <v>0</v>
      </c>
      <c r="BX15" s="405">
        <v>64696</v>
      </c>
      <c r="BY15" s="405">
        <v>510481</v>
      </c>
      <c r="BZ15" s="405">
        <v>0</v>
      </c>
      <c r="CA15" s="405">
        <v>3496754</v>
      </c>
      <c r="CB15" s="405">
        <v>0</v>
      </c>
      <c r="CC15" s="405">
        <v>0</v>
      </c>
      <c r="CD15" s="405">
        <v>0</v>
      </c>
      <c r="CE15" s="405">
        <v>0</v>
      </c>
      <c r="CF15" s="405">
        <v>796547</v>
      </c>
    </row>
    <row r="16" spans="1:84" s="405" customFormat="1" x14ac:dyDescent="0.3">
      <c r="A16" s="405">
        <v>21</v>
      </c>
      <c r="B16" s="406"/>
      <c r="C16" s="405">
        <v>21</v>
      </c>
      <c r="D16" s="405" t="s">
        <v>621</v>
      </c>
      <c r="E16" s="405" t="s">
        <v>312</v>
      </c>
    </row>
    <row r="17" spans="1:84" s="405" customFormat="1" x14ac:dyDescent="0.3">
      <c r="A17" s="405">
        <v>22</v>
      </c>
      <c r="B17" s="406">
        <v>22</v>
      </c>
      <c r="C17" s="405">
        <v>22</v>
      </c>
      <c r="D17" s="405" t="s">
        <v>212</v>
      </c>
      <c r="E17" s="405" t="s">
        <v>313</v>
      </c>
      <c r="F17" s="405">
        <v>0</v>
      </c>
      <c r="G17" s="405">
        <v>0</v>
      </c>
      <c r="H17" s="405">
        <v>0</v>
      </c>
      <c r="I17" s="405">
        <v>0</v>
      </c>
      <c r="J17" s="405">
        <v>0</v>
      </c>
      <c r="K17" s="405">
        <v>27696</v>
      </c>
      <c r="L17" s="405">
        <v>0</v>
      </c>
      <c r="M17" s="405">
        <v>0</v>
      </c>
      <c r="N17" s="405">
        <v>0</v>
      </c>
      <c r="O17" s="405">
        <v>115312</v>
      </c>
      <c r="P17" s="405">
        <v>0</v>
      </c>
      <c r="Q17" s="405">
        <v>2100</v>
      </c>
      <c r="R17" s="405">
        <v>0</v>
      </c>
      <c r="S17" s="405">
        <v>53684</v>
      </c>
      <c r="T17" s="405">
        <v>0</v>
      </c>
      <c r="U17" s="405">
        <v>0</v>
      </c>
      <c r="V17" s="405">
        <v>0</v>
      </c>
      <c r="W17" s="405">
        <v>0</v>
      </c>
      <c r="X17" s="405">
        <v>14528</v>
      </c>
      <c r="Y17" s="405">
        <v>41076</v>
      </c>
      <c r="Z17" s="405">
        <v>0</v>
      </c>
      <c r="AA17" s="405">
        <v>0</v>
      </c>
      <c r="AB17" s="405">
        <v>0</v>
      </c>
      <c r="AC17" s="405">
        <v>0</v>
      </c>
      <c r="AD17" s="405">
        <v>0</v>
      </c>
      <c r="AE17" s="405">
        <v>96141</v>
      </c>
      <c r="AF17" s="405">
        <v>25649</v>
      </c>
      <c r="AG17" s="405">
        <v>0</v>
      </c>
      <c r="AH17" s="405">
        <v>0</v>
      </c>
      <c r="AI17" s="405">
        <v>0</v>
      </c>
      <c r="AJ17" s="405">
        <v>0</v>
      </c>
      <c r="AK17" s="405">
        <v>11117</v>
      </c>
      <c r="AL17" s="405">
        <v>0</v>
      </c>
      <c r="AM17" s="405">
        <v>0</v>
      </c>
      <c r="AN17" s="405">
        <v>0</v>
      </c>
      <c r="AO17" s="405">
        <v>0</v>
      </c>
      <c r="AP17" s="405">
        <v>0</v>
      </c>
      <c r="AQ17" s="405">
        <v>0</v>
      </c>
      <c r="AR17" s="405">
        <v>0</v>
      </c>
      <c r="AS17" s="405">
        <v>0</v>
      </c>
      <c r="AT17" s="405">
        <v>0</v>
      </c>
      <c r="AU17" s="405">
        <v>0</v>
      </c>
      <c r="AV17" s="405">
        <v>0</v>
      </c>
      <c r="AW17" s="405">
        <v>0</v>
      </c>
      <c r="AX17" s="405">
        <v>0</v>
      </c>
      <c r="AY17" s="405">
        <v>0</v>
      </c>
      <c r="AZ17" s="405">
        <v>0</v>
      </c>
      <c r="BA17" s="405">
        <v>3709</v>
      </c>
      <c r="BB17" s="405">
        <v>0</v>
      </c>
      <c r="BC17" s="405">
        <v>0</v>
      </c>
      <c r="BD17" s="405">
        <v>-7100</v>
      </c>
      <c r="BE17" s="405">
        <v>20873</v>
      </c>
      <c r="BF17" s="405">
        <v>0</v>
      </c>
      <c r="BG17" s="405">
        <v>0</v>
      </c>
      <c r="BH17" s="405">
        <v>0</v>
      </c>
      <c r="BI17" s="405">
        <v>0</v>
      </c>
      <c r="BJ17" s="405">
        <v>0</v>
      </c>
      <c r="BK17" s="405">
        <v>0</v>
      </c>
      <c r="BL17" s="405">
        <v>0</v>
      </c>
      <c r="BM17" s="405">
        <v>0</v>
      </c>
      <c r="BN17" s="405">
        <v>0</v>
      </c>
      <c r="BO17" s="405">
        <v>62949</v>
      </c>
      <c r="BP17" s="405">
        <v>0</v>
      </c>
      <c r="BQ17" s="405">
        <v>0</v>
      </c>
      <c r="BR17" s="405">
        <v>0</v>
      </c>
      <c r="BS17" s="405">
        <v>0</v>
      </c>
      <c r="BT17" s="405">
        <v>0</v>
      </c>
      <c r="BU17" s="405">
        <v>0</v>
      </c>
      <c r="BV17" s="405">
        <v>0</v>
      </c>
      <c r="BW17" s="405">
        <v>0</v>
      </c>
      <c r="BX17" s="405">
        <v>0</v>
      </c>
      <c r="BY17" s="405">
        <v>0</v>
      </c>
      <c r="BZ17" s="405">
        <v>0</v>
      </c>
      <c r="CA17" s="405">
        <v>328053</v>
      </c>
      <c r="CB17" s="405">
        <v>0</v>
      </c>
      <c r="CC17" s="405">
        <v>12674</v>
      </c>
      <c r="CD17" s="405">
        <v>3070</v>
      </c>
      <c r="CE17" s="405">
        <v>0</v>
      </c>
      <c r="CF17" s="405">
        <v>0</v>
      </c>
    </row>
    <row r="18" spans="1:84" s="405" customFormat="1" x14ac:dyDescent="0.3">
      <c r="A18" s="405">
        <v>23</v>
      </c>
      <c r="B18" s="406">
        <v>23</v>
      </c>
      <c r="C18" s="405">
        <v>23</v>
      </c>
      <c r="D18" s="405" t="s">
        <v>215</v>
      </c>
      <c r="E18" s="405" t="s">
        <v>314</v>
      </c>
      <c r="F18" s="405">
        <v>189159</v>
      </c>
      <c r="G18" s="405">
        <v>-21398</v>
      </c>
      <c r="H18" s="405">
        <v>-46852</v>
      </c>
      <c r="I18" s="405">
        <v>99719</v>
      </c>
      <c r="J18" s="405">
        <v>102637</v>
      </c>
      <c r="K18" s="405">
        <v>-92254</v>
      </c>
      <c r="L18" s="405">
        <v>-760</v>
      </c>
      <c r="M18" s="405">
        <v>-42365</v>
      </c>
      <c r="N18" s="405">
        <v>267684</v>
      </c>
      <c r="O18" s="405">
        <v>6640249</v>
      </c>
      <c r="P18" s="405">
        <v>-127985</v>
      </c>
      <c r="Q18" s="405">
        <v>-229424</v>
      </c>
      <c r="R18" s="405">
        <v>-38087</v>
      </c>
      <c r="S18" s="405">
        <v>-171061</v>
      </c>
      <c r="T18" s="405">
        <v>-1546</v>
      </c>
      <c r="U18" s="405">
        <v>20691</v>
      </c>
      <c r="V18" s="405">
        <v>0</v>
      </c>
      <c r="W18" s="405">
        <v>172759</v>
      </c>
      <c r="X18" s="405">
        <v>476294</v>
      </c>
      <c r="Y18" s="405">
        <v>-548814</v>
      </c>
      <c r="Z18" s="405">
        <v>0</v>
      </c>
      <c r="AA18" s="405">
        <v>68931</v>
      </c>
      <c r="AB18" s="405">
        <v>2239040</v>
      </c>
      <c r="AC18" s="405">
        <v>17350</v>
      </c>
      <c r="AD18" s="405">
        <v>107696</v>
      </c>
      <c r="AE18" s="405">
        <v>752536</v>
      </c>
      <c r="AF18" s="405">
        <v>-7479</v>
      </c>
      <c r="AG18" s="405">
        <v>7046</v>
      </c>
      <c r="AH18" s="405">
        <v>2351051</v>
      </c>
      <c r="AI18" s="405">
        <v>43299</v>
      </c>
      <c r="AJ18" s="405">
        <v>-42442</v>
      </c>
      <c r="AK18" s="405">
        <v>107045</v>
      </c>
      <c r="AL18" s="405">
        <v>80719</v>
      </c>
      <c r="AM18" s="405">
        <v>9077</v>
      </c>
      <c r="AN18" s="405">
        <v>0</v>
      </c>
      <c r="AO18" s="405">
        <v>-3841</v>
      </c>
      <c r="AP18" s="405">
        <v>406705</v>
      </c>
      <c r="AQ18" s="405">
        <v>-5534</v>
      </c>
      <c r="AR18" s="405">
        <v>445440</v>
      </c>
      <c r="AS18" s="405">
        <v>-118345</v>
      </c>
      <c r="AT18" s="405">
        <v>22029</v>
      </c>
      <c r="AU18" s="405">
        <v>0</v>
      </c>
      <c r="AV18" s="405">
        <v>43294</v>
      </c>
      <c r="AW18" s="405">
        <v>1181792</v>
      </c>
      <c r="AX18" s="405">
        <v>1811322</v>
      </c>
      <c r="AY18" s="405">
        <v>119795</v>
      </c>
      <c r="AZ18" s="405">
        <v>-59877</v>
      </c>
      <c r="BA18" s="405">
        <v>76145</v>
      </c>
      <c r="BB18" s="405">
        <v>7981</v>
      </c>
      <c r="BC18" s="405">
        <v>0</v>
      </c>
      <c r="BD18" s="405">
        <v>2075</v>
      </c>
      <c r="BE18" s="405">
        <v>13480</v>
      </c>
      <c r="BF18" s="405">
        <v>12905</v>
      </c>
      <c r="BG18" s="405">
        <v>3368</v>
      </c>
      <c r="BH18" s="405">
        <v>1183485</v>
      </c>
      <c r="BI18" s="405">
        <v>4659</v>
      </c>
      <c r="BJ18" s="405">
        <v>1901125</v>
      </c>
      <c r="BK18" s="405">
        <v>147043</v>
      </c>
      <c r="BL18" s="405">
        <v>21036</v>
      </c>
      <c r="BM18" s="405">
        <v>21269</v>
      </c>
      <c r="BN18" s="405">
        <v>-692303</v>
      </c>
      <c r="BO18" s="405">
        <v>1180043</v>
      </c>
      <c r="BP18" s="405">
        <v>0</v>
      </c>
      <c r="BQ18" s="405">
        <v>-1192983</v>
      </c>
      <c r="BR18" s="405">
        <v>463540</v>
      </c>
      <c r="BS18" s="405">
        <v>-14391</v>
      </c>
      <c r="BT18" s="405">
        <v>71503</v>
      </c>
      <c r="BU18" s="405">
        <v>207441</v>
      </c>
      <c r="BV18" s="405">
        <v>515994</v>
      </c>
      <c r="BW18" s="405">
        <v>32347</v>
      </c>
      <c r="BX18" s="405">
        <v>-186742</v>
      </c>
      <c r="BY18" s="405">
        <v>619537</v>
      </c>
      <c r="BZ18" s="405">
        <v>184266</v>
      </c>
      <c r="CA18" s="405">
        <v>4257852</v>
      </c>
      <c r="CB18" s="405">
        <v>0</v>
      </c>
      <c r="CC18" s="405">
        <v>-363207</v>
      </c>
      <c r="CD18" s="405">
        <v>69556</v>
      </c>
      <c r="CE18" s="405">
        <v>-40073</v>
      </c>
      <c r="CF18" s="405">
        <v>3778832</v>
      </c>
    </row>
    <row r="19" spans="1:84" s="405" customFormat="1" x14ac:dyDescent="0.3">
      <c r="A19" s="405">
        <v>31</v>
      </c>
      <c r="B19" s="406"/>
      <c r="C19" s="405">
        <v>31</v>
      </c>
      <c r="D19" s="405" t="s">
        <v>622</v>
      </c>
      <c r="E19" s="405" t="s">
        <v>315</v>
      </c>
    </row>
    <row r="20" spans="1:84" s="405" customFormat="1" x14ac:dyDescent="0.3">
      <c r="A20" s="405">
        <v>32</v>
      </c>
      <c r="B20" s="406"/>
      <c r="C20" s="405">
        <v>32</v>
      </c>
      <c r="D20" s="405" t="s">
        <v>316</v>
      </c>
      <c r="E20" s="405" t="s">
        <v>317</v>
      </c>
    </row>
    <row r="21" spans="1:84" s="405" customFormat="1" x14ac:dyDescent="0.3">
      <c r="A21" s="405">
        <v>33</v>
      </c>
      <c r="B21" s="406"/>
      <c r="C21" s="405">
        <v>33</v>
      </c>
      <c r="D21" s="405" t="s">
        <v>318</v>
      </c>
      <c r="E21" s="405" t="s">
        <v>319</v>
      </c>
    </row>
    <row r="22" spans="1:84" s="405" customFormat="1" x14ac:dyDescent="0.3">
      <c r="A22" s="405">
        <v>34</v>
      </c>
      <c r="B22" s="406"/>
      <c r="C22" s="405">
        <v>34</v>
      </c>
      <c r="D22" s="405" t="s">
        <v>320</v>
      </c>
      <c r="E22" s="405" t="s">
        <v>321</v>
      </c>
    </row>
    <row r="23" spans="1:84" s="405" customFormat="1" x14ac:dyDescent="0.3">
      <c r="A23" s="405">
        <v>35</v>
      </c>
      <c r="B23" s="406"/>
      <c r="C23" s="405">
        <v>35</v>
      </c>
      <c r="D23" s="405" t="s">
        <v>623</v>
      </c>
      <c r="E23" s="405" t="s">
        <v>322</v>
      </c>
    </row>
    <row r="24" spans="1:84" s="405" customFormat="1" x14ac:dyDescent="0.3">
      <c r="A24" s="405">
        <v>36</v>
      </c>
      <c r="B24" s="406"/>
      <c r="C24" s="405">
        <v>36</v>
      </c>
      <c r="D24" s="405" t="s">
        <v>624</v>
      </c>
      <c r="E24" s="405" t="s">
        <v>323</v>
      </c>
    </row>
    <row r="25" spans="1:84" s="405" customFormat="1" x14ac:dyDescent="0.3">
      <c r="A25" s="405">
        <v>37</v>
      </c>
      <c r="B25" s="406"/>
      <c r="C25" s="405">
        <v>37</v>
      </c>
      <c r="D25" s="405" t="s">
        <v>324</v>
      </c>
      <c r="E25" s="405" t="s">
        <v>325</v>
      </c>
    </row>
    <row r="26" spans="1:84" s="405" customFormat="1" x14ac:dyDescent="0.3">
      <c r="A26" s="405">
        <v>38</v>
      </c>
      <c r="B26" s="406"/>
      <c r="C26" s="405">
        <v>38</v>
      </c>
      <c r="D26" s="405" t="s">
        <v>625</v>
      </c>
      <c r="E26" s="405" t="s">
        <v>326</v>
      </c>
    </row>
    <row r="27" spans="1:84" s="405" customFormat="1" x14ac:dyDescent="0.3">
      <c r="A27" s="405">
        <v>39</v>
      </c>
      <c r="B27" s="406"/>
      <c r="C27" s="405">
        <v>39</v>
      </c>
      <c r="D27" s="405" t="s">
        <v>327</v>
      </c>
      <c r="E27" s="405" t="s">
        <v>328</v>
      </c>
    </row>
    <row r="28" spans="1:84" s="405" customFormat="1" x14ac:dyDescent="0.3">
      <c r="A28" s="405">
        <v>40</v>
      </c>
      <c r="B28" s="406"/>
      <c r="C28" s="405">
        <v>40</v>
      </c>
      <c r="D28" s="405" t="s">
        <v>329</v>
      </c>
      <c r="E28" s="405" t="s">
        <v>330</v>
      </c>
    </row>
    <row r="29" spans="1:84" s="405" customFormat="1" x14ac:dyDescent="0.3">
      <c r="A29" s="405">
        <v>41</v>
      </c>
      <c r="B29" s="406"/>
      <c r="C29" s="405">
        <v>41</v>
      </c>
      <c r="D29" s="405" t="s">
        <v>331</v>
      </c>
      <c r="E29" s="405" t="s">
        <v>332</v>
      </c>
    </row>
    <row r="30" spans="1:84" s="405" customFormat="1" x14ac:dyDescent="0.3">
      <c r="A30" s="405">
        <v>43</v>
      </c>
      <c r="B30" s="406"/>
      <c r="C30" s="405">
        <v>43</v>
      </c>
      <c r="D30" s="405" t="s">
        <v>333</v>
      </c>
      <c r="E30" s="405" t="s">
        <v>334</v>
      </c>
    </row>
    <row r="31" spans="1:84" s="405" customFormat="1" x14ac:dyDescent="0.3">
      <c r="A31" s="405">
        <v>44</v>
      </c>
      <c r="B31" s="406"/>
      <c r="C31" s="405">
        <v>44</v>
      </c>
      <c r="D31" s="405" t="s">
        <v>626</v>
      </c>
      <c r="E31" s="405" t="s">
        <v>335</v>
      </c>
      <c r="F31" s="405">
        <v>237501</v>
      </c>
      <c r="G31" s="405">
        <v>470087</v>
      </c>
      <c r="H31" s="405">
        <v>0</v>
      </c>
      <c r="I31" s="405">
        <v>914764</v>
      </c>
      <c r="J31" s="405">
        <v>531934</v>
      </c>
      <c r="K31" s="405">
        <v>140640</v>
      </c>
      <c r="L31" s="405">
        <v>0</v>
      </c>
      <c r="M31" s="405">
        <v>377428</v>
      </c>
      <c r="N31" s="405">
        <v>4420057</v>
      </c>
      <c r="O31" s="405">
        <v>0</v>
      </c>
      <c r="P31" s="405">
        <v>0</v>
      </c>
      <c r="Q31" s="405">
        <v>0</v>
      </c>
      <c r="R31" s="405">
        <v>28206</v>
      </c>
      <c r="S31" s="405">
        <v>6985795</v>
      </c>
      <c r="T31" s="405">
        <v>0</v>
      </c>
      <c r="U31" s="405">
        <v>278331</v>
      </c>
      <c r="V31" s="405">
        <v>0</v>
      </c>
      <c r="W31" s="405">
        <v>959241</v>
      </c>
      <c r="X31" s="405">
        <v>6575862</v>
      </c>
      <c r="Y31" s="405">
        <v>0</v>
      </c>
      <c r="Z31" s="405">
        <v>0</v>
      </c>
      <c r="AA31" s="405">
        <v>342204</v>
      </c>
      <c r="AB31" s="405">
        <v>28113403</v>
      </c>
      <c r="AC31" s="405">
        <v>15869</v>
      </c>
      <c r="AD31" s="405">
        <v>810561</v>
      </c>
      <c r="AE31" s="405">
        <v>0</v>
      </c>
      <c r="AF31" s="405">
        <v>0</v>
      </c>
      <c r="AG31" s="405">
        <v>0</v>
      </c>
      <c r="AH31" s="405">
        <v>0</v>
      </c>
      <c r="AI31" s="405">
        <v>41</v>
      </c>
      <c r="AJ31" s="405">
        <v>195133</v>
      </c>
      <c r="AK31" s="405">
        <v>2458914</v>
      </c>
      <c r="AL31" s="405">
        <v>95271</v>
      </c>
      <c r="AM31" s="405">
        <v>77247</v>
      </c>
      <c r="AN31" s="405">
        <v>0</v>
      </c>
      <c r="AO31" s="405">
        <v>338899</v>
      </c>
      <c r="AP31" s="405">
        <v>12253033</v>
      </c>
      <c r="AQ31" s="405">
        <v>0</v>
      </c>
      <c r="AR31" s="405">
        <v>2873426</v>
      </c>
      <c r="AS31" s="405">
        <v>0</v>
      </c>
      <c r="AT31" s="405">
        <v>0</v>
      </c>
      <c r="AU31" s="405">
        <v>0</v>
      </c>
      <c r="AV31" s="405">
        <v>0</v>
      </c>
      <c r="AW31" s="405">
        <v>64035243</v>
      </c>
      <c r="AX31" s="405">
        <v>25361406</v>
      </c>
      <c r="AY31" s="405">
        <v>632197</v>
      </c>
      <c r="AZ31" s="405">
        <v>143753</v>
      </c>
      <c r="BA31" s="405">
        <v>185929</v>
      </c>
      <c r="BB31" s="405">
        <v>200669</v>
      </c>
      <c r="BC31" s="405">
        <v>0</v>
      </c>
      <c r="BD31" s="405">
        <v>4283890</v>
      </c>
      <c r="BE31" s="405">
        <v>517035</v>
      </c>
      <c r="BF31" s="405">
        <v>0</v>
      </c>
      <c r="BG31" s="405">
        <v>174062</v>
      </c>
      <c r="BH31" s="405">
        <v>10083360</v>
      </c>
      <c r="BI31" s="405">
        <v>0</v>
      </c>
      <c r="BJ31" s="405">
        <v>10980331</v>
      </c>
      <c r="BK31" s="405">
        <v>928694</v>
      </c>
      <c r="BL31" s="405">
        <v>0</v>
      </c>
      <c r="BM31" s="405">
        <v>0</v>
      </c>
      <c r="BN31" s="405">
        <v>0</v>
      </c>
      <c r="BO31" s="405">
        <v>14350788</v>
      </c>
      <c r="BP31" s="405">
        <v>0</v>
      </c>
      <c r="BQ31" s="405">
        <v>45163193</v>
      </c>
      <c r="BR31" s="405">
        <v>63632011</v>
      </c>
      <c r="BS31" s="405">
        <v>212296</v>
      </c>
      <c r="BT31" s="405">
        <v>2507745</v>
      </c>
      <c r="BU31" s="405">
        <v>0</v>
      </c>
      <c r="BV31" s="405">
        <v>13019115</v>
      </c>
      <c r="BW31" s="405">
        <v>288413</v>
      </c>
      <c r="BX31" s="405">
        <v>147844</v>
      </c>
      <c r="BY31" s="405">
        <v>3040533</v>
      </c>
      <c r="BZ31" s="405">
        <v>0</v>
      </c>
      <c r="CA31" s="405">
        <v>38646515</v>
      </c>
      <c r="CB31" s="405">
        <v>0</v>
      </c>
      <c r="CC31" s="405">
        <v>0</v>
      </c>
      <c r="CD31" s="405">
        <v>178594</v>
      </c>
      <c r="CE31" s="405">
        <v>0</v>
      </c>
      <c r="CF31" s="405">
        <v>0</v>
      </c>
    </row>
    <row r="32" spans="1:84" s="405" customFormat="1" x14ac:dyDescent="0.3">
      <c r="A32" s="405">
        <v>45</v>
      </c>
      <c r="B32" s="406"/>
      <c r="C32" s="405">
        <v>45</v>
      </c>
      <c r="D32" s="405" t="s">
        <v>627</v>
      </c>
      <c r="E32" s="405" t="s">
        <v>336</v>
      </c>
      <c r="F32" s="405">
        <v>81602</v>
      </c>
      <c r="G32" s="405">
        <v>208828</v>
      </c>
      <c r="H32" s="405">
        <v>0</v>
      </c>
      <c r="I32" s="405">
        <v>36530</v>
      </c>
      <c r="J32" s="405">
        <v>145774</v>
      </c>
      <c r="K32" s="405">
        <v>34584</v>
      </c>
      <c r="L32" s="405">
        <v>0</v>
      </c>
      <c r="M32" s="405">
        <v>210271</v>
      </c>
      <c r="N32" s="405">
        <v>1414710</v>
      </c>
      <c r="O32" s="405">
        <v>0</v>
      </c>
      <c r="P32" s="405">
        <v>0</v>
      </c>
      <c r="Q32" s="405">
        <v>0</v>
      </c>
      <c r="R32" s="405">
        <v>29019</v>
      </c>
      <c r="S32" s="405">
        <v>244933</v>
      </c>
      <c r="T32" s="405">
        <v>0</v>
      </c>
      <c r="U32" s="405">
        <v>37617</v>
      </c>
      <c r="V32" s="405">
        <v>0</v>
      </c>
      <c r="W32" s="405">
        <v>52983</v>
      </c>
      <c r="X32" s="405">
        <v>1115812</v>
      </c>
      <c r="Y32" s="405">
        <v>0</v>
      </c>
      <c r="Z32" s="405">
        <v>0</v>
      </c>
      <c r="AA32" s="405">
        <v>149470</v>
      </c>
      <c r="AB32" s="405">
        <v>3948968</v>
      </c>
      <c r="AC32" s="405">
        <v>0</v>
      </c>
      <c r="AD32" s="405">
        <v>18522</v>
      </c>
      <c r="AE32" s="405">
        <v>0</v>
      </c>
      <c r="AF32" s="405">
        <v>0</v>
      </c>
      <c r="AG32" s="405">
        <v>0</v>
      </c>
      <c r="AH32" s="405">
        <v>0</v>
      </c>
      <c r="AI32" s="405">
        <v>0</v>
      </c>
      <c r="AJ32" s="405">
        <v>5894</v>
      </c>
      <c r="AK32" s="405">
        <v>530913</v>
      </c>
      <c r="AL32" s="405">
        <v>425</v>
      </c>
      <c r="AM32" s="405">
        <v>88309</v>
      </c>
      <c r="AN32" s="405">
        <v>0</v>
      </c>
      <c r="AO32" s="405">
        <v>44591</v>
      </c>
      <c r="AP32" s="405">
        <v>982661</v>
      </c>
      <c r="AQ32" s="405">
        <v>0</v>
      </c>
      <c r="AR32" s="405">
        <v>222366</v>
      </c>
      <c r="AS32" s="405">
        <v>0</v>
      </c>
      <c r="AT32" s="405">
        <v>0</v>
      </c>
      <c r="AU32" s="405">
        <v>0</v>
      </c>
      <c r="AV32" s="405">
        <v>0</v>
      </c>
      <c r="AW32" s="405">
        <v>28977149</v>
      </c>
      <c r="AX32" s="405">
        <v>9554549</v>
      </c>
      <c r="AY32" s="405">
        <v>145793</v>
      </c>
      <c r="AZ32" s="405">
        <v>43593</v>
      </c>
      <c r="BA32" s="405">
        <v>48930</v>
      </c>
      <c r="BB32" s="405">
        <v>44169</v>
      </c>
      <c r="BC32" s="405">
        <v>0</v>
      </c>
      <c r="BD32" s="405">
        <v>233908</v>
      </c>
      <c r="BE32" s="405">
        <v>5727</v>
      </c>
      <c r="BF32" s="405">
        <v>0</v>
      </c>
      <c r="BG32" s="405">
        <v>16739</v>
      </c>
      <c r="BH32" s="405">
        <v>2485794</v>
      </c>
      <c r="BI32" s="405">
        <v>0</v>
      </c>
      <c r="BJ32" s="405">
        <v>1155416</v>
      </c>
      <c r="BK32" s="405">
        <v>128211</v>
      </c>
      <c r="BL32" s="405">
        <v>0</v>
      </c>
      <c r="BM32" s="405">
        <v>0</v>
      </c>
      <c r="BN32" s="405">
        <v>0</v>
      </c>
      <c r="BO32" s="405">
        <v>4238579</v>
      </c>
      <c r="BP32" s="405">
        <v>0</v>
      </c>
      <c r="BQ32" s="405">
        <v>5582529</v>
      </c>
      <c r="BR32" s="405">
        <v>14340379</v>
      </c>
      <c r="BS32" s="405">
        <v>9838</v>
      </c>
      <c r="BT32" s="405">
        <v>215865</v>
      </c>
      <c r="BU32" s="405">
        <v>0</v>
      </c>
      <c r="BV32" s="405">
        <v>2703767</v>
      </c>
      <c r="BW32" s="405">
        <v>38468</v>
      </c>
      <c r="BX32" s="405">
        <v>138023</v>
      </c>
      <c r="BY32" s="405">
        <v>199510</v>
      </c>
      <c r="BZ32" s="405">
        <v>0</v>
      </c>
      <c r="CA32" s="405">
        <v>11403699</v>
      </c>
      <c r="CB32" s="405">
        <v>0</v>
      </c>
      <c r="CC32" s="405">
        <v>0</v>
      </c>
      <c r="CD32" s="405">
        <v>34638</v>
      </c>
      <c r="CE32" s="405">
        <v>0</v>
      </c>
      <c r="CF32" s="405">
        <v>0</v>
      </c>
    </row>
    <row r="33" spans="1:84" s="405" customFormat="1" x14ac:dyDescent="0.3">
      <c r="A33" s="405">
        <v>46</v>
      </c>
      <c r="B33" s="406"/>
      <c r="C33" s="405">
        <v>46</v>
      </c>
      <c r="D33" s="405" t="s">
        <v>628</v>
      </c>
      <c r="E33" s="405" t="s">
        <v>337</v>
      </c>
    </row>
    <row r="34" spans="1:84" s="405" customFormat="1" x14ac:dyDescent="0.3">
      <c r="A34" s="405">
        <v>47</v>
      </c>
      <c r="B34" s="406"/>
      <c r="C34" s="405">
        <v>47</v>
      </c>
      <c r="D34" s="405" t="s">
        <v>629</v>
      </c>
      <c r="E34" s="405" t="s">
        <v>338</v>
      </c>
      <c r="F34" s="405">
        <v>0</v>
      </c>
      <c r="G34" s="405">
        <v>0</v>
      </c>
      <c r="H34" s="405">
        <v>0</v>
      </c>
      <c r="I34" s="405">
        <v>0</v>
      </c>
      <c r="J34" s="405">
        <v>0</v>
      </c>
      <c r="K34" s="405">
        <v>0</v>
      </c>
      <c r="L34" s="405">
        <v>0</v>
      </c>
      <c r="M34" s="405">
        <v>0</v>
      </c>
      <c r="N34" s="405">
        <v>1794904</v>
      </c>
      <c r="O34" s="405">
        <v>0</v>
      </c>
      <c r="P34" s="405">
        <v>0</v>
      </c>
      <c r="Q34" s="405">
        <v>0</v>
      </c>
      <c r="R34" s="405">
        <v>0</v>
      </c>
      <c r="S34" s="405">
        <v>6759171</v>
      </c>
      <c r="T34" s="405">
        <v>0</v>
      </c>
      <c r="U34" s="405">
        <v>1057430</v>
      </c>
      <c r="V34" s="405">
        <v>0</v>
      </c>
      <c r="W34" s="405">
        <v>0</v>
      </c>
      <c r="X34" s="405">
        <v>0</v>
      </c>
      <c r="Y34" s="405">
        <v>0</v>
      </c>
      <c r="Z34" s="405">
        <v>0</v>
      </c>
      <c r="AA34" s="405">
        <v>529096</v>
      </c>
      <c r="AB34" s="405">
        <v>0</v>
      </c>
      <c r="AC34" s="405">
        <v>0</v>
      </c>
      <c r="AD34" s="405">
        <v>0</v>
      </c>
      <c r="AE34" s="405">
        <v>0</v>
      </c>
      <c r="AF34" s="405">
        <v>0</v>
      </c>
      <c r="AG34" s="405">
        <v>0</v>
      </c>
      <c r="AH34" s="405">
        <v>0</v>
      </c>
      <c r="AI34" s="405">
        <v>0</v>
      </c>
      <c r="AJ34" s="405">
        <v>0</v>
      </c>
      <c r="AK34" s="405">
        <v>0</v>
      </c>
      <c r="AL34" s="405">
        <v>0</v>
      </c>
      <c r="AM34" s="405">
        <v>0</v>
      </c>
      <c r="AN34" s="405">
        <v>0</v>
      </c>
      <c r="AO34" s="405">
        <v>0</v>
      </c>
      <c r="AP34" s="405">
        <v>0</v>
      </c>
      <c r="AQ34" s="405">
        <v>0</v>
      </c>
      <c r="AR34" s="405">
        <v>5694908</v>
      </c>
      <c r="AS34" s="405">
        <v>0</v>
      </c>
      <c r="AT34" s="405">
        <v>0</v>
      </c>
      <c r="AU34" s="405">
        <v>0</v>
      </c>
      <c r="AV34" s="405">
        <v>0</v>
      </c>
      <c r="AW34" s="405">
        <v>0</v>
      </c>
      <c r="AX34" s="405">
        <v>75807048</v>
      </c>
      <c r="AY34" s="405">
        <v>0</v>
      </c>
      <c r="AZ34" s="405">
        <v>0</v>
      </c>
      <c r="BA34" s="405">
        <v>0</v>
      </c>
      <c r="BB34" s="405">
        <v>0</v>
      </c>
      <c r="BC34" s="405">
        <v>0</v>
      </c>
      <c r="BD34" s="405">
        <v>0</v>
      </c>
      <c r="BE34" s="405">
        <v>0</v>
      </c>
      <c r="BF34" s="405">
        <v>0</v>
      </c>
      <c r="BG34" s="405">
        <v>0</v>
      </c>
      <c r="BH34" s="405">
        <v>0</v>
      </c>
      <c r="BI34" s="405">
        <v>0</v>
      </c>
      <c r="BJ34" s="405">
        <v>0</v>
      </c>
      <c r="BK34" s="405">
        <v>0</v>
      </c>
      <c r="BL34" s="405">
        <v>0</v>
      </c>
      <c r="BM34" s="405">
        <v>0</v>
      </c>
      <c r="BN34" s="405">
        <v>0</v>
      </c>
      <c r="BO34" s="405">
        <v>0</v>
      </c>
      <c r="BP34" s="405">
        <v>0</v>
      </c>
      <c r="BQ34" s="405">
        <v>0</v>
      </c>
      <c r="BR34" s="405">
        <v>109162669</v>
      </c>
      <c r="BS34" s="405">
        <v>0</v>
      </c>
      <c r="BT34" s="405">
        <v>4361239</v>
      </c>
      <c r="BU34" s="405">
        <v>0</v>
      </c>
      <c r="BV34" s="405">
        <v>0</v>
      </c>
      <c r="BW34" s="405">
        <v>379776</v>
      </c>
      <c r="BX34" s="405">
        <v>0</v>
      </c>
      <c r="BY34" s="405">
        <v>0</v>
      </c>
      <c r="BZ34" s="405">
        <v>0</v>
      </c>
      <c r="CA34" s="405">
        <v>0</v>
      </c>
      <c r="CB34" s="405">
        <v>0</v>
      </c>
      <c r="CC34" s="405">
        <v>0</v>
      </c>
      <c r="CD34" s="405">
        <v>0</v>
      </c>
      <c r="CE34" s="405">
        <v>0</v>
      </c>
      <c r="CF34" s="405">
        <v>6553014</v>
      </c>
    </row>
    <row r="35" spans="1:84" s="405" customFormat="1" x14ac:dyDescent="0.3">
      <c r="A35" s="405">
        <v>48</v>
      </c>
      <c r="B35" s="406"/>
      <c r="C35" s="405">
        <v>48</v>
      </c>
      <c r="D35" s="405" t="s">
        <v>123</v>
      </c>
      <c r="E35" s="405" t="s">
        <v>339</v>
      </c>
      <c r="F35" s="405">
        <v>0</v>
      </c>
      <c r="G35" s="405">
        <v>0</v>
      </c>
      <c r="H35" s="405">
        <v>0</v>
      </c>
      <c r="I35" s="405">
        <v>0</v>
      </c>
      <c r="J35" s="405">
        <v>0</v>
      </c>
      <c r="K35" s="405">
        <v>0</v>
      </c>
      <c r="L35" s="405">
        <v>0</v>
      </c>
      <c r="M35" s="405">
        <v>0</v>
      </c>
      <c r="N35" s="405">
        <v>1018323</v>
      </c>
      <c r="O35" s="405">
        <v>0</v>
      </c>
      <c r="P35" s="405">
        <v>0</v>
      </c>
      <c r="Q35" s="405">
        <v>0</v>
      </c>
      <c r="R35" s="405">
        <v>0</v>
      </c>
      <c r="S35" s="405">
        <v>113028</v>
      </c>
      <c r="T35" s="405">
        <v>0</v>
      </c>
      <c r="U35" s="405">
        <v>130688</v>
      </c>
      <c r="V35" s="405">
        <v>0</v>
      </c>
      <c r="W35" s="405">
        <v>0</v>
      </c>
      <c r="X35" s="405">
        <v>0</v>
      </c>
      <c r="Y35" s="405">
        <v>0</v>
      </c>
      <c r="Z35" s="405">
        <v>0</v>
      </c>
      <c r="AA35" s="405">
        <v>85026</v>
      </c>
      <c r="AB35" s="405">
        <v>0</v>
      </c>
      <c r="AC35" s="405">
        <v>0</v>
      </c>
      <c r="AD35" s="405">
        <v>0</v>
      </c>
      <c r="AE35" s="405">
        <v>0</v>
      </c>
      <c r="AF35" s="405">
        <v>0</v>
      </c>
      <c r="AG35" s="405">
        <v>0</v>
      </c>
      <c r="AH35" s="405">
        <v>0</v>
      </c>
      <c r="AI35" s="405">
        <v>0</v>
      </c>
      <c r="AJ35" s="405">
        <v>0</v>
      </c>
      <c r="AK35" s="405">
        <v>0</v>
      </c>
      <c r="AL35" s="405">
        <v>0</v>
      </c>
      <c r="AM35" s="405">
        <v>0</v>
      </c>
      <c r="AN35" s="405">
        <v>0</v>
      </c>
      <c r="AO35" s="405">
        <v>0</v>
      </c>
      <c r="AP35" s="405">
        <v>0</v>
      </c>
      <c r="AQ35" s="405">
        <v>0</v>
      </c>
      <c r="AR35" s="405">
        <v>503899</v>
      </c>
      <c r="AS35" s="405">
        <v>0</v>
      </c>
      <c r="AT35" s="405">
        <v>0</v>
      </c>
      <c r="AU35" s="405">
        <v>0</v>
      </c>
      <c r="AV35" s="405">
        <v>0</v>
      </c>
      <c r="AW35" s="405">
        <v>0</v>
      </c>
      <c r="AX35" s="405">
        <v>20791107</v>
      </c>
      <c r="AY35" s="405">
        <v>0</v>
      </c>
      <c r="AZ35" s="405">
        <v>0</v>
      </c>
      <c r="BA35" s="405">
        <v>0</v>
      </c>
      <c r="BB35" s="405">
        <v>0</v>
      </c>
      <c r="BC35" s="405">
        <v>0</v>
      </c>
      <c r="BD35" s="405">
        <v>0</v>
      </c>
      <c r="BE35" s="405">
        <v>0</v>
      </c>
      <c r="BF35" s="405">
        <v>0</v>
      </c>
      <c r="BG35" s="405">
        <v>0</v>
      </c>
      <c r="BH35" s="405">
        <v>0</v>
      </c>
      <c r="BI35" s="405">
        <v>0</v>
      </c>
      <c r="BJ35" s="405">
        <v>0</v>
      </c>
      <c r="BK35" s="405">
        <v>0</v>
      </c>
      <c r="BL35" s="405">
        <v>0</v>
      </c>
      <c r="BM35" s="405">
        <v>0</v>
      </c>
      <c r="BN35" s="405">
        <v>0</v>
      </c>
      <c r="BO35" s="405">
        <v>0</v>
      </c>
      <c r="BP35" s="405">
        <v>0</v>
      </c>
      <c r="BQ35" s="405">
        <v>0</v>
      </c>
      <c r="BR35" s="405">
        <v>11669413</v>
      </c>
      <c r="BS35" s="405">
        <v>0</v>
      </c>
      <c r="BT35" s="405">
        <v>378542</v>
      </c>
      <c r="BU35" s="405">
        <v>0</v>
      </c>
      <c r="BV35" s="405">
        <v>0</v>
      </c>
      <c r="BW35" s="405">
        <v>83354</v>
      </c>
      <c r="BX35" s="405">
        <v>0</v>
      </c>
      <c r="BY35" s="405">
        <v>0</v>
      </c>
      <c r="BZ35" s="405">
        <v>0</v>
      </c>
      <c r="CA35" s="405">
        <v>0</v>
      </c>
      <c r="CB35" s="405">
        <v>0</v>
      </c>
      <c r="CC35" s="405">
        <v>0</v>
      </c>
      <c r="CD35" s="405">
        <v>0</v>
      </c>
      <c r="CE35" s="405">
        <v>0</v>
      </c>
      <c r="CF35" s="405">
        <v>1908355</v>
      </c>
    </row>
    <row r="36" spans="1:84" s="405" customFormat="1" x14ac:dyDescent="0.3">
      <c r="A36" s="405">
        <v>49</v>
      </c>
      <c r="B36" s="406">
        <v>49</v>
      </c>
      <c r="C36" s="405">
        <v>49</v>
      </c>
      <c r="D36" s="405" t="s">
        <v>228</v>
      </c>
      <c r="E36" s="405" t="s">
        <v>340</v>
      </c>
      <c r="F36" s="405">
        <v>153528</v>
      </c>
      <c r="G36" s="405">
        <v>311551</v>
      </c>
      <c r="H36" s="405">
        <v>0</v>
      </c>
      <c r="I36" s="405">
        <v>368431</v>
      </c>
      <c r="J36" s="405">
        <v>200955</v>
      </c>
      <c r="K36" s="405">
        <v>15975</v>
      </c>
      <c r="L36" s="405">
        <v>0</v>
      </c>
      <c r="M36" s="405">
        <v>15230</v>
      </c>
      <c r="N36" s="405">
        <v>1199256</v>
      </c>
      <c r="O36" s="405">
        <v>0</v>
      </c>
      <c r="P36" s="405">
        <v>0</v>
      </c>
      <c r="Q36" s="405">
        <v>0</v>
      </c>
      <c r="R36" s="405">
        <v>106905</v>
      </c>
      <c r="S36" s="405">
        <v>1350498</v>
      </c>
      <c r="T36" s="405">
        <v>0</v>
      </c>
      <c r="U36" s="405">
        <v>117694</v>
      </c>
      <c r="V36" s="405">
        <v>0</v>
      </c>
      <c r="W36" s="405">
        <v>54860</v>
      </c>
      <c r="X36" s="405">
        <v>691255</v>
      </c>
      <c r="Y36" s="405">
        <v>0</v>
      </c>
      <c r="Z36" s="405">
        <v>0</v>
      </c>
      <c r="AA36" s="405">
        <v>287059</v>
      </c>
      <c r="AB36" s="405">
        <v>4323823</v>
      </c>
      <c r="AC36" s="405">
        <v>69505</v>
      </c>
      <c r="AD36" s="405">
        <v>73278</v>
      </c>
      <c r="AE36" s="405">
        <v>0</v>
      </c>
      <c r="AF36" s="405">
        <v>0</v>
      </c>
      <c r="AG36" s="405">
        <v>0</v>
      </c>
      <c r="AH36" s="405">
        <v>4954277</v>
      </c>
      <c r="AI36" s="405">
        <v>0</v>
      </c>
      <c r="AJ36" s="405">
        <v>45727</v>
      </c>
      <c r="AK36" s="405">
        <v>86946</v>
      </c>
      <c r="AL36" s="405">
        <v>71782</v>
      </c>
      <c r="AM36" s="405">
        <v>5375</v>
      </c>
      <c r="AN36" s="405">
        <v>0</v>
      </c>
      <c r="AO36" s="405">
        <v>190993</v>
      </c>
      <c r="AP36" s="405">
        <v>1002894</v>
      </c>
      <c r="AQ36" s="405">
        <v>0</v>
      </c>
      <c r="AR36" s="405">
        <v>694441</v>
      </c>
      <c r="AS36" s="405">
        <v>0</v>
      </c>
      <c r="AT36" s="405">
        <v>0</v>
      </c>
      <c r="AU36" s="405">
        <v>0</v>
      </c>
      <c r="AV36" s="405">
        <v>102569</v>
      </c>
      <c r="AW36" s="405">
        <v>30000980</v>
      </c>
      <c r="AX36" s="405">
        <v>10565625</v>
      </c>
      <c r="AY36" s="405">
        <v>166226</v>
      </c>
      <c r="AZ36" s="405">
        <v>160521</v>
      </c>
      <c r="BA36" s="405">
        <v>79522</v>
      </c>
      <c r="BB36" s="405">
        <v>100064</v>
      </c>
      <c r="BC36" s="405">
        <v>0</v>
      </c>
      <c r="BD36" s="405">
        <v>633262</v>
      </c>
      <c r="BE36" s="405">
        <v>141442</v>
      </c>
      <c r="BF36" s="405">
        <v>0</v>
      </c>
      <c r="BG36" s="405">
        <v>40141</v>
      </c>
      <c r="BH36" s="405">
        <v>1621142</v>
      </c>
      <c r="BI36" s="405">
        <v>0</v>
      </c>
      <c r="BJ36" s="405">
        <v>1196544</v>
      </c>
      <c r="BK36" s="405">
        <v>201428</v>
      </c>
      <c r="BL36" s="405">
        <v>0</v>
      </c>
      <c r="BM36" s="405">
        <v>0</v>
      </c>
      <c r="BN36" s="405">
        <v>2244885</v>
      </c>
      <c r="BO36" s="405">
        <v>3267610</v>
      </c>
      <c r="BP36" s="405">
        <v>0</v>
      </c>
      <c r="BQ36" s="405">
        <v>5195270</v>
      </c>
      <c r="BR36" s="405">
        <v>12722894</v>
      </c>
      <c r="BS36" s="405">
        <v>91856</v>
      </c>
      <c r="BT36" s="405">
        <v>878470</v>
      </c>
      <c r="BU36" s="405">
        <v>0</v>
      </c>
      <c r="BV36" s="405">
        <v>1695988</v>
      </c>
      <c r="BW36" s="405">
        <v>136370</v>
      </c>
      <c r="BX36" s="405">
        <v>0</v>
      </c>
      <c r="BY36" s="405">
        <v>542655</v>
      </c>
      <c r="BZ36" s="405">
        <v>0</v>
      </c>
      <c r="CA36" s="405">
        <v>4230569</v>
      </c>
      <c r="CB36" s="405">
        <v>0</v>
      </c>
      <c r="CC36" s="405">
        <v>0</v>
      </c>
      <c r="CD36" s="405">
        <v>48374</v>
      </c>
      <c r="CE36" s="405">
        <v>0</v>
      </c>
      <c r="CF36" s="405">
        <v>0</v>
      </c>
    </row>
    <row r="37" spans="1:84" s="405" customFormat="1" x14ac:dyDescent="0.3">
      <c r="A37" s="405">
        <v>50</v>
      </c>
      <c r="B37" s="406">
        <v>50</v>
      </c>
      <c r="C37" s="405">
        <v>50</v>
      </c>
      <c r="D37" s="405" t="s">
        <v>100</v>
      </c>
      <c r="E37" s="405" t="s">
        <v>341</v>
      </c>
      <c r="F37" s="405">
        <v>944707</v>
      </c>
      <c r="G37" s="405">
        <v>-166217</v>
      </c>
      <c r="H37" s="405">
        <v>0</v>
      </c>
      <c r="I37" s="405">
        <v>54149</v>
      </c>
      <c r="J37" s="405">
        <v>-56274</v>
      </c>
      <c r="K37" s="405">
        <v>11258</v>
      </c>
      <c r="L37" s="405">
        <v>0</v>
      </c>
      <c r="M37" s="405">
        <v>633661</v>
      </c>
      <c r="N37" s="405">
        <v>234293</v>
      </c>
      <c r="O37" s="405">
        <v>0</v>
      </c>
      <c r="P37" s="405">
        <v>0</v>
      </c>
      <c r="Q37" s="405">
        <v>0</v>
      </c>
      <c r="R37" s="405">
        <v>-43490</v>
      </c>
      <c r="S37" s="405">
        <v>1036740</v>
      </c>
      <c r="T37" s="405">
        <v>0</v>
      </c>
      <c r="U37" s="405">
        <v>1234632</v>
      </c>
      <c r="V37" s="405">
        <v>0</v>
      </c>
      <c r="W37" s="405">
        <v>112647</v>
      </c>
      <c r="X37" s="405">
        <v>1147130</v>
      </c>
      <c r="Y37" s="405">
        <v>0</v>
      </c>
      <c r="Z37" s="405">
        <v>0</v>
      </c>
      <c r="AA37" s="405">
        <v>1009595</v>
      </c>
      <c r="AB37" s="405">
        <v>19563078</v>
      </c>
      <c r="AC37" s="405">
        <v>-69282</v>
      </c>
      <c r="AD37" s="405">
        <v>452835</v>
      </c>
      <c r="AE37" s="405">
        <v>0</v>
      </c>
      <c r="AF37" s="405">
        <v>0</v>
      </c>
      <c r="AG37" s="405">
        <v>0</v>
      </c>
      <c r="AH37" s="405">
        <v>7338710</v>
      </c>
      <c r="AI37" s="405">
        <v>-277</v>
      </c>
      <c r="AJ37" s="405">
        <v>-82995</v>
      </c>
      <c r="AK37" s="405">
        <v>169732</v>
      </c>
      <c r="AL37" s="405">
        <v>-71086</v>
      </c>
      <c r="AM37" s="405">
        <v>12905</v>
      </c>
      <c r="AN37" s="405">
        <v>0</v>
      </c>
      <c r="AO37" s="405">
        <v>-30718</v>
      </c>
      <c r="AP37" s="405">
        <v>152357</v>
      </c>
      <c r="AQ37" s="405">
        <v>0</v>
      </c>
      <c r="AR37" s="405">
        <v>-169837</v>
      </c>
      <c r="AS37" s="405">
        <v>0</v>
      </c>
      <c r="AT37" s="405">
        <v>0</v>
      </c>
      <c r="AU37" s="405">
        <v>0</v>
      </c>
      <c r="AV37" s="405">
        <v>341356</v>
      </c>
      <c r="AW37" s="405">
        <v>19781583</v>
      </c>
      <c r="AX37" s="405">
        <v>11418757</v>
      </c>
      <c r="AY37" s="405">
        <v>-75886</v>
      </c>
      <c r="AZ37" s="405">
        <v>-168024</v>
      </c>
      <c r="BA37" s="405">
        <v>-95950</v>
      </c>
      <c r="BB37" s="405">
        <v>-131375</v>
      </c>
      <c r="BC37" s="405">
        <v>0</v>
      </c>
      <c r="BD37" s="405">
        <v>-61142</v>
      </c>
      <c r="BE37" s="405">
        <v>-129974</v>
      </c>
      <c r="BF37" s="405">
        <v>0</v>
      </c>
      <c r="BG37" s="405">
        <v>-10056</v>
      </c>
      <c r="BH37" s="405">
        <v>1484417</v>
      </c>
      <c r="BI37" s="405">
        <v>0</v>
      </c>
      <c r="BJ37" s="405">
        <v>881106</v>
      </c>
      <c r="BK37" s="405">
        <v>-178773</v>
      </c>
      <c r="BL37" s="405">
        <v>0</v>
      </c>
      <c r="BM37" s="405">
        <v>0</v>
      </c>
      <c r="BN37" s="405">
        <v>3962311</v>
      </c>
      <c r="BO37" s="405">
        <v>2264065</v>
      </c>
      <c r="BP37" s="405">
        <v>0</v>
      </c>
      <c r="BQ37" s="405">
        <v>5749225</v>
      </c>
      <c r="BR37" s="405">
        <v>11064379</v>
      </c>
      <c r="BS37" s="405">
        <v>1478872</v>
      </c>
      <c r="BT37" s="405">
        <v>1458581</v>
      </c>
      <c r="BU37" s="405">
        <v>0</v>
      </c>
      <c r="BV37" s="405">
        <v>2349137</v>
      </c>
      <c r="BW37" s="405">
        <v>-147508</v>
      </c>
      <c r="BX37" s="405">
        <v>875985</v>
      </c>
      <c r="BY37" s="405">
        <v>579557</v>
      </c>
      <c r="BZ37" s="405">
        <v>0</v>
      </c>
      <c r="CA37" s="405">
        <v>1129302</v>
      </c>
      <c r="CB37" s="405">
        <v>0</v>
      </c>
      <c r="CC37" s="405">
        <v>0</v>
      </c>
      <c r="CD37" s="405">
        <v>56347</v>
      </c>
      <c r="CE37" s="405">
        <v>0</v>
      </c>
      <c r="CF37" s="405">
        <v>0</v>
      </c>
    </row>
    <row r="38" spans="1:84" s="405" customFormat="1" x14ac:dyDescent="0.3">
      <c r="A38" s="405">
        <v>51</v>
      </c>
      <c r="B38" s="406">
        <v>51</v>
      </c>
      <c r="C38" s="405">
        <v>51</v>
      </c>
      <c r="D38" s="405" t="s">
        <v>246</v>
      </c>
      <c r="E38" s="405" t="s">
        <v>342</v>
      </c>
      <c r="F38" s="405">
        <v>8984</v>
      </c>
      <c r="G38" s="405">
        <v>358168</v>
      </c>
      <c r="H38" s="405">
        <v>0</v>
      </c>
      <c r="I38" s="405">
        <v>77057</v>
      </c>
      <c r="J38" s="405">
        <v>245349</v>
      </c>
      <c r="K38" s="405">
        <v>21582</v>
      </c>
      <c r="L38" s="405">
        <v>0</v>
      </c>
      <c r="M38" s="405">
        <v>47758</v>
      </c>
      <c r="N38" s="405">
        <v>680013</v>
      </c>
      <c r="O38" s="405">
        <v>0</v>
      </c>
      <c r="P38" s="405">
        <v>0</v>
      </c>
      <c r="Q38" s="405">
        <v>0</v>
      </c>
      <c r="R38" s="405">
        <v>-319</v>
      </c>
      <c r="S38" s="405">
        <v>1485940</v>
      </c>
      <c r="T38" s="405">
        <v>0</v>
      </c>
      <c r="U38" s="405">
        <v>64790</v>
      </c>
      <c r="V38" s="405">
        <v>0</v>
      </c>
      <c r="W38" s="405">
        <v>157038</v>
      </c>
      <c r="X38" s="405">
        <v>4003510</v>
      </c>
      <c r="Y38" s="405">
        <v>0</v>
      </c>
      <c r="Z38" s="405">
        <v>0</v>
      </c>
      <c r="AA38" s="405">
        <v>-320003</v>
      </c>
      <c r="AB38" s="405">
        <v>5708710</v>
      </c>
      <c r="AC38" s="405">
        <v>-6656</v>
      </c>
      <c r="AD38" s="405">
        <v>108208</v>
      </c>
      <c r="AE38" s="405">
        <v>0</v>
      </c>
      <c r="AF38" s="405">
        <v>0</v>
      </c>
      <c r="AG38" s="405">
        <v>0</v>
      </c>
      <c r="AH38" s="405">
        <v>9478432</v>
      </c>
      <c r="AI38" s="405">
        <v>-277</v>
      </c>
      <c r="AJ38" s="405">
        <v>-27258</v>
      </c>
      <c r="AK38" s="405">
        <v>533071</v>
      </c>
      <c r="AL38" s="405">
        <v>-3591</v>
      </c>
      <c r="AM38" s="405">
        <v>19353</v>
      </c>
      <c r="AN38" s="405">
        <v>0</v>
      </c>
      <c r="AO38" s="405">
        <v>33585</v>
      </c>
      <c r="AP38" s="405">
        <v>1583417</v>
      </c>
      <c r="AQ38" s="405">
        <v>0</v>
      </c>
      <c r="AR38" s="405">
        <v>446467</v>
      </c>
      <c r="AS38" s="405">
        <v>0</v>
      </c>
      <c r="AT38" s="405">
        <v>0</v>
      </c>
      <c r="AU38" s="405">
        <v>0</v>
      </c>
      <c r="AV38" s="405">
        <v>-28</v>
      </c>
      <c r="AW38" s="405">
        <v>54111664</v>
      </c>
      <c r="AX38" s="405">
        <v>20199378</v>
      </c>
      <c r="AY38" s="405">
        <v>139751</v>
      </c>
      <c r="AZ38" s="405">
        <v>25583</v>
      </c>
      <c r="BA38" s="405">
        <v>-16038</v>
      </c>
      <c r="BB38" s="405">
        <v>-23886</v>
      </c>
      <c r="BC38" s="405">
        <v>0</v>
      </c>
      <c r="BD38" s="405">
        <v>584109</v>
      </c>
      <c r="BE38" s="405">
        <v>19658</v>
      </c>
      <c r="BF38" s="405">
        <v>0</v>
      </c>
      <c r="BG38" s="405">
        <v>46559</v>
      </c>
      <c r="BH38" s="405">
        <v>3800947</v>
      </c>
      <c r="BI38" s="405">
        <v>0</v>
      </c>
      <c r="BJ38" s="405">
        <v>1316559</v>
      </c>
      <c r="BK38" s="405">
        <v>-118894</v>
      </c>
      <c r="BL38" s="405">
        <v>0</v>
      </c>
      <c r="BM38" s="405">
        <v>0</v>
      </c>
      <c r="BN38" s="405">
        <v>5762549</v>
      </c>
      <c r="BO38" s="405">
        <v>2742751</v>
      </c>
      <c r="BP38" s="405">
        <v>0</v>
      </c>
      <c r="BQ38" s="405">
        <v>11055476</v>
      </c>
      <c r="BR38" s="405">
        <v>24357532</v>
      </c>
      <c r="BS38" s="405">
        <v>38445</v>
      </c>
      <c r="BT38" s="405">
        <v>491859</v>
      </c>
      <c r="BU38" s="405">
        <v>0</v>
      </c>
      <c r="BV38" s="405">
        <v>4568694</v>
      </c>
      <c r="BW38" s="405">
        <v>14332</v>
      </c>
      <c r="BX38" s="405">
        <v>3775</v>
      </c>
      <c r="BY38" s="405">
        <v>680567</v>
      </c>
      <c r="BZ38" s="405">
        <v>0</v>
      </c>
      <c r="CA38" s="405">
        <v>16213942</v>
      </c>
      <c r="CB38" s="405">
        <v>0</v>
      </c>
      <c r="CC38" s="405">
        <v>0</v>
      </c>
      <c r="CD38" s="405">
        <v>38435</v>
      </c>
      <c r="CE38" s="405">
        <v>0</v>
      </c>
      <c r="CF38" s="405">
        <v>0</v>
      </c>
    </row>
    <row r="39" spans="1:84" s="405" customFormat="1" x14ac:dyDescent="0.3">
      <c r="A39" s="405">
        <v>52</v>
      </c>
      <c r="B39" s="406">
        <v>52</v>
      </c>
      <c r="C39" s="405">
        <v>52</v>
      </c>
      <c r="D39" s="405" t="s">
        <v>239</v>
      </c>
      <c r="E39" s="405" t="s">
        <v>343</v>
      </c>
      <c r="F39" s="405">
        <v>0</v>
      </c>
      <c r="G39" s="405">
        <v>0</v>
      </c>
      <c r="H39" s="405">
        <v>0</v>
      </c>
      <c r="I39" s="405">
        <v>0</v>
      </c>
      <c r="J39" s="405">
        <v>0</v>
      </c>
      <c r="K39" s="405">
        <v>0</v>
      </c>
      <c r="L39" s="405">
        <v>0</v>
      </c>
      <c r="M39" s="405">
        <v>0</v>
      </c>
      <c r="N39" s="405">
        <v>222671</v>
      </c>
      <c r="O39" s="405">
        <v>0</v>
      </c>
      <c r="P39" s="405">
        <v>0</v>
      </c>
      <c r="Q39" s="405">
        <v>0</v>
      </c>
      <c r="R39" s="405">
        <v>0</v>
      </c>
      <c r="S39" s="405">
        <v>301375</v>
      </c>
      <c r="T39" s="405">
        <v>0</v>
      </c>
      <c r="U39" s="405">
        <v>16285</v>
      </c>
      <c r="V39" s="405">
        <v>0</v>
      </c>
      <c r="W39" s="405">
        <v>0</v>
      </c>
      <c r="X39" s="405">
        <v>0</v>
      </c>
      <c r="Y39" s="405">
        <v>0</v>
      </c>
      <c r="Z39" s="405">
        <v>0</v>
      </c>
      <c r="AA39" s="405">
        <v>8613</v>
      </c>
      <c r="AB39" s="405">
        <v>0</v>
      </c>
      <c r="AC39" s="405">
        <v>0</v>
      </c>
      <c r="AD39" s="405">
        <v>0</v>
      </c>
      <c r="AE39" s="405">
        <v>0</v>
      </c>
      <c r="AF39" s="405">
        <v>0</v>
      </c>
      <c r="AG39" s="405">
        <v>0</v>
      </c>
      <c r="AH39" s="405">
        <v>2067406</v>
      </c>
      <c r="AI39" s="405">
        <v>0</v>
      </c>
      <c r="AJ39" s="405">
        <v>0</v>
      </c>
      <c r="AK39" s="405">
        <v>0</v>
      </c>
      <c r="AL39" s="405">
        <v>0</v>
      </c>
      <c r="AM39" s="405">
        <v>0</v>
      </c>
      <c r="AN39" s="405">
        <v>0</v>
      </c>
      <c r="AO39" s="405">
        <v>0</v>
      </c>
      <c r="AP39" s="405">
        <v>0</v>
      </c>
      <c r="AQ39" s="405">
        <v>0</v>
      </c>
      <c r="AR39" s="405">
        <v>289137</v>
      </c>
      <c r="AS39" s="405">
        <v>0</v>
      </c>
      <c r="AT39" s="405">
        <v>0</v>
      </c>
      <c r="AU39" s="405">
        <v>0</v>
      </c>
      <c r="AV39" s="405">
        <v>0</v>
      </c>
      <c r="AW39" s="405">
        <v>0</v>
      </c>
      <c r="AX39" s="405">
        <v>10170187</v>
      </c>
      <c r="AY39" s="405">
        <v>0</v>
      </c>
      <c r="AZ39" s="405">
        <v>0</v>
      </c>
      <c r="BA39" s="405">
        <v>0</v>
      </c>
      <c r="BB39" s="405">
        <v>0</v>
      </c>
      <c r="BC39" s="405">
        <v>0</v>
      </c>
      <c r="BD39" s="405">
        <v>0</v>
      </c>
      <c r="BE39" s="405">
        <v>0</v>
      </c>
      <c r="BF39" s="405">
        <v>0</v>
      </c>
      <c r="BG39" s="405">
        <v>0</v>
      </c>
      <c r="BH39" s="405">
        <v>0</v>
      </c>
      <c r="BI39" s="405">
        <v>0</v>
      </c>
      <c r="BJ39" s="405">
        <v>0</v>
      </c>
      <c r="BK39" s="405">
        <v>0</v>
      </c>
      <c r="BL39" s="405">
        <v>0</v>
      </c>
      <c r="BM39" s="405">
        <v>0</v>
      </c>
      <c r="BN39" s="405">
        <v>0</v>
      </c>
      <c r="BO39" s="405">
        <v>0</v>
      </c>
      <c r="BP39" s="405">
        <v>0</v>
      </c>
      <c r="BQ39" s="405">
        <v>0</v>
      </c>
      <c r="BR39" s="405">
        <v>3179359</v>
      </c>
      <c r="BS39" s="405">
        <v>0</v>
      </c>
      <c r="BT39" s="405">
        <v>135402</v>
      </c>
      <c r="BU39" s="405">
        <v>0</v>
      </c>
      <c r="BV39" s="405">
        <v>0</v>
      </c>
      <c r="BW39" s="405">
        <v>10317</v>
      </c>
      <c r="BX39" s="405">
        <v>0</v>
      </c>
      <c r="BY39" s="405">
        <v>0</v>
      </c>
      <c r="BZ39" s="405">
        <v>0</v>
      </c>
      <c r="CA39" s="405">
        <v>0</v>
      </c>
      <c r="CB39" s="405">
        <v>0</v>
      </c>
      <c r="CC39" s="405">
        <v>0</v>
      </c>
      <c r="CD39" s="405">
        <v>0</v>
      </c>
      <c r="CE39" s="405">
        <v>0</v>
      </c>
      <c r="CF39" s="405">
        <v>1201700</v>
      </c>
    </row>
    <row r="40" spans="1:84" s="405" customFormat="1" x14ac:dyDescent="0.3">
      <c r="A40" s="405">
        <v>53</v>
      </c>
      <c r="B40" s="406">
        <v>53</v>
      </c>
      <c r="C40" s="405">
        <v>53</v>
      </c>
      <c r="D40" s="405" t="s">
        <v>101</v>
      </c>
      <c r="E40" s="405" t="s">
        <v>344</v>
      </c>
      <c r="F40" s="405">
        <v>0</v>
      </c>
      <c r="G40" s="405">
        <v>0</v>
      </c>
      <c r="H40" s="405">
        <v>0</v>
      </c>
      <c r="I40" s="405">
        <v>0</v>
      </c>
      <c r="J40" s="405">
        <v>0</v>
      </c>
      <c r="K40" s="405">
        <v>0</v>
      </c>
      <c r="L40" s="405">
        <v>0</v>
      </c>
      <c r="M40" s="405">
        <v>0</v>
      </c>
      <c r="N40" s="405">
        <v>-504740</v>
      </c>
      <c r="O40" s="405">
        <v>0</v>
      </c>
      <c r="P40" s="405">
        <v>0</v>
      </c>
      <c r="Q40" s="405">
        <v>0</v>
      </c>
      <c r="R40" s="405">
        <v>0</v>
      </c>
      <c r="S40" s="405">
        <v>-216841</v>
      </c>
      <c r="T40" s="405">
        <v>0</v>
      </c>
      <c r="U40" s="405">
        <v>-20676</v>
      </c>
      <c r="V40" s="405">
        <v>0</v>
      </c>
      <c r="W40" s="405">
        <v>0</v>
      </c>
      <c r="X40" s="405">
        <v>0</v>
      </c>
      <c r="Y40" s="405">
        <v>0</v>
      </c>
      <c r="Z40" s="405">
        <v>0</v>
      </c>
      <c r="AA40" s="405">
        <v>-72780</v>
      </c>
      <c r="AB40" s="405">
        <v>0</v>
      </c>
      <c r="AC40" s="405">
        <v>0</v>
      </c>
      <c r="AD40" s="405">
        <v>0</v>
      </c>
      <c r="AE40" s="405">
        <v>0</v>
      </c>
      <c r="AF40" s="405">
        <v>0</v>
      </c>
      <c r="AG40" s="405">
        <v>0</v>
      </c>
      <c r="AH40" s="405">
        <v>13234743</v>
      </c>
      <c r="AI40" s="405">
        <v>0</v>
      </c>
      <c r="AJ40" s="405">
        <v>0</v>
      </c>
      <c r="AK40" s="405">
        <v>0</v>
      </c>
      <c r="AL40" s="405">
        <v>0</v>
      </c>
      <c r="AM40" s="405">
        <v>0</v>
      </c>
      <c r="AN40" s="405">
        <v>0</v>
      </c>
      <c r="AO40" s="405">
        <v>0</v>
      </c>
      <c r="AP40" s="405">
        <v>0</v>
      </c>
      <c r="AQ40" s="405">
        <v>0</v>
      </c>
      <c r="AR40" s="405">
        <v>834609</v>
      </c>
      <c r="AS40" s="405">
        <v>0</v>
      </c>
      <c r="AT40" s="405">
        <v>0</v>
      </c>
      <c r="AU40" s="405">
        <v>0</v>
      </c>
      <c r="AV40" s="405">
        <v>0</v>
      </c>
      <c r="AW40" s="405">
        <v>0</v>
      </c>
      <c r="AX40" s="405">
        <v>1412785</v>
      </c>
      <c r="AY40" s="405">
        <v>0</v>
      </c>
      <c r="AZ40" s="405">
        <v>0</v>
      </c>
      <c r="BA40" s="405">
        <v>0</v>
      </c>
      <c r="BB40" s="405">
        <v>0</v>
      </c>
      <c r="BC40" s="405">
        <v>0</v>
      </c>
      <c r="BD40" s="405">
        <v>0</v>
      </c>
      <c r="BE40" s="405">
        <v>0</v>
      </c>
      <c r="BF40" s="405">
        <v>0</v>
      </c>
      <c r="BG40" s="405">
        <v>0</v>
      </c>
      <c r="BH40" s="405">
        <v>0</v>
      </c>
      <c r="BI40" s="405">
        <v>0</v>
      </c>
      <c r="BJ40" s="405">
        <v>0</v>
      </c>
      <c r="BK40" s="405">
        <v>0</v>
      </c>
      <c r="BL40" s="405">
        <v>0</v>
      </c>
      <c r="BM40" s="405">
        <v>0</v>
      </c>
      <c r="BN40" s="405">
        <v>0</v>
      </c>
      <c r="BO40" s="405">
        <v>0</v>
      </c>
      <c r="BP40" s="405">
        <v>0</v>
      </c>
      <c r="BQ40" s="405">
        <v>0</v>
      </c>
      <c r="BR40" s="405">
        <v>22152066</v>
      </c>
      <c r="BS40" s="405">
        <v>0</v>
      </c>
      <c r="BT40" s="405">
        <v>-1659258</v>
      </c>
      <c r="BU40" s="405">
        <v>0</v>
      </c>
      <c r="BV40" s="405">
        <v>0</v>
      </c>
      <c r="BW40" s="405">
        <v>-11226</v>
      </c>
      <c r="BX40" s="405">
        <v>0</v>
      </c>
      <c r="BY40" s="405">
        <v>0</v>
      </c>
      <c r="BZ40" s="405">
        <v>0</v>
      </c>
      <c r="CA40" s="405">
        <v>0</v>
      </c>
      <c r="CB40" s="405">
        <v>0</v>
      </c>
      <c r="CC40" s="405">
        <v>0</v>
      </c>
      <c r="CD40" s="405">
        <v>0</v>
      </c>
      <c r="CE40" s="405">
        <v>0</v>
      </c>
      <c r="CF40" s="405">
        <v>2692665</v>
      </c>
    </row>
    <row r="41" spans="1:84" s="405" customFormat="1" x14ac:dyDescent="0.3">
      <c r="A41" s="405">
        <v>54</v>
      </c>
      <c r="B41" s="406"/>
      <c r="C41" s="405">
        <v>54</v>
      </c>
      <c r="D41" s="405" t="s">
        <v>630</v>
      </c>
      <c r="E41" s="405" t="s">
        <v>345</v>
      </c>
    </row>
    <row r="42" spans="1:84" s="405" customFormat="1" x14ac:dyDescent="0.3">
      <c r="A42" s="405">
        <v>55</v>
      </c>
      <c r="B42" s="406">
        <v>55</v>
      </c>
      <c r="C42" s="405">
        <v>55</v>
      </c>
      <c r="D42" s="405" t="s">
        <v>249</v>
      </c>
      <c r="E42" s="405" t="s">
        <v>346</v>
      </c>
      <c r="F42" s="405">
        <v>0</v>
      </c>
      <c r="G42" s="405">
        <v>0</v>
      </c>
      <c r="H42" s="405">
        <v>0</v>
      </c>
      <c r="I42" s="405">
        <v>0</v>
      </c>
      <c r="J42" s="405">
        <v>0</v>
      </c>
      <c r="K42" s="405">
        <v>0</v>
      </c>
      <c r="L42" s="405">
        <v>0</v>
      </c>
      <c r="M42" s="405">
        <v>0</v>
      </c>
      <c r="N42" s="405">
        <v>370504</v>
      </c>
      <c r="O42" s="405">
        <v>0</v>
      </c>
      <c r="P42" s="405">
        <v>0</v>
      </c>
      <c r="Q42" s="405">
        <v>0</v>
      </c>
      <c r="R42" s="405">
        <v>0</v>
      </c>
      <c r="S42" s="405">
        <v>4277200</v>
      </c>
      <c r="T42" s="405">
        <v>0</v>
      </c>
      <c r="U42" s="405">
        <v>37380</v>
      </c>
      <c r="V42" s="405">
        <v>0</v>
      </c>
      <c r="W42" s="405">
        <v>0</v>
      </c>
      <c r="X42" s="405">
        <v>0</v>
      </c>
      <c r="Y42" s="405">
        <v>0</v>
      </c>
      <c r="Z42" s="405">
        <v>0</v>
      </c>
      <c r="AA42" s="405">
        <v>191030</v>
      </c>
      <c r="AB42" s="405">
        <v>0</v>
      </c>
      <c r="AC42" s="405">
        <v>0</v>
      </c>
      <c r="AD42" s="405">
        <v>0</v>
      </c>
      <c r="AE42" s="405">
        <v>0</v>
      </c>
      <c r="AF42" s="405">
        <v>0</v>
      </c>
      <c r="AG42" s="405">
        <v>0</v>
      </c>
      <c r="AH42" s="405">
        <v>9105691</v>
      </c>
      <c r="AI42" s="405">
        <v>0</v>
      </c>
      <c r="AJ42" s="405">
        <v>0</v>
      </c>
      <c r="AK42" s="405">
        <v>0</v>
      </c>
      <c r="AL42" s="405">
        <v>0</v>
      </c>
      <c r="AM42" s="405">
        <v>0</v>
      </c>
      <c r="AN42" s="405">
        <v>0</v>
      </c>
      <c r="AO42" s="405">
        <v>0</v>
      </c>
      <c r="AP42" s="405">
        <v>0</v>
      </c>
      <c r="AQ42" s="405">
        <v>0</v>
      </c>
      <c r="AR42" s="405">
        <v>256328</v>
      </c>
      <c r="AS42" s="405">
        <v>0</v>
      </c>
      <c r="AT42" s="405">
        <v>0</v>
      </c>
      <c r="AU42" s="405">
        <v>0</v>
      </c>
      <c r="AV42" s="405">
        <v>0</v>
      </c>
      <c r="AW42" s="405">
        <v>0</v>
      </c>
      <c r="AX42" s="405">
        <v>21048101</v>
      </c>
      <c r="AY42" s="405">
        <v>0</v>
      </c>
      <c r="AZ42" s="405">
        <v>0</v>
      </c>
      <c r="BA42" s="405">
        <v>0</v>
      </c>
      <c r="BB42" s="405">
        <v>0</v>
      </c>
      <c r="BC42" s="405">
        <v>0</v>
      </c>
      <c r="BD42" s="405">
        <v>0</v>
      </c>
      <c r="BE42" s="405">
        <v>0</v>
      </c>
      <c r="BF42" s="405">
        <v>0</v>
      </c>
      <c r="BG42" s="405">
        <v>0</v>
      </c>
      <c r="BH42" s="405">
        <v>0</v>
      </c>
      <c r="BI42" s="405">
        <v>0</v>
      </c>
      <c r="BJ42" s="405">
        <v>0</v>
      </c>
      <c r="BK42" s="405">
        <v>0</v>
      </c>
      <c r="BL42" s="405">
        <v>0</v>
      </c>
      <c r="BM42" s="405">
        <v>0</v>
      </c>
      <c r="BN42" s="405">
        <v>0</v>
      </c>
      <c r="BO42" s="405">
        <v>0</v>
      </c>
      <c r="BP42" s="405">
        <v>0</v>
      </c>
      <c r="BQ42" s="405">
        <v>0</v>
      </c>
      <c r="BR42" s="405">
        <v>10560079</v>
      </c>
      <c r="BS42" s="405">
        <v>0</v>
      </c>
      <c r="BT42" s="405">
        <v>1606077</v>
      </c>
      <c r="BU42" s="405">
        <v>0</v>
      </c>
      <c r="BV42" s="405">
        <v>0</v>
      </c>
      <c r="BW42" s="405">
        <v>14669</v>
      </c>
      <c r="BX42" s="405">
        <v>0</v>
      </c>
      <c r="BY42" s="405">
        <v>0</v>
      </c>
      <c r="BZ42" s="405">
        <v>0</v>
      </c>
      <c r="CA42" s="405">
        <v>0</v>
      </c>
      <c r="CB42" s="405">
        <v>0</v>
      </c>
      <c r="CC42" s="405">
        <v>0</v>
      </c>
      <c r="CD42" s="405">
        <v>0</v>
      </c>
      <c r="CE42" s="405">
        <v>0</v>
      </c>
      <c r="CF42" s="405">
        <v>1820900</v>
      </c>
    </row>
    <row r="43" spans="1:84" s="407" customFormat="1" x14ac:dyDescent="0.3">
      <c r="A43" s="405">
        <v>61</v>
      </c>
      <c r="B43" s="406">
        <v>61</v>
      </c>
      <c r="C43" s="407">
        <v>61</v>
      </c>
      <c r="D43" s="407" t="s">
        <v>268</v>
      </c>
      <c r="E43" s="407" t="s">
        <v>347</v>
      </c>
      <c r="F43" s="407">
        <v>96.75</v>
      </c>
      <c r="G43" s="407">
        <v>93.26</v>
      </c>
      <c r="H43" s="407">
        <v>98.77</v>
      </c>
      <c r="I43" s="407">
        <v>91.93</v>
      </c>
      <c r="J43" s="407">
        <v>96.51</v>
      </c>
      <c r="K43" s="407">
        <v>96.91</v>
      </c>
      <c r="L43" s="407">
        <v>99.8</v>
      </c>
      <c r="M43" s="407">
        <v>97.28</v>
      </c>
      <c r="N43" s="407">
        <v>95.94</v>
      </c>
      <c r="O43" s="407">
        <v>99.06</v>
      </c>
      <c r="P43" s="407">
        <v>99.95</v>
      </c>
      <c r="Q43" s="407">
        <v>99.18</v>
      </c>
      <c r="R43" s="407">
        <v>97.7</v>
      </c>
      <c r="S43" s="407">
        <v>99.07</v>
      </c>
      <c r="T43" s="407">
        <v>99.37</v>
      </c>
      <c r="U43" s="407">
        <v>97.48</v>
      </c>
      <c r="V43" s="407">
        <v>0</v>
      </c>
      <c r="W43" s="407">
        <v>98.73</v>
      </c>
      <c r="X43" s="407">
        <v>96.61</v>
      </c>
      <c r="Y43" s="407">
        <v>96.72</v>
      </c>
      <c r="Z43" s="407">
        <v>0</v>
      </c>
      <c r="AA43" s="407">
        <v>95.04</v>
      </c>
      <c r="AB43" s="407">
        <v>99.62</v>
      </c>
      <c r="AC43" s="407">
        <v>0</v>
      </c>
      <c r="AD43" s="407">
        <v>91.37</v>
      </c>
      <c r="AE43" s="407">
        <v>99.5</v>
      </c>
      <c r="AF43" s="407">
        <v>91.67</v>
      </c>
      <c r="AG43" s="407">
        <v>88.86</v>
      </c>
      <c r="AH43" s="407">
        <v>98.71</v>
      </c>
      <c r="AI43" s="407">
        <v>98.39</v>
      </c>
      <c r="AJ43" s="407">
        <v>94.35</v>
      </c>
      <c r="AK43" s="407">
        <v>99.3</v>
      </c>
      <c r="AL43" s="407">
        <v>98.43</v>
      </c>
      <c r="AM43" s="407">
        <v>99.1</v>
      </c>
      <c r="AN43" s="407">
        <v>0</v>
      </c>
      <c r="AO43" s="407">
        <v>99.36</v>
      </c>
      <c r="AP43" s="407">
        <v>97.83</v>
      </c>
      <c r="AQ43" s="407">
        <v>0</v>
      </c>
      <c r="AR43" s="407">
        <v>97.89</v>
      </c>
      <c r="AS43" s="407">
        <v>98.49</v>
      </c>
      <c r="AT43" s="407">
        <v>96.4</v>
      </c>
      <c r="AU43" s="407">
        <v>0</v>
      </c>
      <c r="AV43" s="407">
        <v>86.3</v>
      </c>
      <c r="AW43" s="407">
        <v>99.36</v>
      </c>
      <c r="AX43" s="407">
        <v>99.73</v>
      </c>
      <c r="AY43" s="407">
        <v>96.49</v>
      </c>
      <c r="AZ43" s="407">
        <v>98.27</v>
      </c>
      <c r="BA43" s="407">
        <v>98.2</v>
      </c>
      <c r="BB43" s="407">
        <v>99.26</v>
      </c>
      <c r="BC43" s="407">
        <v>0</v>
      </c>
      <c r="BD43" s="407">
        <v>94.9</v>
      </c>
      <c r="BE43" s="407">
        <v>98.5</v>
      </c>
      <c r="BF43" s="407">
        <v>96.02</v>
      </c>
      <c r="BG43" s="407">
        <v>98.03</v>
      </c>
      <c r="BH43" s="407">
        <v>99.43</v>
      </c>
      <c r="BI43" s="407">
        <v>80.28</v>
      </c>
      <c r="BJ43" s="407">
        <v>99.52</v>
      </c>
      <c r="BK43" s="407">
        <v>98.29</v>
      </c>
      <c r="BL43" s="407">
        <v>98.1</v>
      </c>
      <c r="BM43" s="407">
        <v>0</v>
      </c>
      <c r="BN43" s="407">
        <v>95.78</v>
      </c>
      <c r="BO43" s="407">
        <v>98.58</v>
      </c>
      <c r="BP43" s="407">
        <v>0</v>
      </c>
      <c r="BQ43" s="407">
        <v>98.71</v>
      </c>
      <c r="BR43" s="407">
        <v>99.06</v>
      </c>
      <c r="BS43" s="407">
        <v>95.44</v>
      </c>
      <c r="BT43" s="407">
        <v>99.32</v>
      </c>
      <c r="BU43" s="407">
        <v>99.2</v>
      </c>
      <c r="BV43" s="407">
        <v>99.18</v>
      </c>
      <c r="BW43" s="407">
        <v>93.9</v>
      </c>
      <c r="BX43" s="407">
        <v>73.62</v>
      </c>
      <c r="BY43" s="407">
        <v>98.76</v>
      </c>
      <c r="BZ43" s="407">
        <v>99.26</v>
      </c>
      <c r="CA43" s="407">
        <v>99.69</v>
      </c>
      <c r="CB43" s="407">
        <v>0</v>
      </c>
      <c r="CC43" s="407">
        <v>98.99</v>
      </c>
      <c r="CD43" s="407">
        <v>95.11</v>
      </c>
      <c r="CE43" s="407">
        <v>96.24</v>
      </c>
      <c r="CF43" s="407">
        <v>99.26</v>
      </c>
    </row>
    <row r="44" spans="1:84" s="405" customFormat="1" x14ac:dyDescent="0.3">
      <c r="A44" s="405">
        <v>80</v>
      </c>
      <c r="B44" s="406">
        <v>80</v>
      </c>
      <c r="C44" s="405">
        <v>80</v>
      </c>
      <c r="D44" s="405" t="s">
        <v>218</v>
      </c>
      <c r="E44" s="405" t="s">
        <v>348</v>
      </c>
      <c r="F44" s="405">
        <v>184368</v>
      </c>
      <c r="G44" s="405">
        <v>269251</v>
      </c>
      <c r="H44" s="405">
        <v>0</v>
      </c>
      <c r="I44" s="405">
        <v>866308</v>
      </c>
      <c r="J44" s="405">
        <v>496536</v>
      </c>
      <c r="K44" s="405">
        <v>128111</v>
      </c>
      <c r="L44" s="405">
        <v>0</v>
      </c>
      <c r="M44" s="405">
        <v>175082</v>
      </c>
      <c r="N44" s="405">
        <v>3234427</v>
      </c>
      <c r="O44" s="405">
        <v>0</v>
      </c>
      <c r="P44" s="405">
        <v>0</v>
      </c>
      <c r="Q44" s="405">
        <v>0</v>
      </c>
      <c r="R44" s="405">
        <v>1453</v>
      </c>
      <c r="S44" s="405">
        <v>6185975</v>
      </c>
      <c r="T44" s="405">
        <v>0</v>
      </c>
      <c r="U44" s="405">
        <v>250050</v>
      </c>
      <c r="V44" s="405">
        <v>0</v>
      </c>
      <c r="W44" s="405">
        <v>925194</v>
      </c>
      <c r="X44" s="405">
        <v>5887679</v>
      </c>
      <c r="Y44" s="405">
        <v>0</v>
      </c>
      <c r="Z44" s="405">
        <v>0</v>
      </c>
      <c r="AA44" s="405">
        <v>144349</v>
      </c>
      <c r="AB44" s="405">
        <v>26654766</v>
      </c>
      <c r="AC44" s="405">
        <v>1037</v>
      </c>
      <c r="AD44" s="405">
        <v>492357</v>
      </c>
      <c r="AE44" s="405">
        <v>0</v>
      </c>
      <c r="AF44" s="405">
        <v>0</v>
      </c>
      <c r="AG44" s="405">
        <v>0</v>
      </c>
      <c r="AH44" s="405">
        <v>22137848</v>
      </c>
      <c r="AI44" s="405">
        <v>41</v>
      </c>
      <c r="AJ44" s="405">
        <v>169174</v>
      </c>
      <c r="AK44" s="405">
        <v>1814902</v>
      </c>
      <c r="AL44" s="405">
        <v>89511</v>
      </c>
      <c r="AM44" s="405">
        <v>77247</v>
      </c>
      <c r="AN44" s="405">
        <v>0</v>
      </c>
      <c r="AO44" s="405">
        <v>288539</v>
      </c>
      <c r="AP44" s="405">
        <v>11246434</v>
      </c>
      <c r="AQ44" s="405">
        <v>0</v>
      </c>
      <c r="AR44" s="405">
        <v>2352892</v>
      </c>
      <c r="AS44" s="405">
        <v>0</v>
      </c>
      <c r="AT44" s="405">
        <v>0</v>
      </c>
      <c r="AU44" s="405">
        <v>0</v>
      </c>
      <c r="AV44" s="405">
        <v>116203</v>
      </c>
      <c r="AW44" s="405">
        <v>41396961</v>
      </c>
      <c r="AX44" s="405">
        <v>18476252</v>
      </c>
      <c r="AY44" s="405">
        <v>439619</v>
      </c>
      <c r="AZ44" s="405">
        <v>116316</v>
      </c>
      <c r="BA44" s="405">
        <v>143286</v>
      </c>
      <c r="BB44" s="405">
        <v>0</v>
      </c>
      <c r="BC44" s="405">
        <v>0</v>
      </c>
      <c r="BD44" s="405">
        <v>3842165</v>
      </c>
      <c r="BE44" s="405">
        <v>502244</v>
      </c>
      <c r="BF44" s="405">
        <v>0</v>
      </c>
      <c r="BG44" s="405">
        <v>163397</v>
      </c>
      <c r="BH44" s="405">
        <v>8760286</v>
      </c>
      <c r="BI44" s="405">
        <v>0</v>
      </c>
      <c r="BJ44" s="405">
        <v>9418016</v>
      </c>
      <c r="BK44" s="405">
        <v>642919</v>
      </c>
      <c r="BL44" s="405">
        <v>0</v>
      </c>
      <c r="BM44" s="405">
        <v>0</v>
      </c>
      <c r="BN44" s="405">
        <v>30338762</v>
      </c>
      <c r="BO44" s="405">
        <v>9547721</v>
      </c>
      <c r="BP44" s="405">
        <v>0</v>
      </c>
      <c r="BQ44" s="405">
        <v>41103309</v>
      </c>
      <c r="BR44" s="405">
        <v>57319578</v>
      </c>
      <c r="BS44" s="405">
        <v>189732</v>
      </c>
      <c r="BT44" s="405">
        <v>1975848</v>
      </c>
      <c r="BU44" s="405">
        <v>0</v>
      </c>
      <c r="BV44" s="405">
        <v>11369532</v>
      </c>
      <c r="BW44" s="405">
        <v>266194</v>
      </c>
      <c r="BX44" s="405">
        <v>13596</v>
      </c>
      <c r="BY44" s="405">
        <v>2536252</v>
      </c>
      <c r="BZ44" s="405">
        <v>0</v>
      </c>
      <c r="CA44" s="405">
        <v>36017763</v>
      </c>
      <c r="CB44" s="405">
        <v>0</v>
      </c>
      <c r="CC44" s="405">
        <v>0</v>
      </c>
      <c r="CD44" s="405">
        <v>112348</v>
      </c>
      <c r="CE44" s="405">
        <v>0</v>
      </c>
      <c r="CF44" s="405">
        <v>0</v>
      </c>
    </row>
    <row r="45" spans="1:84" s="405" customFormat="1" x14ac:dyDescent="0.3">
      <c r="A45" s="405">
        <v>81</v>
      </c>
      <c r="B45" s="406">
        <v>81</v>
      </c>
      <c r="C45" s="405">
        <v>81</v>
      </c>
      <c r="D45" s="405" t="s">
        <v>219</v>
      </c>
      <c r="E45" s="405" t="s">
        <v>349</v>
      </c>
      <c r="F45" s="405">
        <v>13986</v>
      </c>
      <c r="G45" s="405">
        <v>136513</v>
      </c>
      <c r="H45" s="405">
        <v>0</v>
      </c>
      <c r="I45" s="405">
        <v>78702</v>
      </c>
      <c r="J45" s="405">
        <v>34610</v>
      </c>
      <c r="K45" s="405">
        <v>12529</v>
      </c>
      <c r="L45" s="405">
        <v>0</v>
      </c>
      <c r="M45" s="405">
        <v>22375</v>
      </c>
      <c r="N45" s="405">
        <v>930523</v>
      </c>
      <c r="O45" s="405">
        <v>0</v>
      </c>
      <c r="P45" s="405">
        <v>0</v>
      </c>
      <c r="Q45" s="405">
        <v>0</v>
      </c>
      <c r="R45" s="405">
        <v>26753</v>
      </c>
      <c r="S45" s="405">
        <v>799820</v>
      </c>
      <c r="T45" s="405">
        <v>0</v>
      </c>
      <c r="U45" s="405">
        <v>22904</v>
      </c>
      <c r="V45" s="405">
        <v>0</v>
      </c>
      <c r="W45" s="405">
        <v>33211</v>
      </c>
      <c r="X45" s="405">
        <v>545821</v>
      </c>
      <c r="Y45" s="405">
        <v>0</v>
      </c>
      <c r="Z45" s="405">
        <v>0</v>
      </c>
      <c r="AA45" s="405">
        <v>108990</v>
      </c>
      <c r="AB45" s="405">
        <v>1458637</v>
      </c>
      <c r="AC45" s="405">
        <v>12066</v>
      </c>
      <c r="AD45" s="405">
        <v>32750</v>
      </c>
      <c r="AE45" s="405">
        <v>0</v>
      </c>
      <c r="AF45" s="405">
        <v>0</v>
      </c>
      <c r="AG45" s="405">
        <v>0</v>
      </c>
      <c r="AH45" s="405">
        <v>5143814</v>
      </c>
      <c r="AI45" s="405">
        <v>0</v>
      </c>
      <c r="AJ45" s="405">
        <v>25959</v>
      </c>
      <c r="AK45" s="405">
        <v>255972</v>
      </c>
      <c r="AL45" s="405">
        <v>5780</v>
      </c>
      <c r="AM45" s="405">
        <v>2231</v>
      </c>
      <c r="AN45" s="405">
        <v>0</v>
      </c>
      <c r="AO45" s="405">
        <v>0</v>
      </c>
      <c r="AP45" s="405">
        <v>1002379</v>
      </c>
      <c r="AQ45" s="405">
        <v>0</v>
      </c>
      <c r="AR45" s="405">
        <v>306854</v>
      </c>
      <c r="AS45" s="405">
        <v>0</v>
      </c>
      <c r="AT45" s="405">
        <v>0</v>
      </c>
      <c r="AU45" s="405">
        <v>0</v>
      </c>
      <c r="AV45" s="405">
        <v>30956</v>
      </c>
      <c r="AW45" s="405">
        <v>16645983</v>
      </c>
      <c r="AX45" s="405">
        <v>5044467</v>
      </c>
      <c r="AY45" s="405">
        <v>98433</v>
      </c>
      <c r="AZ45" s="405">
        <v>26937</v>
      </c>
      <c r="BA45" s="405">
        <v>35295</v>
      </c>
      <c r="BB45" s="405">
        <v>25944</v>
      </c>
      <c r="BC45" s="405">
        <v>0</v>
      </c>
      <c r="BD45" s="405">
        <v>365652</v>
      </c>
      <c r="BE45" s="405">
        <v>18217</v>
      </c>
      <c r="BF45" s="405">
        <v>0</v>
      </c>
      <c r="BG45" s="405">
        <v>10665</v>
      </c>
      <c r="BH45" s="405">
        <v>1261661</v>
      </c>
      <c r="BI45" s="405">
        <v>0</v>
      </c>
      <c r="BJ45" s="405">
        <v>1533474</v>
      </c>
      <c r="BK45" s="405">
        <v>285775</v>
      </c>
      <c r="BL45" s="405">
        <v>0</v>
      </c>
      <c r="BM45" s="405">
        <v>0</v>
      </c>
      <c r="BN45" s="405">
        <v>1530165</v>
      </c>
      <c r="BO45" s="405">
        <v>2376163</v>
      </c>
      <c r="BP45" s="405">
        <v>0</v>
      </c>
      <c r="BQ45" s="405">
        <v>3244905</v>
      </c>
      <c r="BR45" s="405">
        <v>6190534</v>
      </c>
      <c r="BS45" s="405">
        <v>22197</v>
      </c>
      <c r="BT45" s="405">
        <v>358196</v>
      </c>
      <c r="BU45" s="405">
        <v>0</v>
      </c>
      <c r="BV45" s="405">
        <v>1649368</v>
      </c>
      <c r="BW45" s="405">
        <v>22219</v>
      </c>
      <c r="BX45" s="405">
        <v>134248</v>
      </c>
      <c r="BY45" s="405">
        <v>216960</v>
      </c>
      <c r="BZ45" s="405">
        <v>0</v>
      </c>
      <c r="CA45" s="405">
        <v>2413999</v>
      </c>
      <c r="CB45" s="405">
        <v>0</v>
      </c>
      <c r="CC45" s="405">
        <v>0</v>
      </c>
      <c r="CD45" s="405">
        <v>34146</v>
      </c>
      <c r="CE45" s="405">
        <v>0</v>
      </c>
      <c r="CF45" s="405">
        <v>0</v>
      </c>
    </row>
    <row r="46" spans="1:84" s="405" customFormat="1" x14ac:dyDescent="0.3">
      <c r="A46" s="405">
        <v>82</v>
      </c>
      <c r="B46" s="406">
        <v>82</v>
      </c>
      <c r="C46" s="405">
        <v>82</v>
      </c>
      <c r="D46" s="405" t="s">
        <v>554</v>
      </c>
      <c r="E46" s="405" t="s">
        <v>350</v>
      </c>
      <c r="F46" s="405">
        <v>0</v>
      </c>
      <c r="G46" s="405">
        <v>2542000</v>
      </c>
      <c r="H46" s="405">
        <v>0</v>
      </c>
      <c r="I46" s="405">
        <v>326115</v>
      </c>
      <c r="J46" s="405">
        <v>1294000</v>
      </c>
      <c r="K46" s="405">
        <v>0</v>
      </c>
      <c r="L46" s="405">
        <v>0</v>
      </c>
      <c r="M46" s="405">
        <v>1827000</v>
      </c>
      <c r="N46" s="405">
        <v>10932080</v>
      </c>
      <c r="O46" s="405">
        <v>0</v>
      </c>
      <c r="P46" s="405">
        <v>0</v>
      </c>
      <c r="Q46" s="405">
        <v>0</v>
      </c>
      <c r="R46" s="405">
        <v>0</v>
      </c>
      <c r="S46" s="405">
        <v>347461</v>
      </c>
      <c r="T46" s="405">
        <v>0</v>
      </c>
      <c r="U46" s="405">
        <v>267187</v>
      </c>
      <c r="V46" s="405">
        <v>0</v>
      </c>
      <c r="W46" s="405">
        <v>99627</v>
      </c>
      <c r="X46" s="405">
        <v>8186317</v>
      </c>
      <c r="Y46" s="405">
        <v>0</v>
      </c>
      <c r="Z46" s="405">
        <v>0</v>
      </c>
      <c r="AA46" s="405">
        <v>819972</v>
      </c>
      <c r="AB46" s="405">
        <v>40672227</v>
      </c>
      <c r="AC46" s="405">
        <v>0</v>
      </c>
      <c r="AD46" s="405">
        <v>190784</v>
      </c>
      <c r="AE46" s="405">
        <v>0</v>
      </c>
      <c r="AF46" s="405">
        <v>0</v>
      </c>
      <c r="AG46" s="405">
        <v>0</v>
      </c>
      <c r="AH46" s="405">
        <v>59760643</v>
      </c>
      <c r="AI46" s="405">
        <v>0</v>
      </c>
      <c r="AJ46" s="405">
        <v>0</v>
      </c>
      <c r="AK46" s="405">
        <v>106939</v>
      </c>
      <c r="AL46" s="405">
        <v>0</v>
      </c>
      <c r="AM46" s="405">
        <v>0</v>
      </c>
      <c r="AN46" s="405">
        <v>0</v>
      </c>
      <c r="AO46" s="405">
        <v>2705996</v>
      </c>
      <c r="AP46" s="405">
        <v>3950669</v>
      </c>
      <c r="AQ46" s="405">
        <v>0</v>
      </c>
      <c r="AR46" s="405">
        <v>2566048</v>
      </c>
      <c r="AS46" s="405">
        <v>0</v>
      </c>
      <c r="AT46" s="405">
        <v>0</v>
      </c>
      <c r="AU46" s="405">
        <v>0</v>
      </c>
      <c r="AV46" s="405">
        <v>0</v>
      </c>
      <c r="AW46" s="405">
        <v>311362866</v>
      </c>
      <c r="AX46" s="405">
        <v>79132617</v>
      </c>
      <c r="AY46" s="405">
        <v>597501</v>
      </c>
      <c r="AZ46" s="405">
        <v>412345</v>
      </c>
      <c r="BA46" s="405">
        <v>18599</v>
      </c>
      <c r="BB46" s="405">
        <v>0</v>
      </c>
      <c r="BC46" s="405">
        <v>0</v>
      </c>
      <c r="BD46" s="405">
        <v>0</v>
      </c>
      <c r="BE46" s="405">
        <v>211004</v>
      </c>
      <c r="BF46" s="405">
        <v>0</v>
      </c>
      <c r="BG46" s="405">
        <v>0</v>
      </c>
      <c r="BH46" s="405">
        <v>14875728</v>
      </c>
      <c r="BI46" s="405">
        <v>0</v>
      </c>
      <c r="BJ46" s="405">
        <v>14061479</v>
      </c>
      <c r="BK46" s="405">
        <v>1076476</v>
      </c>
      <c r="BL46" s="405">
        <v>0</v>
      </c>
      <c r="BM46" s="405">
        <v>0</v>
      </c>
      <c r="BN46" s="405">
        <v>20071464</v>
      </c>
      <c r="BO46" s="405">
        <v>22914841</v>
      </c>
      <c r="BP46" s="405">
        <v>0</v>
      </c>
      <c r="BQ46" s="405">
        <v>23945992</v>
      </c>
      <c r="BR46" s="405">
        <v>166367358</v>
      </c>
      <c r="BS46" s="405">
        <v>0</v>
      </c>
      <c r="BT46" s="405">
        <v>1073297</v>
      </c>
      <c r="BU46" s="405">
        <v>0</v>
      </c>
      <c r="BV46" s="405">
        <v>29099641</v>
      </c>
      <c r="BW46" s="405">
        <v>0</v>
      </c>
      <c r="BX46" s="405">
        <v>0</v>
      </c>
      <c r="BY46" s="405">
        <v>434618</v>
      </c>
      <c r="BZ46" s="405">
        <v>0</v>
      </c>
      <c r="CA46" s="405">
        <v>33563799</v>
      </c>
      <c r="CB46" s="405">
        <v>0</v>
      </c>
      <c r="CC46" s="405">
        <v>0</v>
      </c>
      <c r="CD46" s="405">
        <v>96787</v>
      </c>
      <c r="CE46" s="405">
        <v>0</v>
      </c>
      <c r="CF46" s="405">
        <v>0</v>
      </c>
    </row>
    <row r="47" spans="1:84" s="405" customFormat="1" x14ac:dyDescent="0.3">
      <c r="A47" s="405">
        <v>83</v>
      </c>
      <c r="B47" s="406">
        <v>83</v>
      </c>
      <c r="C47" s="405">
        <v>83</v>
      </c>
      <c r="D47" s="405" t="s">
        <v>102</v>
      </c>
      <c r="E47" s="405" t="s">
        <v>351</v>
      </c>
      <c r="F47" s="405">
        <v>8054027</v>
      </c>
      <c r="G47" s="405">
        <v>6694041</v>
      </c>
      <c r="H47" s="405">
        <v>0</v>
      </c>
      <c r="I47" s="405">
        <v>8030987</v>
      </c>
      <c r="J47" s="405">
        <v>4093882</v>
      </c>
      <c r="K47" s="405">
        <v>457736</v>
      </c>
      <c r="L47" s="405">
        <v>0</v>
      </c>
      <c r="M47" s="405">
        <v>2992140</v>
      </c>
      <c r="N47" s="405">
        <v>32360998</v>
      </c>
      <c r="O47" s="405">
        <v>0</v>
      </c>
      <c r="P47" s="405">
        <v>0</v>
      </c>
      <c r="Q47" s="405">
        <v>0</v>
      </c>
      <c r="R47" s="405">
        <v>3302853</v>
      </c>
      <c r="S47" s="405">
        <v>40612120</v>
      </c>
      <c r="T47" s="405">
        <v>0</v>
      </c>
      <c r="U47" s="405">
        <v>3389061</v>
      </c>
      <c r="V47" s="405">
        <v>0</v>
      </c>
      <c r="W47" s="405">
        <v>1723654</v>
      </c>
      <c r="X47" s="405">
        <v>22308464</v>
      </c>
      <c r="Y47" s="405">
        <v>0</v>
      </c>
      <c r="Z47" s="405">
        <v>0</v>
      </c>
      <c r="AA47" s="405">
        <v>9334537</v>
      </c>
      <c r="AB47" s="405">
        <v>97428155</v>
      </c>
      <c r="AC47" s="405">
        <v>1631640</v>
      </c>
      <c r="AD47" s="405">
        <v>2987763</v>
      </c>
      <c r="AE47" s="405">
        <v>0</v>
      </c>
      <c r="AF47" s="405">
        <v>0</v>
      </c>
      <c r="AG47" s="405">
        <v>0</v>
      </c>
      <c r="AH47" s="405">
        <v>208747484</v>
      </c>
      <c r="AI47" s="405">
        <v>427</v>
      </c>
      <c r="AJ47" s="405">
        <v>1028628</v>
      </c>
      <c r="AK47" s="405">
        <v>3245079</v>
      </c>
      <c r="AL47" s="405">
        <v>1547877</v>
      </c>
      <c r="AM47" s="405">
        <v>172185</v>
      </c>
      <c r="AN47" s="405">
        <v>0</v>
      </c>
      <c r="AO47" s="405">
        <v>4566483</v>
      </c>
      <c r="AP47" s="405">
        <v>49108392</v>
      </c>
      <c r="AQ47" s="405">
        <v>0</v>
      </c>
      <c r="AR47" s="405">
        <v>13545364</v>
      </c>
      <c r="AS47" s="405">
        <v>0</v>
      </c>
      <c r="AT47" s="405">
        <v>0</v>
      </c>
      <c r="AU47" s="405">
        <v>0</v>
      </c>
      <c r="AV47" s="405">
        <v>3664564</v>
      </c>
      <c r="AW47" s="405">
        <v>608973607</v>
      </c>
      <c r="AX47" s="405">
        <v>202186621</v>
      </c>
      <c r="AY47" s="405">
        <v>3350628</v>
      </c>
      <c r="AZ47" s="405">
        <v>2365229</v>
      </c>
      <c r="BA47" s="405">
        <v>1754858</v>
      </c>
      <c r="BB47" s="405">
        <v>3234953</v>
      </c>
      <c r="BC47" s="405">
        <v>0</v>
      </c>
      <c r="BD47" s="405">
        <v>6163553</v>
      </c>
      <c r="BE47" s="405">
        <v>3400606</v>
      </c>
      <c r="BF47" s="405">
        <v>0</v>
      </c>
      <c r="BG47" s="405">
        <v>440180</v>
      </c>
      <c r="BH47" s="405">
        <v>31044788</v>
      </c>
      <c r="BI47" s="405">
        <v>0</v>
      </c>
      <c r="BJ47" s="405">
        <v>19936396</v>
      </c>
      <c r="BK47" s="405">
        <v>3971728</v>
      </c>
      <c r="BL47" s="405">
        <v>0</v>
      </c>
      <c r="BM47" s="405">
        <v>0</v>
      </c>
      <c r="BN47" s="405">
        <v>98895486</v>
      </c>
      <c r="BO47" s="405">
        <v>77457418</v>
      </c>
      <c r="BP47" s="405">
        <v>0</v>
      </c>
      <c r="BQ47" s="405">
        <v>136862277</v>
      </c>
      <c r="BR47" s="405">
        <v>212922163</v>
      </c>
      <c r="BS47" s="405">
        <v>5660109</v>
      </c>
      <c r="BT47" s="405">
        <v>28040882</v>
      </c>
      <c r="BU47" s="405">
        <v>0</v>
      </c>
      <c r="BV47" s="405">
        <v>52538675</v>
      </c>
      <c r="BW47" s="405">
        <v>2670354</v>
      </c>
      <c r="BX47" s="405">
        <v>2724235</v>
      </c>
      <c r="BY47" s="405">
        <v>20722281</v>
      </c>
      <c r="BZ47" s="405">
        <v>0</v>
      </c>
      <c r="CA47" s="405">
        <v>120564297</v>
      </c>
      <c r="CB47" s="405">
        <v>0</v>
      </c>
      <c r="CC47" s="405">
        <v>0</v>
      </c>
      <c r="CD47" s="405">
        <v>946324</v>
      </c>
      <c r="CE47" s="405">
        <v>0</v>
      </c>
      <c r="CF47" s="405">
        <v>0</v>
      </c>
    </row>
    <row r="48" spans="1:84" s="405" customFormat="1" x14ac:dyDescent="0.3">
      <c r="A48" s="405">
        <v>84</v>
      </c>
      <c r="B48" s="406">
        <v>84</v>
      </c>
      <c r="C48" s="405">
        <v>84</v>
      </c>
      <c r="D48" s="405" t="s">
        <v>227</v>
      </c>
      <c r="E48" s="405" t="s">
        <v>352</v>
      </c>
      <c r="F48" s="405">
        <v>371634</v>
      </c>
      <c r="G48" s="405">
        <v>1214735</v>
      </c>
      <c r="H48" s="405">
        <v>0</v>
      </c>
      <c r="I48" s="405">
        <v>578051</v>
      </c>
      <c r="J48" s="405">
        <v>404412</v>
      </c>
      <c r="K48" s="405">
        <v>159791</v>
      </c>
      <c r="L48" s="405">
        <v>0</v>
      </c>
      <c r="M48" s="405">
        <v>186961</v>
      </c>
      <c r="N48" s="405">
        <v>4224169</v>
      </c>
      <c r="O48" s="405">
        <v>0</v>
      </c>
      <c r="P48" s="405">
        <v>0</v>
      </c>
      <c r="Q48" s="405">
        <v>0</v>
      </c>
      <c r="R48" s="405">
        <v>48812</v>
      </c>
      <c r="S48" s="405">
        <v>5691783</v>
      </c>
      <c r="T48" s="405">
        <v>0</v>
      </c>
      <c r="U48" s="405">
        <v>309552</v>
      </c>
      <c r="V48" s="405">
        <v>0</v>
      </c>
      <c r="W48" s="405">
        <v>294088</v>
      </c>
      <c r="X48" s="405">
        <v>4193014</v>
      </c>
      <c r="Y48" s="405">
        <v>0</v>
      </c>
      <c r="Z48" s="405">
        <v>0</v>
      </c>
      <c r="AA48" s="405">
        <v>1089507</v>
      </c>
      <c r="AB48" s="405">
        <v>12925390</v>
      </c>
      <c r="AC48" s="405">
        <v>56949</v>
      </c>
      <c r="AD48" s="405">
        <v>307738</v>
      </c>
      <c r="AE48" s="405">
        <v>0</v>
      </c>
      <c r="AF48" s="405">
        <v>0</v>
      </c>
      <c r="AG48" s="405">
        <v>0</v>
      </c>
      <c r="AH48" s="405">
        <v>40457812</v>
      </c>
      <c r="AI48" s="405">
        <v>0</v>
      </c>
      <c r="AJ48" s="405">
        <v>131982</v>
      </c>
      <c r="AK48" s="405">
        <v>3753789</v>
      </c>
      <c r="AL48" s="405">
        <v>11711</v>
      </c>
      <c r="AM48" s="405">
        <v>92369</v>
      </c>
      <c r="AN48" s="405">
        <v>0</v>
      </c>
      <c r="AO48" s="405">
        <v>103768</v>
      </c>
      <c r="AP48" s="405">
        <v>7040864</v>
      </c>
      <c r="AQ48" s="405">
        <v>0</v>
      </c>
      <c r="AR48" s="405">
        <v>2341536</v>
      </c>
      <c r="AS48" s="405">
        <v>0</v>
      </c>
      <c r="AT48" s="405">
        <v>0</v>
      </c>
      <c r="AU48" s="405">
        <v>0</v>
      </c>
      <c r="AV48" s="405">
        <v>258732</v>
      </c>
      <c r="AW48" s="405">
        <v>122357533</v>
      </c>
      <c r="AX48" s="405">
        <v>47117742</v>
      </c>
      <c r="AY48" s="405">
        <v>998952</v>
      </c>
      <c r="AZ48" s="405">
        <v>294253</v>
      </c>
      <c r="BA48" s="405">
        <v>434140</v>
      </c>
      <c r="BB48" s="405">
        <v>145388</v>
      </c>
      <c r="BC48" s="405">
        <v>0</v>
      </c>
      <c r="BD48" s="405">
        <v>3101405</v>
      </c>
      <c r="BE48" s="405">
        <v>150707</v>
      </c>
      <c r="BF48" s="405">
        <v>0</v>
      </c>
      <c r="BG48" s="405">
        <v>141102</v>
      </c>
      <c r="BH48" s="405">
        <v>9813711</v>
      </c>
      <c r="BI48" s="405">
        <v>0</v>
      </c>
      <c r="BJ48" s="405">
        <v>6749663</v>
      </c>
      <c r="BK48" s="405">
        <v>2002545</v>
      </c>
      <c r="BL48" s="405">
        <v>0</v>
      </c>
      <c r="BM48" s="405">
        <v>0</v>
      </c>
      <c r="BN48" s="405">
        <v>18149298</v>
      </c>
      <c r="BO48" s="405">
        <v>16196439</v>
      </c>
      <c r="BP48" s="405">
        <v>0</v>
      </c>
      <c r="BQ48" s="405">
        <v>28950023</v>
      </c>
      <c r="BR48" s="405">
        <v>55132660</v>
      </c>
      <c r="BS48" s="405">
        <v>199605</v>
      </c>
      <c r="BT48" s="405">
        <v>2460358</v>
      </c>
      <c r="BU48" s="405">
        <v>0</v>
      </c>
      <c r="BV48" s="405">
        <v>10722494</v>
      </c>
      <c r="BW48" s="405">
        <v>162292</v>
      </c>
      <c r="BX48" s="405">
        <v>0</v>
      </c>
      <c r="BY48" s="405">
        <v>2132709</v>
      </c>
      <c r="BZ48" s="405">
        <v>0</v>
      </c>
      <c r="CA48" s="405">
        <v>23237843</v>
      </c>
      <c r="CB48" s="405">
        <v>0</v>
      </c>
      <c r="CC48" s="405">
        <v>0</v>
      </c>
      <c r="CD48" s="405">
        <v>290145</v>
      </c>
      <c r="CE48" s="405">
        <v>0</v>
      </c>
      <c r="CF48" s="405">
        <v>0</v>
      </c>
    </row>
    <row r="49" spans="1:84" s="405" customFormat="1" x14ac:dyDescent="0.3">
      <c r="A49" s="405">
        <v>85</v>
      </c>
      <c r="B49" s="406">
        <v>85</v>
      </c>
      <c r="C49" s="405">
        <v>85</v>
      </c>
      <c r="D49" s="405" t="s">
        <v>229</v>
      </c>
      <c r="E49" s="405" t="s">
        <v>353</v>
      </c>
      <c r="F49" s="405">
        <v>518214</v>
      </c>
      <c r="G49" s="405">
        <v>1359629</v>
      </c>
      <c r="H49" s="405">
        <v>0</v>
      </c>
      <c r="I49" s="405">
        <v>895415</v>
      </c>
      <c r="J49" s="405">
        <v>398798</v>
      </c>
      <c r="K49" s="405">
        <v>150406</v>
      </c>
      <c r="L49" s="405">
        <v>0</v>
      </c>
      <c r="M49" s="405">
        <v>248072</v>
      </c>
      <c r="N49" s="405">
        <v>4527517</v>
      </c>
      <c r="O49" s="405">
        <v>0</v>
      </c>
      <c r="P49" s="405">
        <v>0</v>
      </c>
      <c r="Q49" s="405">
        <v>0</v>
      </c>
      <c r="R49" s="405">
        <v>166354</v>
      </c>
      <c r="S49" s="405">
        <v>5512209</v>
      </c>
      <c r="T49" s="405">
        <v>0</v>
      </c>
      <c r="U49" s="405">
        <v>367807</v>
      </c>
      <c r="V49" s="405">
        <v>0</v>
      </c>
      <c r="W49" s="405">
        <v>181202</v>
      </c>
      <c r="X49" s="405">
        <v>3048932</v>
      </c>
      <c r="Y49" s="405">
        <v>0</v>
      </c>
      <c r="Z49" s="405">
        <v>0</v>
      </c>
      <c r="AA49" s="405">
        <v>1600193</v>
      </c>
      <c r="AB49" s="405">
        <v>12082786</v>
      </c>
      <c r="AC49" s="405">
        <v>132738</v>
      </c>
      <c r="AD49" s="405">
        <v>277314</v>
      </c>
      <c r="AE49" s="405">
        <v>0</v>
      </c>
      <c r="AF49" s="405">
        <v>0</v>
      </c>
      <c r="AG49" s="405">
        <v>0</v>
      </c>
      <c r="AH49" s="405">
        <v>36758693</v>
      </c>
      <c r="AI49" s="405">
        <v>277</v>
      </c>
      <c r="AJ49" s="405">
        <v>218774</v>
      </c>
      <c r="AK49" s="405">
        <v>3221459</v>
      </c>
      <c r="AL49" s="405">
        <v>85297</v>
      </c>
      <c r="AM49" s="405">
        <v>79464</v>
      </c>
      <c r="AN49" s="405">
        <v>0</v>
      </c>
      <c r="AO49" s="405">
        <v>271810</v>
      </c>
      <c r="AP49" s="405">
        <v>7071656</v>
      </c>
      <c r="AQ49" s="405">
        <v>0</v>
      </c>
      <c r="AR49" s="405">
        <v>2615934</v>
      </c>
      <c r="AS49" s="405">
        <v>0</v>
      </c>
      <c r="AT49" s="405">
        <v>0</v>
      </c>
      <c r="AU49" s="405">
        <v>0</v>
      </c>
      <c r="AV49" s="405">
        <v>372890</v>
      </c>
      <c r="AW49" s="405">
        <v>101049720</v>
      </c>
      <c r="AX49" s="405">
        <v>41112830</v>
      </c>
      <c r="AY49" s="405">
        <v>1160332</v>
      </c>
      <c r="AZ49" s="405">
        <v>448524</v>
      </c>
      <c r="BA49" s="405">
        <v>532749</v>
      </c>
      <c r="BB49" s="405">
        <v>276763</v>
      </c>
      <c r="BC49" s="405">
        <v>0</v>
      </c>
      <c r="BD49" s="405">
        <v>3224251</v>
      </c>
      <c r="BE49" s="405">
        <v>271350</v>
      </c>
      <c r="BF49" s="405">
        <v>0</v>
      </c>
      <c r="BG49" s="405">
        <v>135971</v>
      </c>
      <c r="BH49" s="405">
        <v>8139114</v>
      </c>
      <c r="BI49" s="405">
        <v>0</v>
      </c>
      <c r="BJ49" s="405">
        <v>6122322</v>
      </c>
      <c r="BK49" s="405">
        <v>2167272</v>
      </c>
      <c r="BL49" s="405">
        <v>0</v>
      </c>
      <c r="BM49" s="405">
        <v>0</v>
      </c>
      <c r="BN49" s="405">
        <v>14451501</v>
      </c>
      <c r="BO49" s="405">
        <v>16371403</v>
      </c>
      <c r="BP49" s="405">
        <v>0</v>
      </c>
      <c r="BQ49" s="405">
        <v>24626925</v>
      </c>
      <c r="BR49" s="405">
        <v>42982435</v>
      </c>
      <c r="BS49" s="405">
        <v>240319</v>
      </c>
      <c r="BT49" s="405">
        <v>2844316</v>
      </c>
      <c r="BU49" s="405">
        <v>0</v>
      </c>
      <c r="BV49" s="405">
        <v>7982599</v>
      </c>
      <c r="BW49" s="405">
        <v>309800</v>
      </c>
      <c r="BX49" s="405">
        <v>0</v>
      </c>
      <c r="BY49" s="405">
        <v>2071841</v>
      </c>
      <c r="BZ49" s="405">
        <v>0</v>
      </c>
      <c r="CA49" s="405">
        <v>18574104</v>
      </c>
      <c r="CB49" s="405">
        <v>0</v>
      </c>
      <c r="CC49" s="405">
        <v>0</v>
      </c>
      <c r="CD49" s="405">
        <v>275864</v>
      </c>
      <c r="CE49" s="405">
        <v>0</v>
      </c>
      <c r="CF49" s="405">
        <v>0</v>
      </c>
    </row>
    <row r="50" spans="1:84" s="405" customFormat="1" x14ac:dyDescent="0.3">
      <c r="A50" s="405">
        <v>88</v>
      </c>
      <c r="B50" s="406">
        <v>88</v>
      </c>
      <c r="C50" s="405">
        <v>88</v>
      </c>
      <c r="D50" s="405" t="s">
        <v>226</v>
      </c>
      <c r="E50" s="405" t="s">
        <v>354</v>
      </c>
      <c r="F50" s="405">
        <v>245912</v>
      </c>
      <c r="G50" s="405">
        <v>1214735</v>
      </c>
      <c r="H50" s="405">
        <v>0</v>
      </c>
      <c r="I50" s="405">
        <v>576536</v>
      </c>
      <c r="J50" s="405">
        <v>392910</v>
      </c>
      <c r="K50" s="405">
        <v>149895</v>
      </c>
      <c r="L50" s="405">
        <v>0</v>
      </c>
      <c r="M50" s="405">
        <v>138392</v>
      </c>
      <c r="N50" s="405">
        <v>4079739</v>
      </c>
      <c r="O50" s="405">
        <v>0</v>
      </c>
      <c r="P50" s="405">
        <v>0</v>
      </c>
      <c r="Q50" s="405">
        <v>0</v>
      </c>
      <c r="R50" s="405">
        <v>48812</v>
      </c>
      <c r="S50" s="405">
        <v>5581232</v>
      </c>
      <c r="T50" s="405">
        <v>0</v>
      </c>
      <c r="U50" s="405">
        <v>254821</v>
      </c>
      <c r="V50" s="405">
        <v>0</v>
      </c>
      <c r="W50" s="405">
        <v>250388</v>
      </c>
      <c r="X50" s="405">
        <v>3949910</v>
      </c>
      <c r="Y50" s="405">
        <v>0</v>
      </c>
      <c r="Z50" s="405">
        <v>0</v>
      </c>
      <c r="AA50" s="405">
        <v>1089507</v>
      </c>
      <c r="AB50" s="405">
        <v>12384365</v>
      </c>
      <c r="AC50" s="405">
        <v>56949</v>
      </c>
      <c r="AD50" s="405">
        <v>294890</v>
      </c>
      <c r="AE50" s="405">
        <v>0</v>
      </c>
      <c r="AF50" s="405">
        <v>0</v>
      </c>
      <c r="AG50" s="405">
        <v>0</v>
      </c>
      <c r="AH50" s="405">
        <v>37853842</v>
      </c>
      <c r="AI50" s="405">
        <v>0</v>
      </c>
      <c r="AJ50" s="405">
        <v>116508</v>
      </c>
      <c r="AK50" s="405">
        <v>3242935</v>
      </c>
      <c r="AL50" s="405">
        <v>11711</v>
      </c>
      <c r="AM50" s="405">
        <v>92369</v>
      </c>
      <c r="AN50" s="405">
        <v>0</v>
      </c>
      <c r="AO50" s="405">
        <v>103589</v>
      </c>
      <c r="AP50" s="405">
        <v>6622332</v>
      </c>
      <c r="AQ50" s="405">
        <v>0</v>
      </c>
      <c r="AR50" s="405">
        <v>2177007</v>
      </c>
      <c r="AS50" s="405">
        <v>0</v>
      </c>
      <c r="AT50" s="405">
        <v>0</v>
      </c>
      <c r="AU50" s="405">
        <v>0</v>
      </c>
      <c r="AV50" s="405">
        <v>252945</v>
      </c>
      <c r="AW50" s="405">
        <v>119676814</v>
      </c>
      <c r="AX50" s="405">
        <v>46895223</v>
      </c>
      <c r="AY50" s="405">
        <v>961806</v>
      </c>
      <c r="AZ50" s="405">
        <v>294067</v>
      </c>
      <c r="BA50" s="405">
        <v>405371</v>
      </c>
      <c r="BB50" s="405">
        <v>145388</v>
      </c>
      <c r="BC50" s="405">
        <v>0</v>
      </c>
      <c r="BD50" s="405">
        <v>2945985</v>
      </c>
      <c r="BE50" s="405">
        <v>148898</v>
      </c>
      <c r="BF50" s="405">
        <v>0</v>
      </c>
      <c r="BG50" s="405">
        <v>133409</v>
      </c>
      <c r="BH50" s="405">
        <v>7889905</v>
      </c>
      <c r="BI50" s="405">
        <v>0</v>
      </c>
      <c r="BJ50" s="405">
        <v>6665388</v>
      </c>
      <c r="BK50" s="405">
        <v>1944704</v>
      </c>
      <c r="BL50" s="405">
        <v>0</v>
      </c>
      <c r="BM50" s="405">
        <v>0</v>
      </c>
      <c r="BN50" s="405">
        <v>17747068</v>
      </c>
      <c r="BO50" s="405">
        <v>15534013</v>
      </c>
      <c r="BP50" s="405">
        <v>0</v>
      </c>
      <c r="BQ50" s="405">
        <v>27837827</v>
      </c>
      <c r="BR50" s="405">
        <v>54732806</v>
      </c>
      <c r="BS50" s="405">
        <v>199605</v>
      </c>
      <c r="BT50" s="405">
        <v>2350787</v>
      </c>
      <c r="BU50" s="405">
        <v>0</v>
      </c>
      <c r="BV50" s="405">
        <v>9954986</v>
      </c>
      <c r="BW50" s="405">
        <v>162292</v>
      </c>
      <c r="BX50" s="405">
        <v>0</v>
      </c>
      <c r="BY50" s="405">
        <v>1864675</v>
      </c>
      <c r="BZ50" s="405">
        <v>0</v>
      </c>
      <c r="CA50" s="405">
        <v>22192800</v>
      </c>
      <c r="CB50" s="405">
        <v>0</v>
      </c>
      <c r="CC50" s="405">
        <v>0</v>
      </c>
      <c r="CD50" s="405">
        <v>274071</v>
      </c>
      <c r="CE50" s="405">
        <v>0</v>
      </c>
      <c r="CF50" s="405">
        <v>0</v>
      </c>
    </row>
    <row r="51" spans="1:84" s="405" customFormat="1" x14ac:dyDescent="0.3">
      <c r="A51" s="405">
        <v>89</v>
      </c>
      <c r="B51" s="406">
        <v>89</v>
      </c>
      <c r="C51" s="405">
        <v>89</v>
      </c>
      <c r="D51" s="405" t="s">
        <v>230</v>
      </c>
      <c r="E51" s="405" t="s">
        <v>355</v>
      </c>
      <c r="F51" s="405">
        <v>0</v>
      </c>
      <c r="G51" s="405">
        <v>109823</v>
      </c>
      <c r="H51" s="405">
        <v>0</v>
      </c>
      <c r="I51" s="405">
        <v>0</v>
      </c>
      <c r="J51" s="405">
        <v>62816</v>
      </c>
      <c r="K51" s="405">
        <v>0</v>
      </c>
      <c r="L51" s="405">
        <v>0</v>
      </c>
      <c r="M51" s="405">
        <v>51862</v>
      </c>
      <c r="N51" s="405">
        <v>353140</v>
      </c>
      <c r="O51" s="405">
        <v>0</v>
      </c>
      <c r="P51" s="405">
        <v>0</v>
      </c>
      <c r="Q51" s="405">
        <v>0</v>
      </c>
      <c r="R51" s="405">
        <v>0</v>
      </c>
      <c r="S51" s="405">
        <v>871</v>
      </c>
      <c r="T51" s="405">
        <v>0</v>
      </c>
      <c r="U51" s="405">
        <v>0</v>
      </c>
      <c r="V51" s="405">
        <v>0</v>
      </c>
      <c r="W51" s="405">
        <v>2911</v>
      </c>
      <c r="X51" s="405">
        <v>180518</v>
      </c>
      <c r="Y51" s="405">
        <v>0</v>
      </c>
      <c r="Z51" s="405">
        <v>0</v>
      </c>
      <c r="AA51" s="405">
        <v>31135</v>
      </c>
      <c r="AB51" s="405">
        <v>1347614</v>
      </c>
      <c r="AC51" s="405">
        <v>0</v>
      </c>
      <c r="AD51" s="405">
        <v>0</v>
      </c>
      <c r="AE51" s="405">
        <v>0</v>
      </c>
      <c r="AF51" s="405">
        <v>0</v>
      </c>
      <c r="AG51" s="405">
        <v>0</v>
      </c>
      <c r="AH51" s="405">
        <v>827372</v>
      </c>
      <c r="AI51" s="405">
        <v>0</v>
      </c>
      <c r="AJ51" s="405">
        <v>0</v>
      </c>
      <c r="AK51" s="405">
        <v>3476</v>
      </c>
      <c r="AL51" s="405">
        <v>0</v>
      </c>
      <c r="AM51" s="405">
        <v>0</v>
      </c>
      <c r="AN51" s="405">
        <v>0</v>
      </c>
      <c r="AO51" s="405">
        <v>79000</v>
      </c>
      <c r="AP51" s="405">
        <v>103210</v>
      </c>
      <c r="AQ51" s="405">
        <v>0</v>
      </c>
      <c r="AR51" s="405">
        <v>49721</v>
      </c>
      <c r="AS51" s="405">
        <v>0</v>
      </c>
      <c r="AT51" s="405">
        <v>0</v>
      </c>
      <c r="AU51" s="405">
        <v>0</v>
      </c>
      <c r="AV51" s="405">
        <v>0</v>
      </c>
      <c r="AW51" s="405">
        <v>6286257</v>
      </c>
      <c r="AX51" s="405">
        <v>2452226</v>
      </c>
      <c r="AY51" s="405">
        <v>18023</v>
      </c>
      <c r="AZ51" s="405">
        <v>14843</v>
      </c>
      <c r="BA51" s="405">
        <v>787</v>
      </c>
      <c r="BB51" s="405">
        <v>0</v>
      </c>
      <c r="BC51" s="405">
        <v>0</v>
      </c>
      <c r="BD51" s="405">
        <v>290</v>
      </c>
      <c r="BE51" s="405">
        <v>9406</v>
      </c>
      <c r="BF51" s="405">
        <v>0</v>
      </c>
      <c r="BG51" s="405">
        <v>17568</v>
      </c>
      <c r="BH51" s="405">
        <v>343160</v>
      </c>
      <c r="BI51" s="405">
        <v>0</v>
      </c>
      <c r="BJ51" s="405">
        <v>453665</v>
      </c>
      <c r="BK51" s="405">
        <v>19548</v>
      </c>
      <c r="BL51" s="405">
        <v>0</v>
      </c>
      <c r="BM51" s="405">
        <v>0</v>
      </c>
      <c r="BN51" s="405">
        <v>158445</v>
      </c>
      <c r="BO51" s="405">
        <v>402142</v>
      </c>
      <c r="BP51" s="405">
        <v>0</v>
      </c>
      <c r="BQ51" s="405">
        <v>606542</v>
      </c>
      <c r="BR51" s="405">
        <v>7117881</v>
      </c>
      <c r="BS51" s="405">
        <v>0</v>
      </c>
      <c r="BT51" s="405">
        <v>0</v>
      </c>
      <c r="BU51" s="405">
        <v>0</v>
      </c>
      <c r="BV51" s="405">
        <v>824774</v>
      </c>
      <c r="BW51" s="405">
        <v>0</v>
      </c>
      <c r="BX51" s="405">
        <v>0</v>
      </c>
      <c r="BY51" s="405">
        <v>16734</v>
      </c>
      <c r="BZ51" s="405">
        <v>0</v>
      </c>
      <c r="CA51" s="405">
        <v>1123290</v>
      </c>
      <c r="CB51" s="405">
        <v>0</v>
      </c>
      <c r="CC51" s="405">
        <v>0</v>
      </c>
      <c r="CD51" s="405">
        <v>5120</v>
      </c>
      <c r="CE51" s="405">
        <v>0</v>
      </c>
      <c r="CF51" s="405">
        <v>0</v>
      </c>
    </row>
    <row r="52" spans="1:84" s="405" customFormat="1" x14ac:dyDescent="0.3">
      <c r="A52" s="405">
        <v>90</v>
      </c>
      <c r="B52" s="406">
        <v>90</v>
      </c>
      <c r="C52" s="405">
        <v>90</v>
      </c>
      <c r="D52" s="405" t="s">
        <v>223</v>
      </c>
      <c r="E52" s="405" t="s">
        <v>356</v>
      </c>
      <c r="F52" s="405">
        <v>0</v>
      </c>
      <c r="G52" s="405">
        <v>0</v>
      </c>
      <c r="H52" s="405">
        <v>0</v>
      </c>
      <c r="I52" s="405">
        <v>0</v>
      </c>
      <c r="J52" s="405">
        <v>0</v>
      </c>
      <c r="K52" s="405">
        <v>0</v>
      </c>
      <c r="L52" s="405">
        <v>0</v>
      </c>
      <c r="M52" s="405">
        <v>0</v>
      </c>
      <c r="N52" s="405">
        <v>454599</v>
      </c>
      <c r="O52" s="405">
        <v>0</v>
      </c>
      <c r="P52" s="405">
        <v>0</v>
      </c>
      <c r="Q52" s="405">
        <v>0</v>
      </c>
      <c r="R52" s="405">
        <v>0</v>
      </c>
      <c r="S52" s="405">
        <v>5263544</v>
      </c>
      <c r="T52" s="405">
        <v>0</v>
      </c>
      <c r="U52" s="405">
        <v>988804</v>
      </c>
      <c r="V52" s="405">
        <v>0</v>
      </c>
      <c r="W52" s="405">
        <v>0</v>
      </c>
      <c r="X52" s="405">
        <v>0</v>
      </c>
      <c r="Y52" s="405">
        <v>0</v>
      </c>
      <c r="Z52" s="405">
        <v>0</v>
      </c>
      <c r="AA52" s="405">
        <v>164082</v>
      </c>
      <c r="AB52" s="405">
        <v>0</v>
      </c>
      <c r="AC52" s="405">
        <v>0</v>
      </c>
      <c r="AD52" s="405">
        <v>0</v>
      </c>
      <c r="AE52" s="405">
        <v>0</v>
      </c>
      <c r="AF52" s="405">
        <v>0</v>
      </c>
      <c r="AG52" s="405">
        <v>0</v>
      </c>
      <c r="AH52" s="405">
        <v>34048169</v>
      </c>
      <c r="AI52" s="405">
        <v>0</v>
      </c>
      <c r="AJ52" s="405">
        <v>0</v>
      </c>
      <c r="AK52" s="405">
        <v>0</v>
      </c>
      <c r="AL52" s="405">
        <v>0</v>
      </c>
      <c r="AM52" s="405">
        <v>0</v>
      </c>
      <c r="AN52" s="405">
        <v>0</v>
      </c>
      <c r="AO52" s="405">
        <v>0</v>
      </c>
      <c r="AP52" s="405">
        <v>0</v>
      </c>
      <c r="AQ52" s="405">
        <v>0</v>
      </c>
      <c r="AR52" s="405">
        <v>4257152</v>
      </c>
      <c r="AS52" s="405">
        <v>0</v>
      </c>
      <c r="AT52" s="405">
        <v>0</v>
      </c>
      <c r="AU52" s="405">
        <v>0</v>
      </c>
      <c r="AV52" s="405">
        <v>0</v>
      </c>
      <c r="AW52" s="405">
        <v>0</v>
      </c>
      <c r="AX52" s="405">
        <v>49595880</v>
      </c>
      <c r="AY52" s="405">
        <v>0</v>
      </c>
      <c r="AZ52" s="405">
        <v>0</v>
      </c>
      <c r="BA52" s="405">
        <v>0</v>
      </c>
      <c r="BB52" s="405">
        <v>0</v>
      </c>
      <c r="BC52" s="405">
        <v>0</v>
      </c>
      <c r="BD52" s="405">
        <v>0</v>
      </c>
      <c r="BE52" s="405">
        <v>0</v>
      </c>
      <c r="BF52" s="405">
        <v>0</v>
      </c>
      <c r="BG52" s="405">
        <v>0</v>
      </c>
      <c r="BH52" s="405">
        <v>0</v>
      </c>
      <c r="BI52" s="405">
        <v>0</v>
      </c>
      <c r="BJ52" s="405">
        <v>0</v>
      </c>
      <c r="BK52" s="405">
        <v>0</v>
      </c>
      <c r="BL52" s="405">
        <v>0</v>
      </c>
      <c r="BM52" s="405">
        <v>0</v>
      </c>
      <c r="BN52" s="405">
        <v>0</v>
      </c>
      <c r="BO52" s="405">
        <v>0</v>
      </c>
      <c r="BP52" s="405">
        <v>0</v>
      </c>
      <c r="BQ52" s="405">
        <v>0</v>
      </c>
      <c r="BR52" s="405">
        <v>87446534</v>
      </c>
      <c r="BS52" s="405">
        <v>0</v>
      </c>
      <c r="BT52" s="405">
        <v>3260103</v>
      </c>
      <c r="BU52" s="405">
        <v>0</v>
      </c>
      <c r="BV52" s="405">
        <v>0</v>
      </c>
      <c r="BW52" s="405">
        <v>350841</v>
      </c>
      <c r="BX52" s="405">
        <v>0</v>
      </c>
      <c r="BY52" s="405">
        <v>0</v>
      </c>
      <c r="BZ52" s="405">
        <v>0</v>
      </c>
      <c r="CA52" s="405">
        <v>0</v>
      </c>
      <c r="CB52" s="405">
        <v>0</v>
      </c>
      <c r="CC52" s="405">
        <v>0</v>
      </c>
      <c r="CD52" s="405">
        <v>0</v>
      </c>
      <c r="CE52" s="405">
        <v>0</v>
      </c>
      <c r="CF52" s="405">
        <v>4058439</v>
      </c>
    </row>
    <row r="53" spans="1:84" s="405" customFormat="1" x14ac:dyDescent="0.3">
      <c r="A53" s="405">
        <v>91</v>
      </c>
      <c r="B53" s="406">
        <v>91</v>
      </c>
      <c r="C53" s="405">
        <v>91</v>
      </c>
      <c r="D53" s="405" t="s">
        <v>224</v>
      </c>
      <c r="E53" s="405" t="s">
        <v>357</v>
      </c>
      <c r="F53" s="405">
        <v>0</v>
      </c>
      <c r="G53" s="405">
        <v>0</v>
      </c>
      <c r="H53" s="405">
        <v>0</v>
      </c>
      <c r="I53" s="405">
        <v>0</v>
      </c>
      <c r="J53" s="405">
        <v>0</v>
      </c>
      <c r="K53" s="405">
        <v>0</v>
      </c>
      <c r="L53" s="405">
        <v>0</v>
      </c>
      <c r="M53" s="405">
        <v>0</v>
      </c>
      <c r="N53" s="405">
        <v>871745</v>
      </c>
      <c r="O53" s="405">
        <v>0</v>
      </c>
      <c r="P53" s="405">
        <v>0</v>
      </c>
      <c r="Q53" s="405">
        <v>0</v>
      </c>
      <c r="R53" s="405">
        <v>0</v>
      </c>
      <c r="S53" s="405">
        <v>1495627</v>
      </c>
      <c r="T53" s="405">
        <v>0</v>
      </c>
      <c r="U53" s="405">
        <v>51071</v>
      </c>
      <c r="V53" s="405">
        <v>0</v>
      </c>
      <c r="W53" s="405">
        <v>0</v>
      </c>
      <c r="X53" s="405">
        <v>0</v>
      </c>
      <c r="Y53" s="405">
        <v>0</v>
      </c>
      <c r="Z53" s="405">
        <v>0</v>
      </c>
      <c r="AA53" s="405">
        <v>128559</v>
      </c>
      <c r="AB53" s="405">
        <v>0</v>
      </c>
      <c r="AC53" s="405">
        <v>0</v>
      </c>
      <c r="AD53" s="405">
        <v>0</v>
      </c>
      <c r="AE53" s="405">
        <v>0</v>
      </c>
      <c r="AF53" s="405">
        <v>0</v>
      </c>
      <c r="AG53" s="405">
        <v>0</v>
      </c>
      <c r="AH53" s="405">
        <v>9347247</v>
      </c>
      <c r="AI53" s="405">
        <v>0</v>
      </c>
      <c r="AJ53" s="405">
        <v>0</v>
      </c>
      <c r="AK53" s="405">
        <v>0</v>
      </c>
      <c r="AL53" s="405">
        <v>0</v>
      </c>
      <c r="AM53" s="405">
        <v>0</v>
      </c>
      <c r="AN53" s="405">
        <v>0</v>
      </c>
      <c r="AO53" s="405">
        <v>0</v>
      </c>
      <c r="AP53" s="405">
        <v>0</v>
      </c>
      <c r="AQ53" s="405">
        <v>0</v>
      </c>
      <c r="AR53" s="405">
        <v>828889</v>
      </c>
      <c r="AS53" s="405">
        <v>0</v>
      </c>
      <c r="AT53" s="405">
        <v>0</v>
      </c>
      <c r="AU53" s="405">
        <v>0</v>
      </c>
      <c r="AV53" s="405">
        <v>0</v>
      </c>
      <c r="AW53" s="405">
        <v>0</v>
      </c>
      <c r="AX53" s="405">
        <v>18260042</v>
      </c>
      <c r="AY53" s="405">
        <v>0</v>
      </c>
      <c r="AZ53" s="405">
        <v>0</v>
      </c>
      <c r="BA53" s="405">
        <v>0</v>
      </c>
      <c r="BB53" s="405">
        <v>0</v>
      </c>
      <c r="BC53" s="405">
        <v>0</v>
      </c>
      <c r="BD53" s="405">
        <v>0</v>
      </c>
      <c r="BE53" s="405">
        <v>0</v>
      </c>
      <c r="BF53" s="405">
        <v>0</v>
      </c>
      <c r="BG53" s="405">
        <v>0</v>
      </c>
      <c r="BH53" s="405">
        <v>0</v>
      </c>
      <c r="BI53" s="405">
        <v>0</v>
      </c>
      <c r="BJ53" s="405">
        <v>0</v>
      </c>
      <c r="BK53" s="405">
        <v>0</v>
      </c>
      <c r="BL53" s="405">
        <v>0</v>
      </c>
      <c r="BM53" s="405">
        <v>0</v>
      </c>
      <c r="BN53" s="405">
        <v>0</v>
      </c>
      <c r="BO53" s="405">
        <v>0</v>
      </c>
      <c r="BP53" s="405">
        <v>0</v>
      </c>
      <c r="BQ53" s="405">
        <v>0</v>
      </c>
      <c r="BR53" s="405">
        <v>14262971</v>
      </c>
      <c r="BS53" s="405">
        <v>0</v>
      </c>
      <c r="BT53" s="405">
        <v>677519</v>
      </c>
      <c r="BU53" s="405">
        <v>0</v>
      </c>
      <c r="BV53" s="405">
        <v>0</v>
      </c>
      <c r="BW53" s="405">
        <v>28935</v>
      </c>
      <c r="BX53" s="405">
        <v>0</v>
      </c>
      <c r="BY53" s="405">
        <v>0</v>
      </c>
      <c r="BZ53" s="405">
        <v>0</v>
      </c>
      <c r="CA53" s="405">
        <v>0</v>
      </c>
      <c r="CB53" s="405">
        <v>0</v>
      </c>
      <c r="CC53" s="405">
        <v>0</v>
      </c>
      <c r="CD53" s="405">
        <v>0</v>
      </c>
      <c r="CE53" s="405">
        <v>0</v>
      </c>
      <c r="CF53" s="405">
        <v>2243004</v>
      </c>
    </row>
    <row r="54" spans="1:84" s="405" customFormat="1" x14ac:dyDescent="0.3">
      <c r="A54" s="405">
        <v>92</v>
      </c>
      <c r="B54" s="406"/>
      <c r="C54" s="405">
        <v>92</v>
      </c>
      <c r="D54" s="405" t="s">
        <v>631</v>
      </c>
      <c r="E54" s="405" t="s">
        <v>358</v>
      </c>
    </row>
    <row r="55" spans="1:84" s="405" customFormat="1" x14ac:dyDescent="0.3">
      <c r="A55" s="405">
        <v>93</v>
      </c>
      <c r="B55" s="406">
        <v>93</v>
      </c>
      <c r="C55" s="405">
        <v>93</v>
      </c>
      <c r="D55" s="405" t="s">
        <v>237</v>
      </c>
      <c r="E55" s="405" t="s">
        <v>359</v>
      </c>
      <c r="F55" s="405">
        <v>0</v>
      </c>
      <c r="G55" s="405">
        <v>0</v>
      </c>
      <c r="H55" s="405">
        <v>0</v>
      </c>
      <c r="I55" s="405">
        <v>0</v>
      </c>
      <c r="J55" s="405">
        <v>0</v>
      </c>
      <c r="K55" s="405">
        <v>0</v>
      </c>
      <c r="L55" s="405">
        <v>0</v>
      </c>
      <c r="M55" s="405">
        <v>0</v>
      </c>
      <c r="N55" s="405">
        <v>6086560</v>
      </c>
      <c r="O55" s="405">
        <v>0</v>
      </c>
      <c r="P55" s="405">
        <v>0</v>
      </c>
      <c r="Q55" s="405">
        <v>0</v>
      </c>
      <c r="R55" s="405">
        <v>0</v>
      </c>
      <c r="S55" s="405">
        <v>11149919</v>
      </c>
      <c r="T55" s="405">
        <v>0</v>
      </c>
      <c r="U55" s="405">
        <v>650439</v>
      </c>
      <c r="V55" s="405">
        <v>0</v>
      </c>
      <c r="W55" s="405">
        <v>0</v>
      </c>
      <c r="X55" s="405">
        <v>0</v>
      </c>
      <c r="Y55" s="405">
        <v>0</v>
      </c>
      <c r="Z55" s="405">
        <v>0</v>
      </c>
      <c r="AA55" s="405">
        <v>1465754</v>
      </c>
      <c r="AB55" s="405">
        <v>0</v>
      </c>
      <c r="AC55" s="405">
        <v>0</v>
      </c>
      <c r="AD55" s="405">
        <v>0</v>
      </c>
      <c r="AE55" s="405">
        <v>0</v>
      </c>
      <c r="AF55" s="405">
        <v>0</v>
      </c>
      <c r="AG55" s="405">
        <v>0</v>
      </c>
      <c r="AH55" s="405">
        <v>74017623</v>
      </c>
      <c r="AI55" s="405">
        <v>0</v>
      </c>
      <c r="AJ55" s="405">
        <v>0</v>
      </c>
      <c r="AK55" s="405">
        <v>0</v>
      </c>
      <c r="AL55" s="405">
        <v>0</v>
      </c>
      <c r="AM55" s="405">
        <v>0</v>
      </c>
      <c r="AN55" s="405">
        <v>0</v>
      </c>
      <c r="AO55" s="405">
        <v>0</v>
      </c>
      <c r="AP55" s="405">
        <v>0</v>
      </c>
      <c r="AQ55" s="405">
        <v>0</v>
      </c>
      <c r="AR55" s="405">
        <v>6707201</v>
      </c>
      <c r="AS55" s="405">
        <v>0</v>
      </c>
      <c r="AT55" s="405">
        <v>0</v>
      </c>
      <c r="AU55" s="405">
        <v>0</v>
      </c>
      <c r="AV55" s="405">
        <v>0</v>
      </c>
      <c r="AW55" s="405">
        <v>0</v>
      </c>
      <c r="AX55" s="405">
        <v>170563613</v>
      </c>
      <c r="AY55" s="405">
        <v>0</v>
      </c>
      <c r="AZ55" s="405">
        <v>0</v>
      </c>
      <c r="BA55" s="405">
        <v>0</v>
      </c>
      <c r="BB55" s="405">
        <v>0</v>
      </c>
      <c r="BC55" s="405">
        <v>0</v>
      </c>
      <c r="BD55" s="405">
        <v>0</v>
      </c>
      <c r="BE55" s="405">
        <v>0</v>
      </c>
      <c r="BF55" s="405">
        <v>0</v>
      </c>
      <c r="BG55" s="405">
        <v>0</v>
      </c>
      <c r="BH55" s="405">
        <v>0</v>
      </c>
      <c r="BI55" s="405">
        <v>0</v>
      </c>
      <c r="BJ55" s="405">
        <v>0</v>
      </c>
      <c r="BK55" s="405">
        <v>0</v>
      </c>
      <c r="BL55" s="405">
        <v>0</v>
      </c>
      <c r="BM55" s="405">
        <v>0</v>
      </c>
      <c r="BN55" s="405">
        <v>0</v>
      </c>
      <c r="BO55" s="405">
        <v>0</v>
      </c>
      <c r="BP55" s="405">
        <v>0</v>
      </c>
      <c r="BQ55" s="405">
        <v>0</v>
      </c>
      <c r="BR55" s="405">
        <v>124580073</v>
      </c>
      <c r="BS55" s="405">
        <v>0</v>
      </c>
      <c r="BT55" s="405">
        <v>6176373</v>
      </c>
      <c r="BU55" s="405">
        <v>0</v>
      </c>
      <c r="BV55" s="405">
        <v>0</v>
      </c>
      <c r="BW55" s="405">
        <v>448211</v>
      </c>
      <c r="BX55" s="405">
        <v>0</v>
      </c>
      <c r="BY55" s="405">
        <v>0</v>
      </c>
      <c r="BZ55" s="405">
        <v>0</v>
      </c>
      <c r="CA55" s="405">
        <v>0</v>
      </c>
      <c r="CB55" s="405">
        <v>0</v>
      </c>
      <c r="CC55" s="405">
        <v>0</v>
      </c>
      <c r="CD55" s="405">
        <v>0</v>
      </c>
      <c r="CE55" s="405">
        <v>0</v>
      </c>
      <c r="CF55" s="405">
        <v>21165777</v>
      </c>
    </row>
    <row r="56" spans="1:84" s="405" customFormat="1" x14ac:dyDescent="0.3">
      <c r="A56" s="405">
        <v>94</v>
      </c>
      <c r="B56" s="406">
        <v>94</v>
      </c>
      <c r="C56" s="405">
        <v>94</v>
      </c>
      <c r="D56" s="405" t="s">
        <v>240</v>
      </c>
      <c r="E56" s="405" t="s">
        <v>360</v>
      </c>
      <c r="F56" s="405">
        <v>0</v>
      </c>
      <c r="G56" s="405">
        <v>0</v>
      </c>
      <c r="H56" s="405">
        <v>0</v>
      </c>
      <c r="I56" s="405">
        <v>0</v>
      </c>
      <c r="J56" s="405">
        <v>0</v>
      </c>
      <c r="K56" s="405">
        <v>0</v>
      </c>
      <c r="L56" s="405">
        <v>0</v>
      </c>
      <c r="M56" s="405">
        <v>0</v>
      </c>
      <c r="N56" s="405">
        <v>6094579</v>
      </c>
      <c r="O56" s="405">
        <v>0</v>
      </c>
      <c r="P56" s="405">
        <v>0</v>
      </c>
      <c r="Q56" s="405">
        <v>0</v>
      </c>
      <c r="R56" s="405">
        <v>0</v>
      </c>
      <c r="S56" s="405">
        <v>7529768</v>
      </c>
      <c r="T56" s="405">
        <v>0</v>
      </c>
      <c r="U56" s="405">
        <v>671453</v>
      </c>
      <c r="V56" s="405">
        <v>0</v>
      </c>
      <c r="W56" s="405">
        <v>0</v>
      </c>
      <c r="X56" s="405">
        <v>0</v>
      </c>
      <c r="Y56" s="405">
        <v>0</v>
      </c>
      <c r="Z56" s="405">
        <v>0</v>
      </c>
      <c r="AA56" s="405">
        <v>1469448</v>
      </c>
      <c r="AB56" s="405">
        <v>0</v>
      </c>
      <c r="AC56" s="405">
        <v>0</v>
      </c>
      <c r="AD56" s="405">
        <v>0</v>
      </c>
      <c r="AE56" s="405">
        <v>0</v>
      </c>
      <c r="AF56" s="405">
        <v>0</v>
      </c>
      <c r="AG56" s="405">
        <v>0</v>
      </c>
      <c r="AH56" s="405">
        <v>68161441</v>
      </c>
      <c r="AI56" s="405">
        <v>0</v>
      </c>
      <c r="AJ56" s="405">
        <v>0</v>
      </c>
      <c r="AK56" s="405">
        <v>0</v>
      </c>
      <c r="AL56" s="405">
        <v>0</v>
      </c>
      <c r="AM56" s="405">
        <v>0</v>
      </c>
      <c r="AN56" s="405">
        <v>0</v>
      </c>
      <c r="AO56" s="405">
        <v>0</v>
      </c>
      <c r="AP56" s="405">
        <v>0</v>
      </c>
      <c r="AQ56" s="405">
        <v>0</v>
      </c>
      <c r="AR56" s="405">
        <v>6763138</v>
      </c>
      <c r="AS56" s="405">
        <v>0</v>
      </c>
      <c r="AT56" s="405">
        <v>0</v>
      </c>
      <c r="AU56" s="405">
        <v>0</v>
      </c>
      <c r="AV56" s="405">
        <v>0</v>
      </c>
      <c r="AW56" s="405">
        <v>0</v>
      </c>
      <c r="AX56" s="405">
        <v>165470024</v>
      </c>
      <c r="AY56" s="405">
        <v>0</v>
      </c>
      <c r="AZ56" s="405">
        <v>0</v>
      </c>
      <c r="BA56" s="405">
        <v>0</v>
      </c>
      <c r="BB56" s="405">
        <v>0</v>
      </c>
      <c r="BC56" s="405">
        <v>0</v>
      </c>
      <c r="BD56" s="405">
        <v>0</v>
      </c>
      <c r="BE56" s="405">
        <v>0</v>
      </c>
      <c r="BF56" s="405">
        <v>0</v>
      </c>
      <c r="BG56" s="405">
        <v>0</v>
      </c>
      <c r="BH56" s="405">
        <v>0</v>
      </c>
      <c r="BI56" s="405">
        <v>0</v>
      </c>
      <c r="BJ56" s="405">
        <v>0</v>
      </c>
      <c r="BK56" s="405">
        <v>0</v>
      </c>
      <c r="BL56" s="405">
        <v>0</v>
      </c>
      <c r="BM56" s="405">
        <v>0</v>
      </c>
      <c r="BN56" s="405">
        <v>0</v>
      </c>
      <c r="BO56" s="405">
        <v>0</v>
      </c>
      <c r="BP56" s="405">
        <v>0</v>
      </c>
      <c r="BQ56" s="405">
        <v>0</v>
      </c>
      <c r="BR56" s="405">
        <v>119683621</v>
      </c>
      <c r="BS56" s="405">
        <v>0</v>
      </c>
      <c r="BT56" s="405">
        <v>4567112</v>
      </c>
      <c r="BU56" s="405">
        <v>0</v>
      </c>
      <c r="BV56" s="405">
        <v>0</v>
      </c>
      <c r="BW56" s="405">
        <v>459437</v>
      </c>
      <c r="BX56" s="405">
        <v>0</v>
      </c>
      <c r="BY56" s="405">
        <v>0</v>
      </c>
      <c r="BZ56" s="405">
        <v>0</v>
      </c>
      <c r="CA56" s="405">
        <v>0</v>
      </c>
      <c r="CB56" s="405">
        <v>0</v>
      </c>
      <c r="CC56" s="405">
        <v>0</v>
      </c>
      <c r="CD56" s="405">
        <v>0</v>
      </c>
      <c r="CE56" s="405">
        <v>0</v>
      </c>
      <c r="CF56" s="405">
        <v>20720393</v>
      </c>
    </row>
    <row r="57" spans="1:84" s="405" customFormat="1" x14ac:dyDescent="0.3">
      <c r="A57" s="405">
        <v>97</v>
      </c>
      <c r="B57" s="406">
        <v>97</v>
      </c>
      <c r="C57" s="405">
        <v>97</v>
      </c>
      <c r="D57" s="405" t="s">
        <v>236</v>
      </c>
      <c r="E57" s="405" t="s">
        <v>361</v>
      </c>
      <c r="F57" s="405">
        <v>0</v>
      </c>
      <c r="G57" s="405">
        <v>0</v>
      </c>
      <c r="H57" s="405">
        <v>0</v>
      </c>
      <c r="I57" s="405">
        <v>0</v>
      </c>
      <c r="J57" s="405">
        <v>0</v>
      </c>
      <c r="K57" s="405">
        <v>0</v>
      </c>
      <c r="L57" s="405">
        <v>0</v>
      </c>
      <c r="M57" s="405">
        <v>0</v>
      </c>
      <c r="N57" s="405">
        <v>6031337</v>
      </c>
      <c r="O57" s="405">
        <v>0</v>
      </c>
      <c r="P57" s="405">
        <v>0</v>
      </c>
      <c r="Q57" s="405">
        <v>0</v>
      </c>
      <c r="R57" s="405">
        <v>0</v>
      </c>
      <c r="S57" s="405">
        <v>10926956</v>
      </c>
      <c r="T57" s="405">
        <v>0</v>
      </c>
      <c r="U57" s="405">
        <v>621372</v>
      </c>
      <c r="V57" s="405">
        <v>0</v>
      </c>
      <c r="W57" s="405">
        <v>0</v>
      </c>
      <c r="X57" s="405">
        <v>0</v>
      </c>
      <c r="Y57" s="405">
        <v>0</v>
      </c>
      <c r="Z57" s="405">
        <v>0</v>
      </c>
      <c r="AA57" s="405">
        <v>1465754</v>
      </c>
      <c r="AB57" s="405">
        <v>0</v>
      </c>
      <c r="AC57" s="405">
        <v>0</v>
      </c>
      <c r="AD57" s="405">
        <v>0</v>
      </c>
      <c r="AE57" s="405">
        <v>0</v>
      </c>
      <c r="AF57" s="405">
        <v>0</v>
      </c>
      <c r="AG57" s="405">
        <v>0</v>
      </c>
      <c r="AH57" s="405">
        <v>71366606</v>
      </c>
      <c r="AI57" s="405">
        <v>0</v>
      </c>
      <c r="AJ57" s="405">
        <v>0</v>
      </c>
      <c r="AK57" s="405">
        <v>0</v>
      </c>
      <c r="AL57" s="405">
        <v>0</v>
      </c>
      <c r="AM57" s="405">
        <v>0</v>
      </c>
      <c r="AN57" s="405">
        <v>0</v>
      </c>
      <c r="AO57" s="405">
        <v>0</v>
      </c>
      <c r="AP57" s="405">
        <v>0</v>
      </c>
      <c r="AQ57" s="405">
        <v>0</v>
      </c>
      <c r="AR57" s="405">
        <v>6554419</v>
      </c>
      <c r="AS57" s="405">
        <v>0</v>
      </c>
      <c r="AT57" s="405">
        <v>0</v>
      </c>
      <c r="AU57" s="405">
        <v>0</v>
      </c>
      <c r="AV57" s="405">
        <v>0</v>
      </c>
      <c r="AW57" s="405">
        <v>0</v>
      </c>
      <c r="AX57" s="405">
        <v>170060709</v>
      </c>
      <c r="AY57" s="405">
        <v>0</v>
      </c>
      <c r="AZ57" s="405">
        <v>0</v>
      </c>
      <c r="BA57" s="405">
        <v>0</v>
      </c>
      <c r="BB57" s="405">
        <v>0</v>
      </c>
      <c r="BC57" s="405">
        <v>0</v>
      </c>
      <c r="BD57" s="405">
        <v>0</v>
      </c>
      <c r="BE57" s="405">
        <v>0</v>
      </c>
      <c r="BF57" s="405">
        <v>0</v>
      </c>
      <c r="BG57" s="405">
        <v>0</v>
      </c>
      <c r="BH57" s="405">
        <v>0</v>
      </c>
      <c r="BI57" s="405">
        <v>0</v>
      </c>
      <c r="BJ57" s="405">
        <v>0</v>
      </c>
      <c r="BK57" s="405">
        <v>0</v>
      </c>
      <c r="BL57" s="405">
        <v>0</v>
      </c>
      <c r="BM57" s="405">
        <v>0</v>
      </c>
      <c r="BN57" s="405">
        <v>0</v>
      </c>
      <c r="BO57" s="405">
        <v>0</v>
      </c>
      <c r="BP57" s="405">
        <v>0</v>
      </c>
      <c r="BQ57" s="405">
        <v>0</v>
      </c>
      <c r="BR57" s="405">
        <v>124487008</v>
      </c>
      <c r="BS57" s="405">
        <v>0</v>
      </c>
      <c r="BT57" s="405">
        <v>5685622</v>
      </c>
      <c r="BU57" s="405">
        <v>0</v>
      </c>
      <c r="BV57" s="405">
        <v>0</v>
      </c>
      <c r="BW57" s="405">
        <v>423447</v>
      </c>
      <c r="BX57" s="405">
        <v>0</v>
      </c>
      <c r="BY57" s="405">
        <v>0</v>
      </c>
      <c r="BZ57" s="405">
        <v>0</v>
      </c>
      <c r="CA57" s="405">
        <v>0</v>
      </c>
      <c r="CB57" s="405">
        <v>0</v>
      </c>
      <c r="CC57" s="405">
        <v>0</v>
      </c>
      <c r="CD57" s="405">
        <v>0</v>
      </c>
      <c r="CE57" s="405">
        <v>0</v>
      </c>
      <c r="CF57" s="405">
        <v>20441213</v>
      </c>
    </row>
    <row r="58" spans="1:84" s="405" customFormat="1" x14ac:dyDescent="0.3">
      <c r="A58" s="405">
        <v>98</v>
      </c>
      <c r="B58" s="406">
        <v>98</v>
      </c>
      <c r="C58" s="405">
        <v>98</v>
      </c>
      <c r="D58" s="405" t="s">
        <v>241</v>
      </c>
      <c r="E58" s="405" t="s">
        <v>362</v>
      </c>
      <c r="F58" s="405">
        <v>0</v>
      </c>
      <c r="G58" s="405">
        <v>0</v>
      </c>
      <c r="H58" s="405">
        <v>0</v>
      </c>
      <c r="I58" s="405">
        <v>0</v>
      </c>
      <c r="J58" s="405">
        <v>0</v>
      </c>
      <c r="K58" s="405">
        <v>0</v>
      </c>
      <c r="L58" s="405">
        <v>0</v>
      </c>
      <c r="M58" s="405">
        <v>0</v>
      </c>
      <c r="N58" s="405">
        <v>21521</v>
      </c>
      <c r="O58" s="405">
        <v>0</v>
      </c>
      <c r="P58" s="405">
        <v>0</v>
      </c>
      <c r="Q58" s="405">
        <v>0</v>
      </c>
      <c r="R58" s="405">
        <v>0</v>
      </c>
      <c r="S58" s="405">
        <v>71</v>
      </c>
      <c r="T58" s="405">
        <v>0</v>
      </c>
      <c r="U58" s="405">
        <v>0</v>
      </c>
      <c r="V58" s="405">
        <v>0</v>
      </c>
      <c r="W58" s="405">
        <v>0</v>
      </c>
      <c r="X58" s="405">
        <v>0</v>
      </c>
      <c r="Y58" s="405">
        <v>0</v>
      </c>
      <c r="Z58" s="405">
        <v>0</v>
      </c>
      <c r="AA58" s="405">
        <v>60</v>
      </c>
      <c r="AB58" s="405">
        <v>0</v>
      </c>
      <c r="AC58" s="405">
        <v>0</v>
      </c>
      <c r="AD58" s="405">
        <v>0</v>
      </c>
      <c r="AE58" s="405">
        <v>0</v>
      </c>
      <c r="AF58" s="405">
        <v>0</v>
      </c>
      <c r="AG58" s="405">
        <v>0</v>
      </c>
      <c r="AH58" s="405">
        <v>16869</v>
      </c>
      <c r="AI58" s="405">
        <v>0</v>
      </c>
      <c r="AJ58" s="405">
        <v>0</v>
      </c>
      <c r="AK58" s="405">
        <v>0</v>
      </c>
      <c r="AL58" s="405">
        <v>0</v>
      </c>
      <c r="AM58" s="405">
        <v>0</v>
      </c>
      <c r="AN58" s="405">
        <v>0</v>
      </c>
      <c r="AO58" s="405">
        <v>0</v>
      </c>
      <c r="AP58" s="405">
        <v>0</v>
      </c>
      <c r="AQ58" s="405">
        <v>0</v>
      </c>
      <c r="AR58" s="405">
        <v>0</v>
      </c>
      <c r="AS58" s="405">
        <v>0</v>
      </c>
      <c r="AT58" s="405">
        <v>0</v>
      </c>
      <c r="AU58" s="405">
        <v>0</v>
      </c>
      <c r="AV58" s="405">
        <v>0</v>
      </c>
      <c r="AW58" s="405">
        <v>0</v>
      </c>
      <c r="AX58" s="405">
        <v>2129475</v>
      </c>
      <c r="AY58" s="405">
        <v>0</v>
      </c>
      <c r="AZ58" s="405">
        <v>0</v>
      </c>
      <c r="BA58" s="405">
        <v>0</v>
      </c>
      <c r="BB58" s="405">
        <v>0</v>
      </c>
      <c r="BC58" s="405">
        <v>0</v>
      </c>
      <c r="BD58" s="405">
        <v>0</v>
      </c>
      <c r="BE58" s="405">
        <v>0</v>
      </c>
      <c r="BF58" s="405">
        <v>0</v>
      </c>
      <c r="BG58" s="405">
        <v>0</v>
      </c>
      <c r="BH58" s="405">
        <v>0</v>
      </c>
      <c r="BI58" s="405">
        <v>0</v>
      </c>
      <c r="BJ58" s="405">
        <v>0</v>
      </c>
      <c r="BK58" s="405">
        <v>0</v>
      </c>
      <c r="BL58" s="405">
        <v>0</v>
      </c>
      <c r="BM58" s="405">
        <v>0</v>
      </c>
      <c r="BN58" s="405">
        <v>0</v>
      </c>
      <c r="BO58" s="405">
        <v>0</v>
      </c>
      <c r="BP58" s="405">
        <v>0</v>
      </c>
      <c r="BQ58" s="405">
        <v>0</v>
      </c>
      <c r="BR58" s="405">
        <v>0</v>
      </c>
      <c r="BS58" s="405">
        <v>0</v>
      </c>
      <c r="BT58" s="405">
        <v>0</v>
      </c>
      <c r="BU58" s="405">
        <v>0</v>
      </c>
      <c r="BV58" s="405">
        <v>0</v>
      </c>
      <c r="BW58" s="405">
        <v>0</v>
      </c>
      <c r="BX58" s="405">
        <v>0</v>
      </c>
      <c r="BY58" s="405">
        <v>0</v>
      </c>
      <c r="BZ58" s="405">
        <v>0</v>
      </c>
      <c r="CA58" s="405">
        <v>0</v>
      </c>
      <c r="CB58" s="405">
        <v>0</v>
      </c>
      <c r="CC58" s="405">
        <v>0</v>
      </c>
      <c r="CD58" s="405">
        <v>0</v>
      </c>
      <c r="CE58" s="405">
        <v>0</v>
      </c>
      <c r="CF58" s="405">
        <v>0</v>
      </c>
    </row>
    <row r="59" spans="1:84" s="405" customFormat="1" x14ac:dyDescent="0.3">
      <c r="A59" s="405">
        <v>99</v>
      </c>
      <c r="B59" s="406">
        <v>99</v>
      </c>
      <c r="C59" s="405">
        <v>99</v>
      </c>
      <c r="D59" s="405" t="s">
        <v>238</v>
      </c>
      <c r="E59" s="405" t="s">
        <v>363</v>
      </c>
      <c r="F59" s="405">
        <v>0</v>
      </c>
      <c r="G59" s="405">
        <v>0</v>
      </c>
      <c r="H59" s="405">
        <v>0</v>
      </c>
      <c r="I59" s="405">
        <v>0</v>
      </c>
      <c r="J59" s="405">
        <v>0</v>
      </c>
      <c r="K59" s="405">
        <v>0</v>
      </c>
      <c r="L59" s="405">
        <v>0</v>
      </c>
      <c r="M59" s="405">
        <v>0</v>
      </c>
      <c r="N59" s="405">
        <v>4254825</v>
      </c>
      <c r="O59" s="405">
        <v>0</v>
      </c>
      <c r="P59" s="405">
        <v>0</v>
      </c>
      <c r="Q59" s="405">
        <v>0</v>
      </c>
      <c r="R59" s="405">
        <v>0</v>
      </c>
      <c r="S59" s="405">
        <v>5224870</v>
      </c>
      <c r="T59" s="405">
        <v>0</v>
      </c>
      <c r="U59" s="405">
        <v>394323</v>
      </c>
      <c r="V59" s="405">
        <v>0</v>
      </c>
      <c r="W59" s="405">
        <v>0</v>
      </c>
      <c r="X59" s="405">
        <v>0</v>
      </c>
      <c r="Y59" s="405">
        <v>0</v>
      </c>
      <c r="Z59" s="405">
        <v>0</v>
      </c>
      <c r="AA59" s="405">
        <v>1043154</v>
      </c>
      <c r="AB59" s="405">
        <v>0</v>
      </c>
      <c r="AC59" s="405">
        <v>0</v>
      </c>
      <c r="AD59" s="405">
        <v>0</v>
      </c>
      <c r="AE59" s="405">
        <v>0</v>
      </c>
      <c r="AF59" s="405">
        <v>0</v>
      </c>
      <c r="AG59" s="405">
        <v>0</v>
      </c>
      <c r="AH59" s="405">
        <v>53455727</v>
      </c>
      <c r="AI59" s="405">
        <v>0</v>
      </c>
      <c r="AJ59" s="405">
        <v>0</v>
      </c>
      <c r="AK59" s="405">
        <v>0</v>
      </c>
      <c r="AL59" s="405">
        <v>0</v>
      </c>
      <c r="AM59" s="405">
        <v>0</v>
      </c>
      <c r="AN59" s="405">
        <v>0</v>
      </c>
      <c r="AO59" s="405">
        <v>0</v>
      </c>
      <c r="AP59" s="405">
        <v>0</v>
      </c>
      <c r="AQ59" s="405">
        <v>0</v>
      </c>
      <c r="AR59" s="405">
        <v>4404677</v>
      </c>
      <c r="AS59" s="405">
        <v>0</v>
      </c>
      <c r="AT59" s="405">
        <v>0</v>
      </c>
      <c r="AU59" s="405">
        <v>0</v>
      </c>
      <c r="AV59" s="405">
        <v>0</v>
      </c>
      <c r="AW59" s="405">
        <v>0</v>
      </c>
      <c r="AX59" s="405">
        <v>126492335</v>
      </c>
      <c r="AY59" s="405">
        <v>0</v>
      </c>
      <c r="AZ59" s="405">
        <v>0</v>
      </c>
      <c r="BA59" s="405">
        <v>0</v>
      </c>
      <c r="BB59" s="405">
        <v>0</v>
      </c>
      <c r="BC59" s="405">
        <v>0</v>
      </c>
      <c r="BD59" s="405">
        <v>0</v>
      </c>
      <c r="BE59" s="405">
        <v>0</v>
      </c>
      <c r="BF59" s="405">
        <v>0</v>
      </c>
      <c r="BG59" s="405">
        <v>0</v>
      </c>
      <c r="BH59" s="405">
        <v>0</v>
      </c>
      <c r="BI59" s="405">
        <v>0</v>
      </c>
      <c r="BJ59" s="405">
        <v>0</v>
      </c>
      <c r="BK59" s="405">
        <v>0</v>
      </c>
      <c r="BL59" s="405">
        <v>0</v>
      </c>
      <c r="BM59" s="405">
        <v>0</v>
      </c>
      <c r="BN59" s="405">
        <v>0</v>
      </c>
      <c r="BO59" s="405">
        <v>0</v>
      </c>
      <c r="BP59" s="405">
        <v>0</v>
      </c>
      <c r="BQ59" s="405">
        <v>0</v>
      </c>
      <c r="BR59" s="405">
        <v>89333337</v>
      </c>
      <c r="BS59" s="405">
        <v>0</v>
      </c>
      <c r="BT59" s="405">
        <v>2840875</v>
      </c>
      <c r="BU59" s="405">
        <v>0</v>
      </c>
      <c r="BV59" s="405">
        <v>0</v>
      </c>
      <c r="BW59" s="405">
        <v>292733</v>
      </c>
      <c r="BX59" s="405">
        <v>0</v>
      </c>
      <c r="BY59" s="405">
        <v>0</v>
      </c>
      <c r="BZ59" s="405">
        <v>0</v>
      </c>
      <c r="CA59" s="405">
        <v>0</v>
      </c>
      <c r="CB59" s="405">
        <v>0</v>
      </c>
      <c r="CC59" s="405">
        <v>0</v>
      </c>
      <c r="CD59" s="405">
        <v>0</v>
      </c>
      <c r="CE59" s="405">
        <v>0</v>
      </c>
      <c r="CF59" s="405">
        <v>16732204</v>
      </c>
    </row>
    <row r="60" spans="1:84" s="405" customFormat="1" x14ac:dyDescent="0.3">
      <c r="A60" s="405">
        <v>100</v>
      </c>
      <c r="B60" s="406">
        <v>100</v>
      </c>
      <c r="C60" s="405">
        <v>100</v>
      </c>
      <c r="D60" s="405" t="s">
        <v>251</v>
      </c>
      <c r="E60" s="405" t="s">
        <v>364</v>
      </c>
      <c r="F60" s="405">
        <v>0</v>
      </c>
      <c r="G60" s="405">
        <v>0</v>
      </c>
      <c r="H60" s="405">
        <v>0</v>
      </c>
      <c r="I60" s="405">
        <v>0</v>
      </c>
      <c r="J60" s="405">
        <v>0</v>
      </c>
      <c r="K60" s="405">
        <v>0</v>
      </c>
      <c r="L60" s="405">
        <v>0</v>
      </c>
      <c r="M60" s="405">
        <v>0</v>
      </c>
      <c r="N60" s="405">
        <v>236939</v>
      </c>
      <c r="O60" s="405">
        <v>0</v>
      </c>
      <c r="P60" s="405">
        <v>0</v>
      </c>
      <c r="Q60" s="405">
        <v>0</v>
      </c>
      <c r="R60" s="405">
        <v>0</v>
      </c>
      <c r="S60" s="405">
        <v>16612</v>
      </c>
      <c r="T60" s="405">
        <v>0</v>
      </c>
      <c r="U60" s="405">
        <v>0</v>
      </c>
      <c r="V60" s="405">
        <v>0</v>
      </c>
      <c r="W60" s="405">
        <v>0</v>
      </c>
      <c r="X60" s="405">
        <v>0</v>
      </c>
      <c r="Y60" s="405">
        <v>0</v>
      </c>
      <c r="Z60" s="405">
        <v>0</v>
      </c>
      <c r="AA60" s="405">
        <v>1524</v>
      </c>
      <c r="AB60" s="405">
        <v>0</v>
      </c>
      <c r="AC60" s="405">
        <v>0</v>
      </c>
      <c r="AD60" s="405">
        <v>0</v>
      </c>
      <c r="AE60" s="405">
        <v>0</v>
      </c>
      <c r="AF60" s="405">
        <v>0</v>
      </c>
      <c r="AG60" s="405">
        <v>0</v>
      </c>
      <c r="AH60" s="405">
        <v>48763</v>
      </c>
      <c r="AI60" s="405">
        <v>0</v>
      </c>
      <c r="AJ60" s="405">
        <v>0</v>
      </c>
      <c r="AK60" s="405">
        <v>0</v>
      </c>
      <c r="AL60" s="405">
        <v>0</v>
      </c>
      <c r="AM60" s="405">
        <v>0</v>
      </c>
      <c r="AN60" s="405">
        <v>0</v>
      </c>
      <c r="AO60" s="405">
        <v>0</v>
      </c>
      <c r="AP60" s="405">
        <v>0</v>
      </c>
      <c r="AQ60" s="405">
        <v>0</v>
      </c>
      <c r="AR60" s="405">
        <v>0</v>
      </c>
      <c r="AS60" s="405">
        <v>0</v>
      </c>
      <c r="AT60" s="405">
        <v>0</v>
      </c>
      <c r="AU60" s="405">
        <v>0</v>
      </c>
      <c r="AV60" s="405">
        <v>0</v>
      </c>
      <c r="AW60" s="405">
        <v>0</v>
      </c>
      <c r="AX60" s="405">
        <v>1350098</v>
      </c>
      <c r="AY60" s="405">
        <v>0</v>
      </c>
      <c r="AZ60" s="405">
        <v>0</v>
      </c>
      <c r="BA60" s="405">
        <v>0</v>
      </c>
      <c r="BB60" s="405">
        <v>0</v>
      </c>
      <c r="BC60" s="405">
        <v>0</v>
      </c>
      <c r="BD60" s="405">
        <v>0</v>
      </c>
      <c r="BE60" s="405">
        <v>0</v>
      </c>
      <c r="BF60" s="405">
        <v>0</v>
      </c>
      <c r="BG60" s="405">
        <v>0</v>
      </c>
      <c r="BH60" s="405">
        <v>0</v>
      </c>
      <c r="BI60" s="405">
        <v>0</v>
      </c>
      <c r="BJ60" s="405">
        <v>0</v>
      </c>
      <c r="BK60" s="405">
        <v>0</v>
      </c>
      <c r="BL60" s="405">
        <v>0</v>
      </c>
      <c r="BM60" s="405">
        <v>0</v>
      </c>
      <c r="BN60" s="405">
        <v>0</v>
      </c>
      <c r="BO60" s="405">
        <v>0</v>
      </c>
      <c r="BP60" s="405">
        <v>0</v>
      </c>
      <c r="BQ60" s="405">
        <v>0</v>
      </c>
      <c r="BR60" s="405">
        <v>0</v>
      </c>
      <c r="BS60" s="405">
        <v>0</v>
      </c>
      <c r="BT60" s="405">
        <v>160524</v>
      </c>
      <c r="BU60" s="405">
        <v>0</v>
      </c>
      <c r="BV60" s="405">
        <v>0</v>
      </c>
      <c r="BW60" s="405">
        <v>0</v>
      </c>
      <c r="BX60" s="405">
        <v>0</v>
      </c>
      <c r="BY60" s="405">
        <v>0</v>
      </c>
      <c r="BZ60" s="405">
        <v>0</v>
      </c>
      <c r="CA60" s="405">
        <v>0</v>
      </c>
      <c r="CB60" s="405">
        <v>0</v>
      </c>
      <c r="CC60" s="405">
        <v>0</v>
      </c>
      <c r="CD60" s="405">
        <v>0</v>
      </c>
      <c r="CE60" s="405">
        <v>0</v>
      </c>
      <c r="CF60" s="405">
        <v>0</v>
      </c>
    </row>
    <row r="61" spans="1:84" s="405" customFormat="1" x14ac:dyDescent="0.3">
      <c r="A61" s="405">
        <v>101</v>
      </c>
      <c r="B61" s="406">
        <v>101</v>
      </c>
      <c r="C61" s="405">
        <v>101</v>
      </c>
      <c r="D61" s="405" t="s">
        <v>250</v>
      </c>
      <c r="E61" s="405" t="s">
        <v>365</v>
      </c>
      <c r="F61" s="405">
        <v>0</v>
      </c>
      <c r="G61" s="405">
        <v>0</v>
      </c>
      <c r="H61" s="405">
        <v>0</v>
      </c>
      <c r="I61" s="405">
        <v>0</v>
      </c>
      <c r="J61" s="405">
        <v>0</v>
      </c>
      <c r="K61" s="405">
        <v>0</v>
      </c>
      <c r="L61" s="405">
        <v>0</v>
      </c>
      <c r="M61" s="405">
        <v>0</v>
      </c>
      <c r="N61" s="405">
        <v>7768</v>
      </c>
      <c r="O61" s="405">
        <v>0</v>
      </c>
      <c r="P61" s="405">
        <v>0</v>
      </c>
      <c r="Q61" s="405">
        <v>0</v>
      </c>
      <c r="R61" s="405">
        <v>0</v>
      </c>
      <c r="S61" s="405">
        <v>574714</v>
      </c>
      <c r="T61" s="405">
        <v>0</v>
      </c>
      <c r="U61" s="405">
        <v>0</v>
      </c>
      <c r="V61" s="405">
        <v>0</v>
      </c>
      <c r="W61" s="405">
        <v>0</v>
      </c>
      <c r="X61" s="405">
        <v>0</v>
      </c>
      <c r="Y61" s="405">
        <v>0</v>
      </c>
      <c r="Z61" s="405">
        <v>0</v>
      </c>
      <c r="AA61" s="405">
        <v>0</v>
      </c>
      <c r="AB61" s="405">
        <v>0</v>
      </c>
      <c r="AC61" s="405">
        <v>0</v>
      </c>
      <c r="AD61" s="405">
        <v>0</v>
      </c>
      <c r="AE61" s="405">
        <v>0</v>
      </c>
      <c r="AF61" s="405">
        <v>0</v>
      </c>
      <c r="AG61" s="405">
        <v>0</v>
      </c>
      <c r="AH61" s="405">
        <v>3070878</v>
      </c>
      <c r="AI61" s="405">
        <v>0</v>
      </c>
      <c r="AJ61" s="405">
        <v>0</v>
      </c>
      <c r="AK61" s="405">
        <v>0</v>
      </c>
      <c r="AL61" s="405">
        <v>0</v>
      </c>
      <c r="AM61" s="405">
        <v>0</v>
      </c>
      <c r="AN61" s="405">
        <v>0</v>
      </c>
      <c r="AO61" s="405">
        <v>0</v>
      </c>
      <c r="AP61" s="405">
        <v>0</v>
      </c>
      <c r="AQ61" s="405">
        <v>0</v>
      </c>
      <c r="AR61" s="405">
        <v>228959</v>
      </c>
      <c r="AS61" s="405">
        <v>0</v>
      </c>
      <c r="AT61" s="405">
        <v>0</v>
      </c>
      <c r="AU61" s="405">
        <v>0</v>
      </c>
      <c r="AV61" s="405">
        <v>0</v>
      </c>
      <c r="AW61" s="405">
        <v>0</v>
      </c>
      <c r="AX61" s="405">
        <v>35010060</v>
      </c>
      <c r="AY61" s="405">
        <v>0</v>
      </c>
      <c r="AZ61" s="405">
        <v>0</v>
      </c>
      <c r="BA61" s="405">
        <v>0</v>
      </c>
      <c r="BB61" s="405">
        <v>0</v>
      </c>
      <c r="BC61" s="405">
        <v>0</v>
      </c>
      <c r="BD61" s="405">
        <v>0</v>
      </c>
      <c r="BE61" s="405">
        <v>0</v>
      </c>
      <c r="BF61" s="405">
        <v>0</v>
      </c>
      <c r="BG61" s="405">
        <v>0</v>
      </c>
      <c r="BH61" s="405">
        <v>0</v>
      </c>
      <c r="BI61" s="405">
        <v>0</v>
      </c>
      <c r="BJ61" s="405">
        <v>0</v>
      </c>
      <c r="BK61" s="405">
        <v>0</v>
      </c>
      <c r="BL61" s="405">
        <v>0</v>
      </c>
      <c r="BM61" s="405">
        <v>0</v>
      </c>
      <c r="BN61" s="405">
        <v>0</v>
      </c>
      <c r="BO61" s="405">
        <v>0</v>
      </c>
      <c r="BP61" s="405">
        <v>0</v>
      </c>
      <c r="BQ61" s="405">
        <v>0</v>
      </c>
      <c r="BR61" s="405">
        <v>7600165</v>
      </c>
      <c r="BS61" s="405">
        <v>0</v>
      </c>
      <c r="BT61" s="405">
        <v>310678</v>
      </c>
      <c r="BU61" s="405">
        <v>0</v>
      </c>
      <c r="BV61" s="405">
        <v>0</v>
      </c>
      <c r="BW61" s="405">
        <v>0</v>
      </c>
      <c r="BX61" s="405">
        <v>0</v>
      </c>
      <c r="BY61" s="405">
        <v>0</v>
      </c>
      <c r="BZ61" s="405">
        <v>0</v>
      </c>
      <c r="CA61" s="405">
        <v>0</v>
      </c>
      <c r="CB61" s="405">
        <v>0</v>
      </c>
      <c r="CC61" s="405">
        <v>0</v>
      </c>
      <c r="CD61" s="405">
        <v>0</v>
      </c>
      <c r="CE61" s="405">
        <v>0</v>
      </c>
      <c r="CF61" s="405">
        <v>2152370</v>
      </c>
    </row>
    <row r="62" spans="1:84" s="408" customFormat="1" x14ac:dyDescent="0.3">
      <c r="A62" s="405">
        <v>102</v>
      </c>
      <c r="B62" s="406">
        <v>102</v>
      </c>
      <c r="C62" s="408">
        <v>102</v>
      </c>
      <c r="D62" s="408" t="s">
        <v>269</v>
      </c>
      <c r="E62" s="408" t="s">
        <v>366</v>
      </c>
      <c r="F62" s="408">
        <v>96.4</v>
      </c>
      <c r="G62" s="408">
        <v>92.33</v>
      </c>
      <c r="H62" s="408">
        <v>98.62</v>
      </c>
      <c r="I62" s="408">
        <v>91.27</v>
      </c>
      <c r="J62" s="408">
        <v>96.11</v>
      </c>
      <c r="K62" s="408">
        <v>96.56</v>
      </c>
      <c r="L62" s="408">
        <v>99.77</v>
      </c>
      <c r="M62" s="408">
        <v>96.89</v>
      </c>
      <c r="N62" s="408">
        <v>95.45</v>
      </c>
      <c r="O62" s="408">
        <v>99.03</v>
      </c>
      <c r="P62" s="408">
        <v>99.94</v>
      </c>
      <c r="Q62" s="408">
        <v>99.16</v>
      </c>
      <c r="R62" s="408">
        <v>97.49</v>
      </c>
      <c r="S62" s="408">
        <v>99.05</v>
      </c>
      <c r="T62" s="408">
        <v>99.31</v>
      </c>
      <c r="U62" s="408">
        <v>97.24</v>
      </c>
      <c r="V62" s="408">
        <v>0</v>
      </c>
      <c r="W62" s="408">
        <v>98.6</v>
      </c>
      <c r="X62" s="408">
        <v>96.42</v>
      </c>
      <c r="Y62" s="408">
        <v>96.27</v>
      </c>
      <c r="Z62" s="408">
        <v>0</v>
      </c>
      <c r="AA62" s="408">
        <v>94.3</v>
      </c>
      <c r="AB62" s="408">
        <v>99.56</v>
      </c>
      <c r="AC62" s="408">
        <v>0</v>
      </c>
      <c r="AD62" s="408">
        <v>90.19</v>
      </c>
      <c r="AE62" s="408">
        <v>99.44</v>
      </c>
      <c r="AF62" s="408">
        <v>90.44</v>
      </c>
      <c r="AG62" s="408">
        <v>87.07</v>
      </c>
      <c r="AH62" s="408">
        <v>98.68</v>
      </c>
      <c r="AI62" s="408">
        <v>98.22</v>
      </c>
      <c r="AJ62" s="408">
        <v>93.53</v>
      </c>
      <c r="AK62" s="408">
        <v>99.2</v>
      </c>
      <c r="AL62" s="408">
        <v>98.18</v>
      </c>
      <c r="AM62" s="408">
        <v>98.92</v>
      </c>
      <c r="AN62" s="408">
        <v>0</v>
      </c>
      <c r="AO62" s="408">
        <v>99.26</v>
      </c>
      <c r="AP62" s="408">
        <v>97.65</v>
      </c>
      <c r="AQ62" s="408">
        <v>0</v>
      </c>
      <c r="AR62" s="408">
        <v>97.68</v>
      </c>
      <c r="AS62" s="408">
        <v>98.3</v>
      </c>
      <c r="AT62" s="408">
        <v>96.04</v>
      </c>
      <c r="AU62" s="408">
        <v>0</v>
      </c>
      <c r="AV62" s="408">
        <v>83.64</v>
      </c>
      <c r="AW62" s="408">
        <v>99.32</v>
      </c>
      <c r="AX62" s="408">
        <v>99.69</v>
      </c>
      <c r="AY62" s="408">
        <v>95.97</v>
      </c>
      <c r="AZ62" s="408">
        <v>97.91</v>
      </c>
      <c r="BA62" s="408">
        <v>97.92</v>
      </c>
      <c r="BB62" s="408">
        <v>99.15</v>
      </c>
      <c r="BC62" s="408">
        <v>0</v>
      </c>
      <c r="BD62" s="408">
        <v>94.05</v>
      </c>
      <c r="BE62" s="408">
        <v>98.29</v>
      </c>
      <c r="BF62" s="408">
        <v>95.54</v>
      </c>
      <c r="BG62" s="408">
        <v>97.74</v>
      </c>
      <c r="BH62" s="408">
        <v>99.37</v>
      </c>
      <c r="BI62" s="408">
        <v>82.25</v>
      </c>
      <c r="BJ62" s="408">
        <v>99.46</v>
      </c>
      <c r="BK62" s="408">
        <v>98.13</v>
      </c>
      <c r="BL62" s="408">
        <v>98.02</v>
      </c>
      <c r="BM62" s="408">
        <v>0</v>
      </c>
      <c r="BN62" s="408">
        <v>95.34</v>
      </c>
      <c r="BO62" s="408">
        <v>98.55</v>
      </c>
      <c r="BP62" s="408">
        <v>0</v>
      </c>
      <c r="BQ62" s="408">
        <v>98.6</v>
      </c>
      <c r="BR62" s="408">
        <v>98.97</v>
      </c>
      <c r="BS62" s="408">
        <v>94.91</v>
      </c>
      <c r="BT62" s="408">
        <v>99.31</v>
      </c>
      <c r="BU62" s="408">
        <v>99.13</v>
      </c>
      <c r="BV62" s="408">
        <v>99.09</v>
      </c>
      <c r="BW62" s="408">
        <v>92.3</v>
      </c>
      <c r="BX62" s="408">
        <v>67.66</v>
      </c>
      <c r="BY62" s="408">
        <v>98.74</v>
      </c>
      <c r="BZ62" s="408">
        <v>99.2</v>
      </c>
      <c r="CA62" s="408">
        <v>99.72</v>
      </c>
      <c r="CB62" s="408">
        <v>0</v>
      </c>
      <c r="CC62" s="408">
        <v>98.94</v>
      </c>
      <c r="CD62" s="408">
        <v>94.19</v>
      </c>
      <c r="CE62" s="408">
        <v>95.79</v>
      </c>
      <c r="CF62" s="408">
        <v>99.2</v>
      </c>
    </row>
    <row r="63" spans="1:84" s="408" customFormat="1" x14ac:dyDescent="0.3">
      <c r="A63" s="405">
        <v>103</v>
      </c>
      <c r="B63" s="406">
        <v>103</v>
      </c>
      <c r="C63" s="408">
        <v>103</v>
      </c>
      <c r="D63" s="408" t="s">
        <v>270</v>
      </c>
      <c r="E63" s="408" t="s">
        <v>367</v>
      </c>
      <c r="F63" s="408">
        <v>100</v>
      </c>
      <c r="G63" s="408">
        <v>100</v>
      </c>
      <c r="H63" s="408">
        <v>100</v>
      </c>
      <c r="I63" s="408">
        <v>100</v>
      </c>
      <c r="J63" s="408">
        <v>100</v>
      </c>
      <c r="K63" s="408">
        <v>99.55</v>
      </c>
      <c r="L63" s="408">
        <v>100</v>
      </c>
      <c r="M63" s="408">
        <v>100</v>
      </c>
      <c r="N63" s="408">
        <v>100</v>
      </c>
      <c r="O63" s="408">
        <v>99.41</v>
      </c>
      <c r="P63" s="408">
        <v>100</v>
      </c>
      <c r="Q63" s="408">
        <v>99.52</v>
      </c>
      <c r="R63" s="408">
        <v>100</v>
      </c>
      <c r="S63" s="408">
        <v>100</v>
      </c>
      <c r="T63" s="408">
        <v>100</v>
      </c>
      <c r="U63" s="408">
        <v>100</v>
      </c>
      <c r="V63" s="408">
        <v>0</v>
      </c>
      <c r="W63" s="408">
        <v>100</v>
      </c>
      <c r="X63" s="408">
        <v>100</v>
      </c>
      <c r="Y63" s="408">
        <v>100</v>
      </c>
      <c r="Z63" s="408">
        <v>0</v>
      </c>
      <c r="AA63" s="408">
        <v>100</v>
      </c>
      <c r="AB63" s="408">
        <v>100</v>
      </c>
      <c r="AC63" s="408">
        <v>0</v>
      </c>
      <c r="AD63" s="408">
        <v>100</v>
      </c>
      <c r="AE63" s="408">
        <v>100</v>
      </c>
      <c r="AF63" s="408">
        <v>100</v>
      </c>
      <c r="AG63" s="408">
        <v>100</v>
      </c>
      <c r="AH63" s="408">
        <v>99.1</v>
      </c>
      <c r="AI63" s="408">
        <v>100</v>
      </c>
      <c r="AJ63" s="408">
        <v>100</v>
      </c>
      <c r="AK63" s="408">
        <v>100</v>
      </c>
      <c r="AL63" s="408">
        <v>100</v>
      </c>
      <c r="AM63" s="408">
        <v>100</v>
      </c>
      <c r="AN63" s="408">
        <v>0</v>
      </c>
      <c r="AO63" s="408">
        <v>100</v>
      </c>
      <c r="AP63" s="408">
        <v>99.4</v>
      </c>
      <c r="AQ63" s="408">
        <v>0</v>
      </c>
      <c r="AR63" s="408">
        <v>100</v>
      </c>
      <c r="AS63" s="408">
        <v>100</v>
      </c>
      <c r="AT63" s="408">
        <v>100</v>
      </c>
      <c r="AU63" s="408">
        <v>0</v>
      </c>
      <c r="AV63" s="408">
        <v>100</v>
      </c>
      <c r="AW63" s="408">
        <v>99.69</v>
      </c>
      <c r="AX63" s="408">
        <v>100</v>
      </c>
      <c r="AY63" s="408">
        <v>100</v>
      </c>
      <c r="AZ63" s="408">
        <v>100</v>
      </c>
      <c r="BA63" s="408">
        <v>100</v>
      </c>
      <c r="BB63" s="408">
        <v>100</v>
      </c>
      <c r="BC63" s="408">
        <v>0</v>
      </c>
      <c r="BD63" s="408">
        <v>100</v>
      </c>
      <c r="BE63" s="408">
        <v>100</v>
      </c>
      <c r="BF63" s="408">
        <v>100</v>
      </c>
      <c r="BG63" s="408">
        <v>100</v>
      </c>
      <c r="BH63" s="408">
        <v>100</v>
      </c>
      <c r="BI63" s="408">
        <v>100</v>
      </c>
      <c r="BJ63" s="408">
        <v>100</v>
      </c>
      <c r="BK63" s="408">
        <v>99.51</v>
      </c>
      <c r="BL63" s="408">
        <v>100</v>
      </c>
      <c r="BM63" s="408">
        <v>0</v>
      </c>
      <c r="BN63" s="408">
        <v>100</v>
      </c>
      <c r="BO63" s="408">
        <v>99.11</v>
      </c>
      <c r="BP63" s="408">
        <v>0</v>
      </c>
      <c r="BQ63" s="408">
        <v>100</v>
      </c>
      <c r="BR63" s="408">
        <v>99.86</v>
      </c>
      <c r="BS63" s="408">
        <v>100</v>
      </c>
      <c r="BT63" s="408">
        <v>100</v>
      </c>
      <c r="BU63" s="408">
        <v>100</v>
      </c>
      <c r="BV63" s="408">
        <v>100</v>
      </c>
      <c r="BW63" s="408">
        <v>100</v>
      </c>
      <c r="BX63" s="408">
        <v>100</v>
      </c>
      <c r="BY63" s="408">
        <v>100</v>
      </c>
      <c r="BZ63" s="408">
        <v>100</v>
      </c>
      <c r="CA63" s="408">
        <v>99.28</v>
      </c>
      <c r="CB63" s="408">
        <v>0</v>
      </c>
      <c r="CC63" s="408">
        <v>99.43</v>
      </c>
      <c r="CD63" s="408">
        <v>100</v>
      </c>
      <c r="CE63" s="408">
        <v>100</v>
      </c>
      <c r="CF63" s="408">
        <v>100</v>
      </c>
    </row>
    <row r="64" spans="1:84" s="405" customFormat="1" x14ac:dyDescent="0.3">
      <c r="A64" s="405">
        <v>104</v>
      </c>
      <c r="B64" s="406"/>
      <c r="C64" s="405">
        <v>104</v>
      </c>
      <c r="D64" s="405" t="s">
        <v>368</v>
      </c>
      <c r="E64" s="405" t="s">
        <v>369</v>
      </c>
    </row>
    <row r="65" spans="1:84" s="405" customFormat="1" x14ac:dyDescent="0.3">
      <c r="A65" s="405">
        <v>107</v>
      </c>
      <c r="B65" s="406"/>
      <c r="C65" s="405">
        <v>107</v>
      </c>
      <c r="D65" s="405" t="s">
        <v>632</v>
      </c>
      <c r="E65" s="405" t="s">
        <v>370</v>
      </c>
    </row>
    <row r="66" spans="1:84" s="405" customFormat="1" x14ac:dyDescent="0.3">
      <c r="A66" s="405">
        <v>108</v>
      </c>
      <c r="B66" s="406"/>
      <c r="C66" s="405">
        <v>108</v>
      </c>
      <c r="D66" s="405" t="s">
        <v>633</v>
      </c>
      <c r="E66" s="405" t="s">
        <v>371</v>
      </c>
    </row>
    <row r="67" spans="1:84" s="405" customFormat="1" x14ac:dyDescent="0.3">
      <c r="A67" s="405">
        <v>147</v>
      </c>
      <c r="B67" s="406"/>
      <c r="C67" s="405">
        <v>147</v>
      </c>
      <c r="D67" s="405" t="s">
        <v>372</v>
      </c>
      <c r="E67" s="405" t="s">
        <v>373</v>
      </c>
    </row>
    <row r="68" spans="1:84" s="405" customFormat="1" x14ac:dyDescent="0.3">
      <c r="A68" s="405">
        <v>148</v>
      </c>
      <c r="B68" s="406"/>
      <c r="C68" s="405">
        <v>148</v>
      </c>
      <c r="D68" s="405" t="s">
        <v>374</v>
      </c>
      <c r="E68" s="405" t="s">
        <v>375</v>
      </c>
    </row>
    <row r="69" spans="1:84" s="405" customFormat="1" x14ac:dyDescent="0.3">
      <c r="A69" s="405">
        <v>149</v>
      </c>
      <c r="B69" s="406"/>
      <c r="C69" s="405">
        <v>149</v>
      </c>
      <c r="D69" s="405" t="s">
        <v>376</v>
      </c>
      <c r="E69" s="405" t="s">
        <v>377</v>
      </c>
    </row>
    <row r="70" spans="1:84" s="405" customFormat="1" x14ac:dyDescent="0.3">
      <c r="A70" s="405">
        <v>150</v>
      </c>
      <c r="B70" s="406"/>
      <c r="C70" s="405">
        <v>150</v>
      </c>
      <c r="D70" s="405" t="s">
        <v>378</v>
      </c>
      <c r="E70" s="405" t="s">
        <v>379</v>
      </c>
    </row>
    <row r="71" spans="1:84" s="405" customFormat="1" x14ac:dyDescent="0.3">
      <c r="A71" s="405">
        <v>171</v>
      </c>
      <c r="B71" s="406">
        <v>171</v>
      </c>
      <c r="C71" s="405">
        <v>171</v>
      </c>
      <c r="D71" s="405" t="s">
        <v>217</v>
      </c>
      <c r="E71" s="405" t="s">
        <v>380</v>
      </c>
      <c r="F71" s="405">
        <v>0</v>
      </c>
      <c r="G71" s="405">
        <v>29255</v>
      </c>
      <c r="H71" s="405">
        <v>63400</v>
      </c>
      <c r="I71" s="405">
        <v>0</v>
      </c>
      <c r="J71" s="405">
        <v>40615</v>
      </c>
      <c r="K71" s="405">
        <v>0</v>
      </c>
      <c r="L71" s="405">
        <v>0</v>
      </c>
      <c r="M71" s="405">
        <v>0</v>
      </c>
      <c r="N71" s="405">
        <v>80022</v>
      </c>
      <c r="O71" s="405">
        <v>11967152</v>
      </c>
      <c r="P71" s="405">
        <v>0</v>
      </c>
      <c r="Q71" s="405">
        <v>571376</v>
      </c>
      <c r="R71" s="405">
        <v>0</v>
      </c>
      <c r="S71" s="405">
        <v>189862</v>
      </c>
      <c r="T71" s="405">
        <v>0</v>
      </c>
      <c r="U71" s="405">
        <v>14778</v>
      </c>
      <c r="V71" s="405">
        <v>0</v>
      </c>
      <c r="W71" s="405">
        <v>23099</v>
      </c>
      <c r="X71" s="405">
        <v>265461</v>
      </c>
      <c r="Y71" s="405">
        <v>117298</v>
      </c>
      <c r="Z71" s="405">
        <v>0</v>
      </c>
      <c r="AA71" s="405">
        <v>25635</v>
      </c>
      <c r="AB71" s="405">
        <v>4078735</v>
      </c>
      <c r="AC71" s="405">
        <v>0</v>
      </c>
      <c r="AD71" s="405">
        <v>17937</v>
      </c>
      <c r="AE71" s="405">
        <v>8718649</v>
      </c>
      <c r="AF71" s="405">
        <v>117142</v>
      </c>
      <c r="AG71" s="405">
        <v>15270</v>
      </c>
      <c r="AH71" s="405">
        <v>13911172</v>
      </c>
      <c r="AI71" s="405">
        <v>0</v>
      </c>
      <c r="AJ71" s="405">
        <v>0</v>
      </c>
      <c r="AK71" s="405">
        <v>222656</v>
      </c>
      <c r="AL71" s="405">
        <v>0</v>
      </c>
      <c r="AM71" s="405">
        <v>0</v>
      </c>
      <c r="AN71" s="405">
        <v>0</v>
      </c>
      <c r="AO71" s="405">
        <v>0</v>
      </c>
      <c r="AP71" s="405">
        <v>0</v>
      </c>
      <c r="AQ71" s="405">
        <v>0</v>
      </c>
      <c r="AR71" s="405">
        <v>86622</v>
      </c>
      <c r="AS71" s="405">
        <v>55618</v>
      </c>
      <c r="AT71" s="405">
        <v>0</v>
      </c>
      <c r="AU71" s="405">
        <v>0</v>
      </c>
      <c r="AV71" s="405">
        <v>0</v>
      </c>
      <c r="AW71" s="405">
        <v>37047387</v>
      </c>
      <c r="AX71" s="405">
        <v>5424996</v>
      </c>
      <c r="AY71" s="405">
        <v>124020</v>
      </c>
      <c r="AZ71" s="405">
        <v>0</v>
      </c>
      <c r="BA71" s="405">
        <v>1701</v>
      </c>
      <c r="BB71" s="405">
        <v>0</v>
      </c>
      <c r="BC71" s="405">
        <v>0</v>
      </c>
      <c r="BD71" s="405">
        <v>113614</v>
      </c>
      <c r="BE71" s="405">
        <v>0</v>
      </c>
      <c r="BF71" s="405">
        <v>0</v>
      </c>
      <c r="BG71" s="405">
        <v>0</v>
      </c>
      <c r="BH71" s="405">
        <v>1080107</v>
      </c>
      <c r="BI71" s="405">
        <v>0</v>
      </c>
      <c r="BJ71" s="405">
        <v>341289</v>
      </c>
      <c r="BK71" s="405">
        <v>54078</v>
      </c>
      <c r="BL71" s="405">
        <v>0</v>
      </c>
      <c r="BM71" s="405">
        <v>0</v>
      </c>
      <c r="BN71" s="405">
        <v>391802</v>
      </c>
      <c r="BO71" s="405">
        <v>1107972</v>
      </c>
      <c r="BP71" s="405">
        <v>0</v>
      </c>
      <c r="BQ71" s="405">
        <v>2059528</v>
      </c>
      <c r="BR71" s="405">
        <v>10903364</v>
      </c>
      <c r="BS71" s="405">
        <v>130624</v>
      </c>
      <c r="BT71" s="405">
        <v>64364</v>
      </c>
      <c r="BU71" s="405">
        <v>0</v>
      </c>
      <c r="BV71" s="405">
        <v>967363</v>
      </c>
      <c r="BW71" s="405">
        <v>3148</v>
      </c>
      <c r="BX71" s="405">
        <v>0</v>
      </c>
      <c r="BY71" s="405">
        <v>1656780</v>
      </c>
      <c r="BZ71" s="405">
        <v>423324</v>
      </c>
      <c r="CA71" s="405">
        <v>4368635</v>
      </c>
      <c r="CB71" s="405">
        <v>0</v>
      </c>
      <c r="CC71" s="405">
        <v>1067355</v>
      </c>
      <c r="CD71" s="405">
        <v>34121</v>
      </c>
      <c r="CE71" s="405">
        <v>71259</v>
      </c>
      <c r="CF71" s="405">
        <v>4281024</v>
      </c>
    </row>
    <row r="72" spans="1:84" s="405" customFormat="1" x14ac:dyDescent="0.3">
      <c r="A72" s="405">
        <v>191</v>
      </c>
      <c r="B72" s="406">
        <v>191</v>
      </c>
      <c r="C72" s="405">
        <v>191</v>
      </c>
      <c r="D72" s="405" t="s">
        <v>233</v>
      </c>
      <c r="E72" s="405" t="s">
        <v>381</v>
      </c>
      <c r="F72" s="405">
        <v>984596</v>
      </c>
      <c r="G72" s="405">
        <v>88500</v>
      </c>
      <c r="H72" s="405">
        <v>0</v>
      </c>
      <c r="I72" s="405">
        <v>353702</v>
      </c>
      <c r="J72" s="405">
        <v>0</v>
      </c>
      <c r="K72" s="405">
        <v>0</v>
      </c>
      <c r="L72" s="405">
        <v>0</v>
      </c>
      <c r="M72" s="405">
        <v>0</v>
      </c>
      <c r="N72" s="405">
        <v>2446067</v>
      </c>
      <c r="O72" s="405">
        <v>0</v>
      </c>
      <c r="P72" s="405">
        <v>0</v>
      </c>
      <c r="Q72" s="405">
        <v>0</v>
      </c>
      <c r="R72" s="405">
        <v>74052</v>
      </c>
      <c r="S72" s="405">
        <v>0</v>
      </c>
      <c r="T72" s="405">
        <v>0</v>
      </c>
      <c r="U72" s="405">
        <v>1292128</v>
      </c>
      <c r="V72" s="405">
        <v>0</v>
      </c>
      <c r="W72" s="405">
        <v>0</v>
      </c>
      <c r="X72" s="405">
        <v>0</v>
      </c>
      <c r="Y72" s="405">
        <v>0</v>
      </c>
      <c r="Z72" s="405">
        <v>0</v>
      </c>
      <c r="AA72" s="405">
        <v>859701</v>
      </c>
      <c r="AB72" s="405">
        <v>11146672</v>
      </c>
      <c r="AC72" s="405">
        <v>0</v>
      </c>
      <c r="AD72" s="405">
        <v>422411</v>
      </c>
      <c r="AE72" s="405">
        <v>0</v>
      </c>
      <c r="AF72" s="405">
        <v>0</v>
      </c>
      <c r="AG72" s="405">
        <v>0</v>
      </c>
      <c r="AH72" s="405">
        <v>4169559</v>
      </c>
      <c r="AI72" s="405">
        <v>0</v>
      </c>
      <c r="AJ72" s="405">
        <v>0</v>
      </c>
      <c r="AK72" s="405">
        <v>0</v>
      </c>
      <c r="AL72" s="405">
        <v>0</v>
      </c>
      <c r="AM72" s="405">
        <v>0</v>
      </c>
      <c r="AN72" s="405">
        <v>0</v>
      </c>
      <c r="AO72" s="405">
        <v>0</v>
      </c>
      <c r="AP72" s="405">
        <v>68194</v>
      </c>
      <c r="AQ72" s="405">
        <v>0</v>
      </c>
      <c r="AR72" s="405">
        <v>0</v>
      </c>
      <c r="AS72" s="405">
        <v>0</v>
      </c>
      <c r="AT72" s="405">
        <v>0</v>
      </c>
      <c r="AU72" s="405">
        <v>0</v>
      </c>
      <c r="AV72" s="405">
        <v>454450</v>
      </c>
      <c r="AW72" s="405">
        <v>3856656</v>
      </c>
      <c r="AX72" s="405">
        <v>5528276</v>
      </c>
      <c r="AY72" s="405">
        <v>0</v>
      </c>
      <c r="AZ72" s="405">
        <v>0</v>
      </c>
      <c r="BA72" s="405">
        <v>0</v>
      </c>
      <c r="BB72" s="405">
        <v>0</v>
      </c>
      <c r="BC72" s="405">
        <v>0</v>
      </c>
      <c r="BD72" s="405">
        <v>0</v>
      </c>
      <c r="BE72" s="405">
        <v>0</v>
      </c>
      <c r="BF72" s="405">
        <v>0</v>
      </c>
      <c r="BG72" s="405">
        <v>0</v>
      </c>
      <c r="BH72" s="405">
        <v>0</v>
      </c>
      <c r="BI72" s="405">
        <v>0</v>
      </c>
      <c r="BJ72" s="405">
        <v>0</v>
      </c>
      <c r="BK72" s="405">
        <v>0</v>
      </c>
      <c r="BL72" s="405">
        <v>0</v>
      </c>
      <c r="BM72" s="405">
        <v>0</v>
      </c>
      <c r="BN72" s="405">
        <v>1015</v>
      </c>
      <c r="BO72" s="405">
        <v>2876942</v>
      </c>
      <c r="BP72" s="405">
        <v>0</v>
      </c>
      <c r="BQ72" s="405">
        <v>421258</v>
      </c>
      <c r="BR72" s="405">
        <v>2174084</v>
      </c>
      <c r="BS72" s="405">
        <v>0</v>
      </c>
      <c r="BT72" s="405">
        <v>150000</v>
      </c>
      <c r="BU72" s="405">
        <v>0</v>
      </c>
      <c r="BV72" s="405">
        <v>539500</v>
      </c>
      <c r="BW72" s="405">
        <v>0</v>
      </c>
      <c r="BX72" s="405">
        <v>860467</v>
      </c>
      <c r="BY72" s="405">
        <v>0</v>
      </c>
      <c r="BZ72" s="405">
        <v>0</v>
      </c>
      <c r="CA72" s="405">
        <v>2512518</v>
      </c>
      <c r="CB72" s="405">
        <v>0</v>
      </c>
      <c r="CC72" s="405">
        <v>0</v>
      </c>
      <c r="CD72" s="405">
        <v>0</v>
      </c>
      <c r="CE72" s="405">
        <v>0</v>
      </c>
      <c r="CF72" s="405">
        <v>0</v>
      </c>
    </row>
    <row r="73" spans="1:84" s="405" customFormat="1" x14ac:dyDescent="0.3">
      <c r="A73" s="405">
        <v>192</v>
      </c>
      <c r="B73" s="406">
        <v>192</v>
      </c>
      <c r="C73" s="405">
        <v>192</v>
      </c>
      <c r="D73" s="405" t="s">
        <v>244</v>
      </c>
      <c r="E73" s="405" t="s">
        <v>382</v>
      </c>
      <c r="F73" s="405">
        <v>0</v>
      </c>
      <c r="G73" s="405">
        <v>0</v>
      </c>
      <c r="H73" s="405">
        <v>0</v>
      </c>
      <c r="I73" s="405">
        <v>0</v>
      </c>
      <c r="J73" s="405">
        <v>0</v>
      </c>
      <c r="K73" s="405">
        <v>0</v>
      </c>
      <c r="L73" s="405">
        <v>0</v>
      </c>
      <c r="M73" s="405">
        <v>0</v>
      </c>
      <c r="N73" s="405">
        <v>0</v>
      </c>
      <c r="O73" s="405">
        <v>0</v>
      </c>
      <c r="P73" s="405">
        <v>0</v>
      </c>
      <c r="Q73" s="405">
        <v>0</v>
      </c>
      <c r="R73" s="405">
        <v>0</v>
      </c>
      <c r="S73" s="405">
        <v>0</v>
      </c>
      <c r="T73" s="405">
        <v>0</v>
      </c>
      <c r="U73" s="405">
        <v>0</v>
      </c>
      <c r="V73" s="405">
        <v>0</v>
      </c>
      <c r="W73" s="405">
        <v>0</v>
      </c>
      <c r="X73" s="405">
        <v>0</v>
      </c>
      <c r="Y73" s="405">
        <v>0</v>
      </c>
      <c r="Z73" s="405">
        <v>0</v>
      </c>
      <c r="AA73" s="405">
        <v>0</v>
      </c>
      <c r="AB73" s="405">
        <v>0</v>
      </c>
      <c r="AC73" s="405">
        <v>0</v>
      </c>
      <c r="AD73" s="405">
        <v>0</v>
      </c>
      <c r="AE73" s="405">
        <v>0</v>
      </c>
      <c r="AF73" s="405">
        <v>0</v>
      </c>
      <c r="AG73" s="405">
        <v>0</v>
      </c>
      <c r="AH73" s="405">
        <v>89195</v>
      </c>
      <c r="AI73" s="405">
        <v>0</v>
      </c>
      <c r="AJ73" s="405">
        <v>0</v>
      </c>
      <c r="AK73" s="405">
        <v>0</v>
      </c>
      <c r="AL73" s="405">
        <v>0</v>
      </c>
      <c r="AM73" s="405">
        <v>0</v>
      </c>
      <c r="AN73" s="405">
        <v>0</v>
      </c>
      <c r="AO73" s="405">
        <v>0</v>
      </c>
      <c r="AP73" s="405">
        <v>0</v>
      </c>
      <c r="AQ73" s="405">
        <v>0</v>
      </c>
      <c r="AR73" s="405">
        <v>0</v>
      </c>
      <c r="AS73" s="405">
        <v>0</v>
      </c>
      <c r="AT73" s="405">
        <v>0</v>
      </c>
      <c r="AU73" s="405">
        <v>0</v>
      </c>
      <c r="AV73" s="405">
        <v>0</v>
      </c>
      <c r="AW73" s="405">
        <v>0</v>
      </c>
      <c r="AX73" s="405">
        <v>0</v>
      </c>
      <c r="AY73" s="405">
        <v>0</v>
      </c>
      <c r="AZ73" s="405">
        <v>0</v>
      </c>
      <c r="BA73" s="405">
        <v>0</v>
      </c>
      <c r="BB73" s="405">
        <v>0</v>
      </c>
      <c r="BC73" s="405">
        <v>0</v>
      </c>
      <c r="BD73" s="405">
        <v>0</v>
      </c>
      <c r="BE73" s="405">
        <v>0</v>
      </c>
      <c r="BF73" s="405">
        <v>0</v>
      </c>
      <c r="BG73" s="405">
        <v>0</v>
      </c>
      <c r="BH73" s="405">
        <v>0</v>
      </c>
      <c r="BI73" s="405">
        <v>0</v>
      </c>
      <c r="BJ73" s="405">
        <v>0</v>
      </c>
      <c r="BK73" s="405">
        <v>0</v>
      </c>
      <c r="BL73" s="405">
        <v>0</v>
      </c>
      <c r="BM73" s="405">
        <v>0</v>
      </c>
      <c r="BN73" s="405">
        <v>0</v>
      </c>
      <c r="BO73" s="405">
        <v>0</v>
      </c>
      <c r="BP73" s="405">
        <v>0</v>
      </c>
      <c r="BQ73" s="405">
        <v>0</v>
      </c>
      <c r="BR73" s="405">
        <v>0</v>
      </c>
      <c r="BS73" s="405">
        <v>0</v>
      </c>
      <c r="BT73" s="405">
        <v>0</v>
      </c>
      <c r="BU73" s="405">
        <v>0</v>
      </c>
      <c r="BV73" s="405">
        <v>0</v>
      </c>
      <c r="BW73" s="405">
        <v>0</v>
      </c>
      <c r="BX73" s="405">
        <v>0</v>
      </c>
      <c r="BY73" s="405">
        <v>0</v>
      </c>
      <c r="BZ73" s="405">
        <v>0</v>
      </c>
      <c r="CA73" s="405">
        <v>0</v>
      </c>
      <c r="CB73" s="405">
        <v>0</v>
      </c>
      <c r="CC73" s="405">
        <v>0</v>
      </c>
      <c r="CD73" s="405">
        <v>0</v>
      </c>
      <c r="CE73" s="405">
        <v>0</v>
      </c>
      <c r="CF73" s="405">
        <v>0</v>
      </c>
    </row>
    <row r="74" spans="1:84" s="405" customFormat="1" x14ac:dyDescent="0.3">
      <c r="A74" s="405">
        <v>193</v>
      </c>
      <c r="B74" s="406"/>
      <c r="C74" s="405">
        <v>193</v>
      </c>
      <c r="D74" s="405" t="s">
        <v>383</v>
      </c>
      <c r="E74" s="405" t="s">
        <v>384</v>
      </c>
    </row>
    <row r="75" spans="1:84" s="405" customFormat="1" x14ac:dyDescent="0.3">
      <c r="A75" s="405">
        <v>194</v>
      </c>
      <c r="B75" s="406"/>
      <c r="C75" s="405">
        <v>194</v>
      </c>
      <c r="D75" s="405" t="s">
        <v>385</v>
      </c>
      <c r="E75" s="405" t="s">
        <v>386</v>
      </c>
    </row>
    <row r="76" spans="1:84" s="405" customFormat="1" x14ac:dyDescent="0.3">
      <c r="A76" s="405">
        <v>231</v>
      </c>
      <c r="B76" s="406"/>
      <c r="C76" s="405">
        <v>231</v>
      </c>
      <c r="D76" s="405" t="s">
        <v>387</v>
      </c>
      <c r="E76" s="405" t="s">
        <v>388</v>
      </c>
    </row>
    <row r="77" spans="1:84" s="405" customFormat="1" x14ac:dyDescent="0.3">
      <c r="A77" s="405">
        <v>251</v>
      </c>
      <c r="B77" s="406"/>
      <c r="C77" s="405">
        <v>251</v>
      </c>
      <c r="D77" s="405" t="s">
        <v>389</v>
      </c>
      <c r="E77" s="405" t="s">
        <v>390</v>
      </c>
    </row>
    <row r="78" spans="1:84" s="405" customFormat="1" x14ac:dyDescent="0.3">
      <c r="A78" s="405">
        <v>252</v>
      </c>
      <c r="B78" s="406">
        <v>252</v>
      </c>
      <c r="C78" s="405">
        <v>252</v>
      </c>
      <c r="D78" s="405" t="s">
        <v>103</v>
      </c>
      <c r="E78" s="405" t="s">
        <v>391</v>
      </c>
      <c r="F78" s="405">
        <v>1808975</v>
      </c>
      <c r="G78" s="405">
        <v>765951</v>
      </c>
      <c r="H78" s="405">
        <v>1388749</v>
      </c>
      <c r="I78" s="405">
        <v>640137</v>
      </c>
      <c r="J78" s="405">
        <v>352644</v>
      </c>
      <c r="K78" s="405">
        <v>550702</v>
      </c>
      <c r="L78" s="405">
        <v>72984</v>
      </c>
      <c r="M78" s="405">
        <v>58392</v>
      </c>
      <c r="N78" s="405">
        <v>5904998</v>
      </c>
      <c r="O78" s="405">
        <v>330863790</v>
      </c>
      <c r="P78" s="405">
        <v>4003784</v>
      </c>
      <c r="Q78" s="405">
        <v>12015062</v>
      </c>
      <c r="R78" s="405">
        <v>768868</v>
      </c>
      <c r="S78" s="405">
        <v>20486876</v>
      </c>
      <c r="T78" s="405">
        <v>185248</v>
      </c>
      <c r="U78" s="405">
        <v>283587</v>
      </c>
      <c r="V78" s="405">
        <v>0</v>
      </c>
      <c r="W78" s="405">
        <v>1330737</v>
      </c>
      <c r="X78" s="405">
        <v>5841673</v>
      </c>
      <c r="Y78" s="405">
        <v>1452065</v>
      </c>
      <c r="Z78" s="405">
        <v>0</v>
      </c>
      <c r="AA78" s="405">
        <v>580189</v>
      </c>
      <c r="AB78" s="405">
        <v>99556691</v>
      </c>
      <c r="AC78" s="405">
        <v>1789230</v>
      </c>
      <c r="AD78" s="405">
        <v>104234</v>
      </c>
      <c r="AE78" s="405">
        <v>65504868</v>
      </c>
      <c r="AF78" s="405">
        <v>286796</v>
      </c>
      <c r="AG78" s="405">
        <v>424390</v>
      </c>
      <c r="AH78" s="405">
        <v>128510185</v>
      </c>
      <c r="AI78" s="405">
        <v>219735</v>
      </c>
      <c r="AJ78" s="405">
        <v>236908</v>
      </c>
      <c r="AK78" s="405">
        <v>4102247</v>
      </c>
      <c r="AL78" s="405">
        <v>565987</v>
      </c>
      <c r="AM78" s="405">
        <v>709256</v>
      </c>
      <c r="AN78" s="405">
        <v>0</v>
      </c>
      <c r="AO78" s="405">
        <v>616571</v>
      </c>
      <c r="AP78" s="405">
        <v>18996346</v>
      </c>
      <c r="AQ78" s="405">
        <v>0</v>
      </c>
      <c r="AR78" s="405">
        <v>5989792</v>
      </c>
      <c r="AS78" s="405">
        <v>2673557</v>
      </c>
      <c r="AT78" s="405">
        <v>476667</v>
      </c>
      <c r="AU78" s="405">
        <v>0</v>
      </c>
      <c r="AV78" s="405">
        <v>179573</v>
      </c>
      <c r="AW78" s="405">
        <v>230444988</v>
      </c>
      <c r="AX78" s="405">
        <v>181844576</v>
      </c>
      <c r="AY78" s="405">
        <v>617734</v>
      </c>
      <c r="AZ78" s="405">
        <v>388519</v>
      </c>
      <c r="BA78" s="405">
        <v>204139</v>
      </c>
      <c r="BB78" s="405">
        <v>73429</v>
      </c>
      <c r="BC78" s="405">
        <v>0</v>
      </c>
      <c r="BD78" s="405">
        <v>8701437</v>
      </c>
      <c r="BE78" s="405">
        <v>678096</v>
      </c>
      <c r="BF78" s="405">
        <v>209284</v>
      </c>
      <c r="BG78" s="405">
        <v>24881</v>
      </c>
      <c r="BH78" s="405">
        <v>19869015</v>
      </c>
      <c r="BI78" s="405">
        <v>18399</v>
      </c>
      <c r="BJ78" s="405">
        <v>8273295</v>
      </c>
      <c r="BK78" s="405">
        <v>1683206</v>
      </c>
      <c r="BL78" s="405">
        <v>593822</v>
      </c>
      <c r="BM78" s="405">
        <v>208986</v>
      </c>
      <c r="BN78" s="405">
        <v>16766016</v>
      </c>
      <c r="BO78" s="405">
        <v>20335763</v>
      </c>
      <c r="BP78" s="405">
        <v>0</v>
      </c>
      <c r="BQ78" s="405">
        <v>64346936</v>
      </c>
      <c r="BR78" s="405">
        <v>165365977</v>
      </c>
      <c r="BS78" s="405">
        <v>908376</v>
      </c>
      <c r="BT78" s="405">
        <v>14755208</v>
      </c>
      <c r="BU78" s="405">
        <v>2892016</v>
      </c>
      <c r="BV78" s="405">
        <v>19779745</v>
      </c>
      <c r="BW78" s="405">
        <v>1239698</v>
      </c>
      <c r="BX78" s="405">
        <v>821586</v>
      </c>
      <c r="BY78" s="405">
        <v>5897681</v>
      </c>
      <c r="BZ78" s="405">
        <v>1353581</v>
      </c>
      <c r="CA78" s="405">
        <v>110427452</v>
      </c>
      <c r="CB78" s="405">
        <v>0</v>
      </c>
      <c r="CC78" s="405">
        <v>19051701</v>
      </c>
      <c r="CD78" s="405">
        <v>449224</v>
      </c>
      <c r="CE78" s="405">
        <v>4069945</v>
      </c>
      <c r="CF78" s="405">
        <v>77926213</v>
      </c>
    </row>
    <row r="79" spans="1:84" s="405" customFormat="1" x14ac:dyDescent="0.3">
      <c r="A79" s="405">
        <v>253</v>
      </c>
      <c r="B79" s="406">
        <v>253</v>
      </c>
      <c r="C79" s="405">
        <v>253</v>
      </c>
      <c r="D79" s="405" t="s">
        <v>104</v>
      </c>
      <c r="E79" s="405" t="s">
        <v>392</v>
      </c>
      <c r="F79" s="405">
        <v>1293962</v>
      </c>
      <c r="G79" s="405">
        <v>416591</v>
      </c>
      <c r="H79" s="405">
        <v>35679</v>
      </c>
      <c r="I79" s="405">
        <v>88286</v>
      </c>
      <c r="J79" s="405">
        <v>222447</v>
      </c>
      <c r="K79" s="405">
        <v>33744</v>
      </c>
      <c r="L79" s="405">
        <v>28948</v>
      </c>
      <c r="M79" s="405">
        <v>154483</v>
      </c>
      <c r="N79" s="405">
        <v>1158014</v>
      </c>
      <c r="O79" s="405">
        <v>63652049</v>
      </c>
      <c r="P79" s="405">
        <v>133010</v>
      </c>
      <c r="Q79" s="405">
        <v>1569567</v>
      </c>
      <c r="R79" s="405">
        <v>73719</v>
      </c>
      <c r="S79" s="405">
        <v>1599375</v>
      </c>
      <c r="T79" s="405">
        <v>8817</v>
      </c>
      <c r="U79" s="405">
        <v>53957</v>
      </c>
      <c r="V79" s="405">
        <v>0</v>
      </c>
      <c r="W79" s="405">
        <v>101042</v>
      </c>
      <c r="X79" s="405">
        <v>1070420</v>
      </c>
      <c r="Y79" s="405">
        <v>205199</v>
      </c>
      <c r="Z79" s="405">
        <v>0</v>
      </c>
      <c r="AA79" s="405">
        <v>215253</v>
      </c>
      <c r="AB79" s="405">
        <v>5170545</v>
      </c>
      <c r="AC79" s="405">
        <v>3266796</v>
      </c>
      <c r="AD79" s="405">
        <v>93278</v>
      </c>
      <c r="AE79" s="405">
        <v>4196004</v>
      </c>
      <c r="AF79" s="405">
        <v>132401</v>
      </c>
      <c r="AG79" s="405">
        <v>61981</v>
      </c>
      <c r="AH79" s="405">
        <v>31004837</v>
      </c>
      <c r="AI79" s="405">
        <v>237688</v>
      </c>
      <c r="AJ79" s="405">
        <v>57231</v>
      </c>
      <c r="AK79" s="405">
        <v>880777</v>
      </c>
      <c r="AL79" s="405">
        <v>138572</v>
      </c>
      <c r="AM79" s="405">
        <v>109954</v>
      </c>
      <c r="AN79" s="405">
        <v>0</v>
      </c>
      <c r="AO79" s="405">
        <v>80430</v>
      </c>
      <c r="AP79" s="405">
        <v>4370234</v>
      </c>
      <c r="AQ79" s="405">
        <v>1544</v>
      </c>
      <c r="AR79" s="405">
        <v>308068</v>
      </c>
      <c r="AS79" s="405">
        <v>472983</v>
      </c>
      <c r="AT79" s="405">
        <v>7465</v>
      </c>
      <c r="AU79" s="405">
        <v>0</v>
      </c>
      <c r="AV79" s="405">
        <v>105795</v>
      </c>
      <c r="AW79" s="405">
        <v>142759544</v>
      </c>
      <c r="AX79" s="405">
        <v>23482162</v>
      </c>
      <c r="AY79" s="405">
        <v>211871</v>
      </c>
      <c r="AZ79" s="405">
        <v>25153</v>
      </c>
      <c r="BA79" s="405">
        <v>99783</v>
      </c>
      <c r="BB79" s="405">
        <v>103657</v>
      </c>
      <c r="BC79" s="405">
        <v>0</v>
      </c>
      <c r="BD79" s="405">
        <v>644500</v>
      </c>
      <c r="BE79" s="405">
        <v>35270</v>
      </c>
      <c r="BF79" s="405">
        <v>54526</v>
      </c>
      <c r="BG79" s="405">
        <v>19337</v>
      </c>
      <c r="BH79" s="405">
        <v>4836603</v>
      </c>
      <c r="BI79" s="405">
        <v>15995</v>
      </c>
      <c r="BJ79" s="405">
        <v>4093540</v>
      </c>
      <c r="BK79" s="405">
        <v>1036069</v>
      </c>
      <c r="BL79" s="405">
        <v>87581</v>
      </c>
      <c r="BM79" s="405">
        <v>17562</v>
      </c>
      <c r="BN79" s="405">
        <v>3545676</v>
      </c>
      <c r="BO79" s="405">
        <v>3739753</v>
      </c>
      <c r="BP79" s="405">
        <v>0</v>
      </c>
      <c r="BQ79" s="405">
        <v>17368210</v>
      </c>
      <c r="BR79" s="405">
        <v>47789624</v>
      </c>
      <c r="BS79" s="405">
        <v>46849</v>
      </c>
      <c r="BT79" s="405">
        <v>2036093</v>
      </c>
      <c r="BU79" s="405">
        <v>114243</v>
      </c>
      <c r="BV79" s="405">
        <v>1851081</v>
      </c>
      <c r="BW79" s="405">
        <v>78525</v>
      </c>
      <c r="BX79" s="405">
        <v>183893</v>
      </c>
      <c r="BY79" s="405">
        <v>6312558</v>
      </c>
      <c r="BZ79" s="405">
        <v>299497</v>
      </c>
      <c r="CA79" s="405">
        <v>11426931</v>
      </c>
      <c r="CB79" s="405">
        <v>0</v>
      </c>
      <c r="CC79" s="405">
        <v>1899187</v>
      </c>
      <c r="CD79" s="405">
        <v>142838</v>
      </c>
      <c r="CE79" s="405">
        <v>348342</v>
      </c>
      <c r="CF79" s="405">
        <v>24680256</v>
      </c>
    </row>
    <row r="80" spans="1:84" s="405" customFormat="1" x14ac:dyDescent="0.3">
      <c r="A80" s="405">
        <v>254</v>
      </c>
      <c r="B80" s="406">
        <v>254</v>
      </c>
      <c r="C80" s="405">
        <v>254</v>
      </c>
      <c r="D80" s="405" t="s">
        <v>105</v>
      </c>
      <c r="E80" s="405" t="s">
        <v>393</v>
      </c>
      <c r="F80" s="405">
        <v>-516813</v>
      </c>
      <c r="G80" s="405">
        <v>-799505</v>
      </c>
      <c r="H80" s="405">
        <v>357544</v>
      </c>
      <c r="I80" s="405">
        <v>809762</v>
      </c>
      <c r="J80" s="405">
        <v>606314</v>
      </c>
      <c r="K80" s="405">
        <v>84957</v>
      </c>
      <c r="L80" s="405">
        <v>103183</v>
      </c>
      <c r="M80" s="405">
        <v>472558</v>
      </c>
      <c r="N80" s="405">
        <v>452319</v>
      </c>
      <c r="O80" s="405">
        <v>-847380</v>
      </c>
      <c r="P80" s="405">
        <v>2923296</v>
      </c>
      <c r="Q80" s="405">
        <v>2554983</v>
      </c>
      <c r="R80" s="405">
        <v>93426</v>
      </c>
      <c r="S80" s="405">
        <v>-8587875</v>
      </c>
      <c r="T80" s="405">
        <v>130438</v>
      </c>
      <c r="U80" s="405">
        <v>551633</v>
      </c>
      <c r="V80" s="405">
        <v>0</v>
      </c>
      <c r="W80" s="405">
        <v>1070804</v>
      </c>
      <c r="X80" s="405">
        <v>916860</v>
      </c>
      <c r="Y80" s="405">
        <v>207252</v>
      </c>
      <c r="Z80" s="405">
        <v>0</v>
      </c>
      <c r="AA80" s="405">
        <v>-330372</v>
      </c>
      <c r="AB80" s="405">
        <v>28172049</v>
      </c>
      <c r="AC80" s="405">
        <v>4111184</v>
      </c>
      <c r="AD80" s="405">
        <v>845179</v>
      </c>
      <c r="AE80" s="405">
        <v>538109</v>
      </c>
      <c r="AF80" s="405">
        <v>431963</v>
      </c>
      <c r="AG80" s="405">
        <v>400296</v>
      </c>
      <c r="AH80" s="405">
        <v>-61781371</v>
      </c>
      <c r="AI80" s="405">
        <v>689340</v>
      </c>
      <c r="AJ80" s="405">
        <v>231629</v>
      </c>
      <c r="AK80" s="405">
        <v>540823</v>
      </c>
      <c r="AL80" s="405">
        <v>701203</v>
      </c>
      <c r="AM80" s="405">
        <v>41821</v>
      </c>
      <c r="AN80" s="405">
        <v>0</v>
      </c>
      <c r="AO80" s="405">
        <v>601393</v>
      </c>
      <c r="AP80" s="405">
        <v>-3358231</v>
      </c>
      <c r="AQ80" s="405">
        <v>43656</v>
      </c>
      <c r="AR80" s="405">
        <v>2518170</v>
      </c>
      <c r="AS80" s="405">
        <v>1990139</v>
      </c>
      <c r="AT80" s="405">
        <v>221345</v>
      </c>
      <c r="AU80" s="405">
        <v>0</v>
      </c>
      <c r="AV80" s="405">
        <v>649959</v>
      </c>
      <c r="AW80" s="405">
        <v>-120205150</v>
      </c>
      <c r="AX80" s="405">
        <v>-12349289</v>
      </c>
      <c r="AY80" s="405">
        <v>658267</v>
      </c>
      <c r="AZ80" s="405">
        <v>209974</v>
      </c>
      <c r="BA80" s="405">
        <v>300921</v>
      </c>
      <c r="BB80" s="405">
        <v>94061</v>
      </c>
      <c r="BC80" s="405">
        <v>0</v>
      </c>
      <c r="BD80" s="405">
        <v>-4857644</v>
      </c>
      <c r="BE80" s="405">
        <v>1148882</v>
      </c>
      <c r="BF80" s="405">
        <v>208616</v>
      </c>
      <c r="BG80" s="405">
        <v>118548</v>
      </c>
      <c r="BH80" s="405">
        <v>7093636</v>
      </c>
      <c r="BI80" s="405">
        <v>75371</v>
      </c>
      <c r="BJ80" s="405">
        <v>6213288</v>
      </c>
      <c r="BK80" s="405">
        <v>-883472</v>
      </c>
      <c r="BL80" s="405">
        <v>526329</v>
      </c>
      <c r="BM80" s="405">
        <v>500234</v>
      </c>
      <c r="BN80" s="405">
        <v>-2849431</v>
      </c>
      <c r="BO80" s="405">
        <v>982519</v>
      </c>
      <c r="BP80" s="405">
        <v>0</v>
      </c>
      <c r="BQ80" s="405">
        <v>4273434</v>
      </c>
      <c r="BR80" s="405">
        <v>-27725226</v>
      </c>
      <c r="BS80" s="405">
        <v>201848</v>
      </c>
      <c r="BT80" s="405">
        <v>3135266</v>
      </c>
      <c r="BU80" s="405">
        <v>2743047</v>
      </c>
      <c r="BV80" s="405">
        <v>4589320</v>
      </c>
      <c r="BW80" s="405">
        <v>313172</v>
      </c>
      <c r="BX80" s="405">
        <v>776131</v>
      </c>
      <c r="BY80" s="405">
        <v>-2238901</v>
      </c>
      <c r="BZ80" s="405">
        <v>1363784</v>
      </c>
      <c r="CA80" s="405">
        <v>12639854</v>
      </c>
      <c r="CB80" s="405">
        <v>0</v>
      </c>
      <c r="CC80" s="405">
        <v>-5258344</v>
      </c>
      <c r="CD80" s="405">
        <v>435824</v>
      </c>
      <c r="CE80" s="405">
        <v>1109220</v>
      </c>
      <c r="CF80" s="405">
        <v>31559416</v>
      </c>
    </row>
    <row r="81" spans="1:84" s="405" customFormat="1" x14ac:dyDescent="0.3">
      <c r="A81" s="405">
        <v>255</v>
      </c>
      <c r="B81" s="406">
        <v>255</v>
      </c>
      <c r="C81" s="405">
        <v>255</v>
      </c>
      <c r="D81" s="405" t="s">
        <v>197</v>
      </c>
      <c r="E81" s="405" t="s">
        <v>394</v>
      </c>
      <c r="F81" s="405">
        <v>258105</v>
      </c>
      <c r="G81" s="405">
        <v>-56192</v>
      </c>
      <c r="H81" s="405">
        <v>-103865</v>
      </c>
      <c r="I81" s="405">
        <v>70903</v>
      </c>
      <c r="J81" s="405">
        <v>94226</v>
      </c>
      <c r="K81" s="405">
        <v>114452</v>
      </c>
      <c r="L81" s="405">
        <v>-4577</v>
      </c>
      <c r="M81" s="405">
        <v>-47629</v>
      </c>
      <c r="N81" s="405">
        <v>-274212</v>
      </c>
      <c r="O81" s="405">
        <v>5371153</v>
      </c>
      <c r="P81" s="405">
        <v>-179243</v>
      </c>
      <c r="Q81" s="405">
        <v>623050</v>
      </c>
      <c r="R81" s="405">
        <v>-46721</v>
      </c>
      <c r="S81" s="405">
        <v>-495579</v>
      </c>
      <c r="T81" s="405">
        <v>-15118</v>
      </c>
      <c r="U81" s="405">
        <v>299774</v>
      </c>
      <c r="V81" s="405">
        <v>0</v>
      </c>
      <c r="W81" s="405">
        <v>204101</v>
      </c>
      <c r="X81" s="405">
        <v>737708</v>
      </c>
      <c r="Y81" s="405">
        <v>69648</v>
      </c>
      <c r="Z81" s="405">
        <v>0</v>
      </c>
      <c r="AA81" s="405">
        <v>166531</v>
      </c>
      <c r="AB81" s="405">
        <v>19192427</v>
      </c>
      <c r="AC81" s="405">
        <v>554114</v>
      </c>
      <c r="AD81" s="405">
        <v>106194</v>
      </c>
      <c r="AE81" s="405">
        <v>-598996</v>
      </c>
      <c r="AF81" s="405">
        <v>7754</v>
      </c>
      <c r="AG81" s="405">
        <v>173518</v>
      </c>
      <c r="AH81" s="405">
        <v>-79052</v>
      </c>
      <c r="AI81" s="405">
        <v>71144</v>
      </c>
      <c r="AJ81" s="405">
        <v>-38903</v>
      </c>
      <c r="AK81" s="405">
        <v>125262</v>
      </c>
      <c r="AL81" s="405">
        <v>-33570</v>
      </c>
      <c r="AM81" s="405">
        <v>-7065</v>
      </c>
      <c r="AN81" s="405">
        <v>0</v>
      </c>
      <c r="AO81" s="405">
        <v>-22045</v>
      </c>
      <c r="AP81" s="405">
        <v>-766167</v>
      </c>
      <c r="AQ81" s="405">
        <v>-5534</v>
      </c>
      <c r="AR81" s="405">
        <v>521694</v>
      </c>
      <c r="AS81" s="405">
        <v>185928</v>
      </c>
      <c r="AT81" s="405">
        <v>102392</v>
      </c>
      <c r="AU81" s="405">
        <v>0</v>
      </c>
      <c r="AV81" s="405">
        <v>59177</v>
      </c>
      <c r="AW81" s="405">
        <v>17016243</v>
      </c>
      <c r="AX81" s="405">
        <v>6025358</v>
      </c>
      <c r="AY81" s="405">
        <v>27228</v>
      </c>
      <c r="AZ81" s="405">
        <v>-8265</v>
      </c>
      <c r="BA81" s="405">
        <v>63386</v>
      </c>
      <c r="BB81" s="405">
        <v>3494</v>
      </c>
      <c r="BC81" s="405">
        <v>0</v>
      </c>
      <c r="BD81" s="405">
        <v>-1103630</v>
      </c>
      <c r="BE81" s="405">
        <v>-30723</v>
      </c>
      <c r="BF81" s="405">
        <v>3982</v>
      </c>
      <c r="BG81" s="405">
        <v>3829</v>
      </c>
      <c r="BH81" s="405">
        <v>3686387</v>
      </c>
      <c r="BI81" s="405">
        <v>2392</v>
      </c>
      <c r="BJ81" s="405">
        <v>2486444</v>
      </c>
      <c r="BK81" s="405">
        <v>-56588</v>
      </c>
      <c r="BL81" s="405">
        <v>-59793</v>
      </c>
      <c r="BM81" s="405">
        <v>10403</v>
      </c>
      <c r="BN81" s="405">
        <v>-629330</v>
      </c>
      <c r="BO81" s="405">
        <v>-358524</v>
      </c>
      <c r="BP81" s="405">
        <v>0</v>
      </c>
      <c r="BQ81" s="405">
        <v>12394587</v>
      </c>
      <c r="BR81" s="405">
        <v>-4071021</v>
      </c>
      <c r="BS81" s="405">
        <v>84876</v>
      </c>
      <c r="BT81" s="405">
        <v>2798247</v>
      </c>
      <c r="BU81" s="405">
        <v>155943</v>
      </c>
      <c r="BV81" s="405">
        <v>638915</v>
      </c>
      <c r="BW81" s="405">
        <v>-26380</v>
      </c>
      <c r="BX81" s="405">
        <v>-95505</v>
      </c>
      <c r="BY81" s="405">
        <v>2694520</v>
      </c>
      <c r="BZ81" s="405">
        <v>485523</v>
      </c>
      <c r="CA81" s="405">
        <v>1836979</v>
      </c>
      <c r="CB81" s="405">
        <v>0</v>
      </c>
      <c r="CC81" s="405">
        <v>-1421921</v>
      </c>
      <c r="CD81" s="405">
        <v>124691</v>
      </c>
      <c r="CE81" s="405">
        <v>484519</v>
      </c>
      <c r="CF81" s="405">
        <v>5801633</v>
      </c>
    </row>
    <row r="82" spans="1:84" s="405" customFormat="1" x14ac:dyDescent="0.3">
      <c r="A82" s="405">
        <v>274</v>
      </c>
      <c r="B82" s="406"/>
      <c r="C82" s="405">
        <v>274</v>
      </c>
      <c r="D82" s="405" t="s">
        <v>395</v>
      </c>
      <c r="E82" s="405" t="s">
        <v>396</v>
      </c>
    </row>
    <row r="83" spans="1:84" s="405" customFormat="1" x14ac:dyDescent="0.3">
      <c r="A83" s="405">
        <v>294</v>
      </c>
      <c r="B83" s="406"/>
      <c r="C83" s="405">
        <v>294</v>
      </c>
      <c r="D83" s="405" t="s">
        <v>1754</v>
      </c>
      <c r="E83" s="405" t="s">
        <v>397</v>
      </c>
    </row>
    <row r="84" spans="1:84" s="405" customFormat="1" x14ac:dyDescent="0.3">
      <c r="A84" s="405">
        <v>314</v>
      </c>
      <c r="B84" s="406"/>
      <c r="C84" s="405">
        <v>314</v>
      </c>
      <c r="D84" s="405" t="s">
        <v>398</v>
      </c>
      <c r="E84" s="405" t="s">
        <v>399</v>
      </c>
    </row>
    <row r="85" spans="1:84" s="405" customFormat="1" x14ac:dyDescent="0.3">
      <c r="A85" s="405">
        <v>315</v>
      </c>
      <c r="B85" s="406"/>
      <c r="C85" s="405">
        <v>315</v>
      </c>
      <c r="D85" s="405" t="s">
        <v>400</v>
      </c>
      <c r="E85" s="405" t="s">
        <v>401</v>
      </c>
    </row>
    <row r="86" spans="1:84" s="405" customFormat="1" x14ac:dyDescent="0.3">
      <c r="A86" s="405">
        <v>316</v>
      </c>
      <c r="B86" s="406"/>
      <c r="C86" s="405">
        <v>316</v>
      </c>
      <c r="D86" s="405" t="s">
        <v>402</v>
      </c>
      <c r="E86" s="405" t="s">
        <v>403</v>
      </c>
    </row>
    <row r="87" spans="1:84" s="405" customFormat="1" x14ac:dyDescent="0.3">
      <c r="A87" s="405">
        <v>320</v>
      </c>
      <c r="B87" s="406"/>
      <c r="C87" s="405">
        <v>320</v>
      </c>
      <c r="D87" s="405" t="s">
        <v>258</v>
      </c>
      <c r="E87" s="405" t="s">
        <v>404</v>
      </c>
    </row>
    <row r="88" spans="1:84" s="405" customFormat="1" x14ac:dyDescent="0.3">
      <c r="A88" s="405">
        <v>321</v>
      </c>
      <c r="B88" s="406"/>
      <c r="C88" s="405">
        <v>321</v>
      </c>
      <c r="D88" s="405" t="s">
        <v>1755</v>
      </c>
      <c r="E88" s="405" t="s">
        <v>405</v>
      </c>
    </row>
    <row r="89" spans="1:84" s="405" customFormat="1" x14ac:dyDescent="0.3">
      <c r="A89" s="405">
        <v>322</v>
      </c>
      <c r="B89" s="406"/>
      <c r="C89" s="405">
        <v>322</v>
      </c>
      <c r="D89" s="405" t="s">
        <v>260</v>
      </c>
      <c r="E89" s="405" t="s">
        <v>406</v>
      </c>
    </row>
    <row r="90" spans="1:84" s="405" customFormat="1" x14ac:dyDescent="0.3">
      <c r="A90" s="405">
        <v>323</v>
      </c>
      <c r="B90" s="406"/>
      <c r="C90" s="405">
        <v>323</v>
      </c>
      <c r="D90" s="405" t="s">
        <v>259</v>
      </c>
      <c r="E90" s="405" t="s">
        <v>407</v>
      </c>
    </row>
    <row r="91" spans="1:84" s="405" customFormat="1" x14ac:dyDescent="0.3">
      <c r="A91" s="405">
        <v>324</v>
      </c>
      <c r="B91" s="406"/>
      <c r="C91" s="405">
        <v>324</v>
      </c>
      <c r="D91" s="405" t="s">
        <v>257</v>
      </c>
      <c r="E91" s="405" t="s">
        <v>408</v>
      </c>
    </row>
    <row r="92" spans="1:84" s="405" customFormat="1" x14ac:dyDescent="0.3">
      <c r="A92" s="405">
        <v>325</v>
      </c>
      <c r="B92" s="406"/>
      <c r="C92" s="405">
        <v>325</v>
      </c>
      <c r="D92" s="405" t="s">
        <v>261</v>
      </c>
      <c r="E92" s="405" t="s">
        <v>409</v>
      </c>
    </row>
    <row r="93" spans="1:84" s="405" customFormat="1" x14ac:dyDescent="0.3">
      <c r="A93" s="405">
        <v>326</v>
      </c>
      <c r="B93" s="406"/>
      <c r="C93" s="405">
        <v>326</v>
      </c>
      <c r="D93" s="405" t="e">
        <v>#VALUE!</v>
      </c>
      <c r="E93" s="405" t="s">
        <v>410</v>
      </c>
    </row>
    <row r="94" spans="1:84" s="405" customFormat="1" x14ac:dyDescent="0.3">
      <c r="A94" s="405">
        <v>327</v>
      </c>
      <c r="B94" s="406">
        <v>327</v>
      </c>
      <c r="C94" s="405">
        <v>327</v>
      </c>
      <c r="D94" s="405" t="s">
        <v>634</v>
      </c>
      <c r="E94" s="405" t="s">
        <v>411</v>
      </c>
      <c r="F94" s="405">
        <v>10626</v>
      </c>
      <c r="G94" s="405">
        <v>7091</v>
      </c>
      <c r="H94" s="405">
        <v>0</v>
      </c>
      <c r="I94" s="405">
        <v>338738</v>
      </c>
      <c r="J94" s="405">
        <v>7337</v>
      </c>
      <c r="K94" s="405">
        <v>0</v>
      </c>
      <c r="L94" s="405">
        <v>0</v>
      </c>
      <c r="M94" s="405">
        <v>5700</v>
      </c>
      <c r="N94" s="405">
        <v>251748</v>
      </c>
      <c r="O94" s="405">
        <v>0</v>
      </c>
      <c r="P94" s="405">
        <v>0</v>
      </c>
      <c r="Q94" s="405">
        <v>0</v>
      </c>
      <c r="R94" s="405">
        <v>0</v>
      </c>
      <c r="S94" s="405">
        <v>177882</v>
      </c>
      <c r="T94" s="405">
        <v>0</v>
      </c>
      <c r="U94" s="405">
        <v>0</v>
      </c>
      <c r="V94" s="405">
        <v>0</v>
      </c>
      <c r="W94" s="405">
        <v>85035</v>
      </c>
      <c r="X94" s="405">
        <v>1052081</v>
      </c>
      <c r="Y94" s="405">
        <v>0</v>
      </c>
      <c r="Z94" s="405">
        <v>0</v>
      </c>
      <c r="AA94" s="405">
        <v>215800</v>
      </c>
      <c r="AB94" s="405">
        <v>428842</v>
      </c>
      <c r="AC94" s="405">
        <v>0</v>
      </c>
      <c r="AD94" s="405">
        <v>51113</v>
      </c>
      <c r="AE94" s="405">
        <v>0</v>
      </c>
      <c r="AF94" s="405">
        <v>0</v>
      </c>
      <c r="AG94" s="405">
        <v>0</v>
      </c>
      <c r="AH94" s="405">
        <v>12409353</v>
      </c>
      <c r="AI94" s="405">
        <v>0</v>
      </c>
      <c r="AJ94" s="405">
        <v>12410</v>
      </c>
      <c r="AK94" s="405">
        <v>18591</v>
      </c>
      <c r="AL94" s="405">
        <v>0</v>
      </c>
      <c r="AM94" s="405">
        <v>0</v>
      </c>
      <c r="AN94" s="405">
        <v>0</v>
      </c>
      <c r="AO94" s="405">
        <v>0</v>
      </c>
      <c r="AP94" s="405">
        <v>1281547</v>
      </c>
      <c r="AQ94" s="405">
        <v>0</v>
      </c>
      <c r="AR94" s="405">
        <v>165740</v>
      </c>
      <c r="AS94" s="405">
        <v>0</v>
      </c>
      <c r="AT94" s="405">
        <v>0</v>
      </c>
      <c r="AU94" s="405">
        <v>0</v>
      </c>
      <c r="AV94" s="405">
        <v>36050</v>
      </c>
      <c r="AW94" s="405">
        <v>45977883</v>
      </c>
      <c r="AX94" s="405">
        <v>3780635</v>
      </c>
      <c r="AY94" s="405">
        <v>0</v>
      </c>
      <c r="AZ94" s="405">
        <v>11826</v>
      </c>
      <c r="BA94" s="405">
        <v>328737</v>
      </c>
      <c r="BB94" s="405">
        <v>11712</v>
      </c>
      <c r="BC94" s="405">
        <v>0</v>
      </c>
      <c r="BD94" s="405">
        <v>243585</v>
      </c>
      <c r="BE94" s="405">
        <v>130000</v>
      </c>
      <c r="BF94" s="405">
        <v>0</v>
      </c>
      <c r="BG94" s="405">
        <v>3281</v>
      </c>
      <c r="BH94" s="405">
        <v>858549</v>
      </c>
      <c r="BI94" s="405">
        <v>0</v>
      </c>
      <c r="BJ94" s="405">
        <v>306658</v>
      </c>
      <c r="BK94" s="405">
        <v>1040</v>
      </c>
      <c r="BL94" s="405">
        <v>0</v>
      </c>
      <c r="BM94" s="405">
        <v>0</v>
      </c>
      <c r="BN94" s="405">
        <v>5352310</v>
      </c>
      <c r="BO94" s="405">
        <v>3107649</v>
      </c>
      <c r="BP94" s="405">
        <v>0</v>
      </c>
      <c r="BQ94" s="405">
        <v>1430368</v>
      </c>
      <c r="BR94" s="405">
        <v>7735705</v>
      </c>
      <c r="BS94" s="405">
        <v>50</v>
      </c>
      <c r="BT94" s="405">
        <v>399040</v>
      </c>
      <c r="BU94" s="405">
        <v>0</v>
      </c>
      <c r="BV94" s="405">
        <v>6133068</v>
      </c>
      <c r="BW94" s="405">
        <v>40050</v>
      </c>
      <c r="BX94" s="405">
        <v>0</v>
      </c>
      <c r="BY94" s="405">
        <v>475231</v>
      </c>
      <c r="BZ94" s="405">
        <v>0</v>
      </c>
      <c r="CA94" s="405">
        <v>153725</v>
      </c>
      <c r="CB94" s="405">
        <v>0</v>
      </c>
      <c r="CC94" s="405">
        <v>0</v>
      </c>
      <c r="CD94" s="405">
        <v>4000</v>
      </c>
      <c r="CE94" s="405">
        <v>0</v>
      </c>
      <c r="CF94" s="405">
        <v>0</v>
      </c>
    </row>
    <row r="95" spans="1:84" s="405" customFormat="1" x14ac:dyDescent="0.3">
      <c r="A95" s="405">
        <v>328</v>
      </c>
      <c r="B95" s="406">
        <v>328</v>
      </c>
      <c r="C95" s="405">
        <v>328</v>
      </c>
      <c r="D95" s="405" t="s">
        <v>551</v>
      </c>
      <c r="E95" s="405" t="s">
        <v>412</v>
      </c>
      <c r="F95" s="405">
        <v>1687618</v>
      </c>
      <c r="G95" s="405">
        <v>110250</v>
      </c>
      <c r="H95" s="405">
        <v>0</v>
      </c>
      <c r="I95" s="405">
        <v>692650</v>
      </c>
      <c r="J95" s="405">
        <v>0</v>
      </c>
      <c r="K95" s="405">
        <v>0</v>
      </c>
      <c r="L95" s="405">
        <v>0</v>
      </c>
      <c r="M95" s="405">
        <v>0</v>
      </c>
      <c r="N95" s="405">
        <v>235692</v>
      </c>
      <c r="O95" s="405">
        <v>0</v>
      </c>
      <c r="P95" s="405">
        <v>0</v>
      </c>
      <c r="Q95" s="405">
        <v>0</v>
      </c>
      <c r="R95" s="405">
        <v>0</v>
      </c>
      <c r="S95" s="405">
        <v>1083472</v>
      </c>
      <c r="T95" s="405">
        <v>0</v>
      </c>
      <c r="U95" s="405">
        <v>0</v>
      </c>
      <c r="V95" s="405">
        <v>0</v>
      </c>
      <c r="W95" s="405">
        <v>0</v>
      </c>
      <c r="X95" s="405">
        <v>87248</v>
      </c>
      <c r="Y95" s="405">
        <v>0</v>
      </c>
      <c r="Z95" s="405">
        <v>0</v>
      </c>
      <c r="AA95" s="405">
        <v>889123</v>
      </c>
      <c r="AB95" s="405">
        <v>6391475</v>
      </c>
      <c r="AC95" s="405">
        <v>0</v>
      </c>
      <c r="AD95" s="405">
        <v>422411</v>
      </c>
      <c r="AE95" s="405">
        <v>0</v>
      </c>
      <c r="AF95" s="405">
        <v>0</v>
      </c>
      <c r="AG95" s="405">
        <v>0</v>
      </c>
      <c r="AH95" s="405">
        <v>79509392</v>
      </c>
      <c r="AI95" s="405">
        <v>0</v>
      </c>
      <c r="AJ95" s="405">
        <v>0</v>
      </c>
      <c r="AK95" s="405">
        <v>2130361</v>
      </c>
      <c r="AL95" s="405">
        <v>0</v>
      </c>
      <c r="AM95" s="405">
        <v>57387</v>
      </c>
      <c r="AN95" s="405">
        <v>0</v>
      </c>
      <c r="AO95" s="405">
        <v>80566</v>
      </c>
      <c r="AP95" s="405">
        <v>716220</v>
      </c>
      <c r="AQ95" s="405">
        <v>0</v>
      </c>
      <c r="AR95" s="405">
        <v>47147</v>
      </c>
      <c r="AS95" s="405">
        <v>0</v>
      </c>
      <c r="AT95" s="405">
        <v>0</v>
      </c>
      <c r="AU95" s="405">
        <v>0</v>
      </c>
      <c r="AV95" s="405">
        <v>720840</v>
      </c>
      <c r="AW95" s="405">
        <v>149154207</v>
      </c>
      <c r="AX95" s="405">
        <v>23439181</v>
      </c>
      <c r="AY95" s="405">
        <v>109840</v>
      </c>
      <c r="AZ95" s="405">
        <v>0</v>
      </c>
      <c r="BA95" s="405">
        <v>0</v>
      </c>
      <c r="BB95" s="405">
        <v>0</v>
      </c>
      <c r="BC95" s="405">
        <v>0</v>
      </c>
      <c r="BD95" s="405">
        <v>0</v>
      </c>
      <c r="BE95" s="405">
        <v>0</v>
      </c>
      <c r="BF95" s="405">
        <v>0</v>
      </c>
      <c r="BG95" s="405">
        <v>0</v>
      </c>
      <c r="BH95" s="405">
        <v>3457508</v>
      </c>
      <c r="BI95" s="405">
        <v>0</v>
      </c>
      <c r="BJ95" s="405">
        <v>0</v>
      </c>
      <c r="BK95" s="405">
        <v>103232</v>
      </c>
      <c r="BL95" s="405">
        <v>0</v>
      </c>
      <c r="BM95" s="405">
        <v>0</v>
      </c>
      <c r="BN95" s="405">
        <v>6157379</v>
      </c>
      <c r="BO95" s="405">
        <v>8592473</v>
      </c>
      <c r="BP95" s="405">
        <v>0</v>
      </c>
      <c r="BQ95" s="405">
        <v>13053743</v>
      </c>
      <c r="BR95" s="405">
        <v>93583557</v>
      </c>
      <c r="BS95" s="405">
        <v>1767146</v>
      </c>
      <c r="BT95" s="405">
        <v>1793816</v>
      </c>
      <c r="BU95" s="405">
        <v>0</v>
      </c>
      <c r="BV95" s="405">
        <v>11067121</v>
      </c>
      <c r="BW95" s="405">
        <v>0</v>
      </c>
      <c r="BX95" s="405">
        <v>2714413</v>
      </c>
      <c r="BY95" s="405">
        <v>645836</v>
      </c>
      <c r="BZ95" s="405">
        <v>0</v>
      </c>
      <c r="CA95" s="405">
        <v>6392321</v>
      </c>
      <c r="CB95" s="405">
        <v>0</v>
      </c>
      <c r="CC95" s="405">
        <v>0</v>
      </c>
      <c r="CD95" s="405">
        <v>72466</v>
      </c>
      <c r="CE95" s="405">
        <v>0</v>
      </c>
      <c r="CF95" s="405">
        <v>0</v>
      </c>
    </row>
    <row r="96" spans="1:84" s="405" customFormat="1" x14ac:dyDescent="0.3">
      <c r="A96" s="405">
        <v>330</v>
      </c>
      <c r="B96" s="406"/>
      <c r="C96" s="405">
        <v>330</v>
      </c>
      <c r="D96" s="405" t="s">
        <v>635</v>
      </c>
      <c r="E96" s="405" t="s">
        <v>413</v>
      </c>
    </row>
    <row r="97" spans="1:84" s="405" customFormat="1" x14ac:dyDescent="0.3">
      <c r="A97" s="405">
        <v>331</v>
      </c>
      <c r="B97" s="406">
        <v>331</v>
      </c>
      <c r="C97" s="405">
        <v>331</v>
      </c>
      <c r="D97" s="405" t="s">
        <v>247</v>
      </c>
      <c r="E97" s="405" t="s">
        <v>414</v>
      </c>
      <c r="F97" s="405">
        <v>0</v>
      </c>
      <c r="G97" s="405">
        <v>72000</v>
      </c>
      <c r="H97" s="405">
        <v>0</v>
      </c>
      <c r="I97" s="405">
        <v>25086</v>
      </c>
      <c r="J97" s="405">
        <v>93939</v>
      </c>
      <c r="K97" s="405">
        <v>0</v>
      </c>
      <c r="L97" s="405">
        <v>0</v>
      </c>
      <c r="M97" s="405">
        <v>30000</v>
      </c>
      <c r="N97" s="405">
        <v>421340</v>
      </c>
      <c r="O97" s="405">
        <v>0</v>
      </c>
      <c r="P97" s="405">
        <v>0</v>
      </c>
      <c r="Q97" s="405">
        <v>0</v>
      </c>
      <c r="R97" s="405">
        <v>0</v>
      </c>
      <c r="S97" s="405">
        <v>102088</v>
      </c>
      <c r="T97" s="405">
        <v>0</v>
      </c>
      <c r="U97" s="405">
        <v>14063</v>
      </c>
      <c r="V97" s="405">
        <v>0</v>
      </c>
      <c r="W97" s="405">
        <v>23583</v>
      </c>
      <c r="X97" s="405">
        <v>822614</v>
      </c>
      <c r="Y97" s="405">
        <v>0</v>
      </c>
      <c r="Z97" s="405">
        <v>0</v>
      </c>
      <c r="AA97" s="405">
        <v>44593</v>
      </c>
      <c r="AB97" s="405">
        <v>2557941</v>
      </c>
      <c r="AC97" s="405">
        <v>0</v>
      </c>
      <c r="AD97" s="405">
        <v>12718</v>
      </c>
      <c r="AE97" s="405">
        <v>0</v>
      </c>
      <c r="AF97" s="405">
        <v>0</v>
      </c>
      <c r="AG97" s="405">
        <v>0</v>
      </c>
      <c r="AH97" s="405">
        <v>3979250</v>
      </c>
      <c r="AI97" s="405">
        <v>0</v>
      </c>
      <c r="AJ97" s="405">
        <v>0</v>
      </c>
      <c r="AK97" s="405">
        <v>43015</v>
      </c>
      <c r="AL97" s="405">
        <v>0</v>
      </c>
      <c r="AM97" s="405">
        <v>0</v>
      </c>
      <c r="AN97" s="405">
        <v>0</v>
      </c>
      <c r="AO97" s="405">
        <v>6758</v>
      </c>
      <c r="AP97" s="405">
        <v>539800</v>
      </c>
      <c r="AQ97" s="405">
        <v>0</v>
      </c>
      <c r="AR97" s="405">
        <v>150944</v>
      </c>
      <c r="AS97" s="405">
        <v>0</v>
      </c>
      <c r="AT97" s="405">
        <v>0</v>
      </c>
      <c r="AU97" s="405">
        <v>0</v>
      </c>
      <c r="AV97" s="405">
        <v>0</v>
      </c>
      <c r="AW97" s="405">
        <v>15545000</v>
      </c>
      <c r="AX97" s="405">
        <v>4924804</v>
      </c>
      <c r="AY97" s="405">
        <v>23750</v>
      </c>
      <c r="AZ97" s="405">
        <v>12967</v>
      </c>
      <c r="BA97" s="405">
        <v>1701</v>
      </c>
      <c r="BB97" s="405">
        <v>0</v>
      </c>
      <c r="BC97" s="405">
        <v>0</v>
      </c>
      <c r="BD97" s="405">
        <v>5801</v>
      </c>
      <c r="BE97" s="405">
        <v>4000</v>
      </c>
      <c r="BF97" s="405">
        <v>0</v>
      </c>
      <c r="BG97" s="405">
        <v>17500</v>
      </c>
      <c r="BH97" s="405">
        <v>1396140</v>
      </c>
      <c r="BI97" s="405">
        <v>0</v>
      </c>
      <c r="BJ97" s="405">
        <v>543489</v>
      </c>
      <c r="BK97" s="405">
        <v>22263</v>
      </c>
      <c r="BL97" s="405">
        <v>0</v>
      </c>
      <c r="BM97" s="405">
        <v>0</v>
      </c>
      <c r="BN97" s="405">
        <v>2434639</v>
      </c>
      <c r="BO97" s="405">
        <v>2711348</v>
      </c>
      <c r="BP97" s="405">
        <v>0</v>
      </c>
      <c r="BQ97" s="405">
        <v>2633134</v>
      </c>
      <c r="BR97" s="405">
        <v>8734657</v>
      </c>
      <c r="BS97" s="405">
        <v>0</v>
      </c>
      <c r="BT97" s="405">
        <v>93350</v>
      </c>
      <c r="BU97" s="405">
        <v>0</v>
      </c>
      <c r="BV97" s="405">
        <v>1189949</v>
      </c>
      <c r="BW97" s="405">
        <v>0</v>
      </c>
      <c r="BX97" s="405">
        <v>0</v>
      </c>
      <c r="BY97" s="405">
        <v>727786</v>
      </c>
      <c r="BZ97" s="405">
        <v>0</v>
      </c>
      <c r="CA97" s="405">
        <v>2895925</v>
      </c>
      <c r="CB97" s="405">
        <v>0</v>
      </c>
      <c r="CC97" s="405">
        <v>0</v>
      </c>
      <c r="CD97" s="405">
        <v>18508</v>
      </c>
      <c r="CE97" s="405">
        <v>0</v>
      </c>
      <c r="CF97" s="405">
        <v>0</v>
      </c>
    </row>
    <row r="98" spans="1:84" s="405" customFormat="1" x14ac:dyDescent="0.3">
      <c r="A98" s="405">
        <v>332</v>
      </c>
      <c r="B98" s="406">
        <v>332</v>
      </c>
      <c r="C98" s="405">
        <v>332</v>
      </c>
      <c r="D98" s="405" t="s">
        <v>248</v>
      </c>
      <c r="E98" s="405" t="s">
        <v>415</v>
      </c>
      <c r="F98" s="405">
        <v>1055343</v>
      </c>
      <c r="G98" s="405">
        <v>106750</v>
      </c>
      <c r="H98" s="405">
        <v>0</v>
      </c>
      <c r="I98" s="405">
        <v>354609</v>
      </c>
      <c r="J98" s="405">
        <v>3250</v>
      </c>
      <c r="K98" s="405">
        <v>8125</v>
      </c>
      <c r="L98" s="405">
        <v>0</v>
      </c>
      <c r="M98" s="405">
        <v>715171</v>
      </c>
      <c r="N98" s="405">
        <v>2810075</v>
      </c>
      <c r="O98" s="405">
        <v>0</v>
      </c>
      <c r="P98" s="405">
        <v>0</v>
      </c>
      <c r="Q98" s="405">
        <v>0</v>
      </c>
      <c r="R98" s="405">
        <v>174436</v>
      </c>
      <c r="S98" s="405">
        <v>1729410</v>
      </c>
      <c r="T98" s="405">
        <v>0</v>
      </c>
      <c r="U98" s="405">
        <v>1292128</v>
      </c>
      <c r="V98" s="405">
        <v>0</v>
      </c>
      <c r="W98" s="405">
        <v>16102</v>
      </c>
      <c r="X98" s="405">
        <v>334259</v>
      </c>
      <c r="Y98" s="405">
        <v>0</v>
      </c>
      <c r="Z98" s="405">
        <v>0</v>
      </c>
      <c r="AA98" s="405">
        <v>888267</v>
      </c>
      <c r="AB98" s="405">
        <v>2862409</v>
      </c>
      <c r="AC98" s="405">
        <v>0</v>
      </c>
      <c r="AD98" s="405">
        <v>183696</v>
      </c>
      <c r="AE98" s="405">
        <v>0</v>
      </c>
      <c r="AF98" s="405">
        <v>0</v>
      </c>
      <c r="AG98" s="405">
        <v>0</v>
      </c>
      <c r="AH98" s="405">
        <v>6079259</v>
      </c>
      <c r="AI98" s="405">
        <v>0</v>
      </c>
      <c r="AJ98" s="405">
        <v>0</v>
      </c>
      <c r="AK98" s="405">
        <v>1930537</v>
      </c>
      <c r="AL98" s="405">
        <v>0</v>
      </c>
      <c r="AM98" s="405">
        <v>31737</v>
      </c>
      <c r="AN98" s="405">
        <v>0</v>
      </c>
      <c r="AO98" s="405">
        <v>0</v>
      </c>
      <c r="AP98" s="405">
        <v>835789</v>
      </c>
      <c r="AQ98" s="405">
        <v>0</v>
      </c>
      <c r="AR98" s="405">
        <v>361227</v>
      </c>
      <c r="AS98" s="405">
        <v>0</v>
      </c>
      <c r="AT98" s="405">
        <v>0</v>
      </c>
      <c r="AU98" s="405">
        <v>0</v>
      </c>
      <c r="AV98" s="405">
        <v>454450</v>
      </c>
      <c r="AW98" s="405">
        <v>67322969</v>
      </c>
      <c r="AX98" s="405">
        <v>17799715</v>
      </c>
      <c r="AY98" s="405">
        <v>138594</v>
      </c>
      <c r="AZ98" s="405">
        <v>0</v>
      </c>
      <c r="BA98" s="405">
        <v>9575</v>
      </c>
      <c r="BB98" s="405">
        <v>54991</v>
      </c>
      <c r="BC98" s="405">
        <v>0</v>
      </c>
      <c r="BD98" s="405">
        <v>201873</v>
      </c>
      <c r="BE98" s="405">
        <v>0</v>
      </c>
      <c r="BF98" s="405">
        <v>0</v>
      </c>
      <c r="BG98" s="405">
        <v>0</v>
      </c>
      <c r="BH98" s="405">
        <v>3298400</v>
      </c>
      <c r="BI98" s="405">
        <v>0</v>
      </c>
      <c r="BJ98" s="405">
        <v>520173</v>
      </c>
      <c r="BK98" s="405">
        <v>47754</v>
      </c>
      <c r="BL98" s="405">
        <v>0</v>
      </c>
      <c r="BM98" s="405">
        <v>0</v>
      </c>
      <c r="BN98" s="405">
        <v>1191975</v>
      </c>
      <c r="BO98" s="405">
        <v>6233586</v>
      </c>
      <c r="BP98" s="405">
        <v>0</v>
      </c>
      <c r="BQ98" s="405">
        <v>5482128</v>
      </c>
      <c r="BR98" s="405">
        <v>26998819</v>
      </c>
      <c r="BS98" s="405">
        <v>1532086</v>
      </c>
      <c r="BT98" s="405">
        <v>1936019</v>
      </c>
      <c r="BU98" s="405">
        <v>0</v>
      </c>
      <c r="BV98" s="405">
        <v>2434452</v>
      </c>
      <c r="BW98" s="405">
        <v>0</v>
      </c>
      <c r="BX98" s="405">
        <v>867259</v>
      </c>
      <c r="BY98" s="405">
        <v>1015013</v>
      </c>
      <c r="BZ98" s="405">
        <v>0</v>
      </c>
      <c r="CA98" s="405">
        <v>5394773</v>
      </c>
      <c r="CB98" s="405">
        <v>0</v>
      </c>
      <c r="CC98" s="405">
        <v>0</v>
      </c>
      <c r="CD98" s="405">
        <v>55440</v>
      </c>
      <c r="CE98" s="405">
        <v>0</v>
      </c>
      <c r="CF98" s="405">
        <v>0</v>
      </c>
    </row>
    <row r="99" spans="1:84" s="405" customFormat="1" x14ac:dyDescent="0.3">
      <c r="A99" s="405">
        <v>333</v>
      </c>
      <c r="B99" s="406">
        <v>333</v>
      </c>
      <c r="C99" s="405">
        <v>333</v>
      </c>
      <c r="D99" s="405" t="s">
        <v>184</v>
      </c>
      <c r="E99" s="405" t="s">
        <v>416</v>
      </c>
      <c r="F99" s="405">
        <v>1165770</v>
      </c>
      <c r="G99" s="405">
        <v>780066</v>
      </c>
      <c r="H99" s="405">
        <v>384265</v>
      </c>
      <c r="I99" s="405">
        <v>1094979</v>
      </c>
      <c r="J99" s="405">
        <v>738562</v>
      </c>
      <c r="K99" s="405">
        <v>213067</v>
      </c>
      <c r="L99" s="405">
        <v>101190</v>
      </c>
      <c r="M99" s="405">
        <v>469675</v>
      </c>
      <c r="N99" s="405">
        <v>3068465</v>
      </c>
      <c r="O99" s="405">
        <v>107141613</v>
      </c>
      <c r="P99" s="405">
        <v>2982963</v>
      </c>
      <c r="Q99" s="405">
        <v>3763576</v>
      </c>
      <c r="R99" s="405">
        <v>95523</v>
      </c>
      <c r="S99" s="405">
        <v>3606659</v>
      </c>
      <c r="T99" s="405">
        <v>134044</v>
      </c>
      <c r="U99" s="405">
        <v>520238</v>
      </c>
      <c r="V99" s="405">
        <v>0</v>
      </c>
      <c r="W99" s="405">
        <v>1201082</v>
      </c>
      <c r="X99" s="405">
        <v>3429014</v>
      </c>
      <c r="Y99" s="405">
        <v>468873</v>
      </c>
      <c r="Z99" s="405">
        <v>0</v>
      </c>
      <c r="AA99" s="405">
        <v>237126</v>
      </c>
      <c r="AB99" s="405">
        <v>41890343</v>
      </c>
      <c r="AC99" s="405">
        <v>4114058</v>
      </c>
      <c r="AD99" s="405">
        <v>849132</v>
      </c>
      <c r="AE99" s="405">
        <v>36717373</v>
      </c>
      <c r="AF99" s="405">
        <v>390519</v>
      </c>
      <c r="AG99" s="405">
        <v>322758</v>
      </c>
      <c r="AH99" s="405">
        <v>35064423</v>
      </c>
      <c r="AI99" s="405">
        <v>869168</v>
      </c>
      <c r="AJ99" s="405">
        <v>234040</v>
      </c>
      <c r="AK99" s="405">
        <v>2132373</v>
      </c>
      <c r="AL99" s="405">
        <v>838208</v>
      </c>
      <c r="AM99" s="405">
        <v>42423</v>
      </c>
      <c r="AN99" s="405">
        <v>0</v>
      </c>
      <c r="AO99" s="405">
        <v>597868</v>
      </c>
      <c r="AP99" s="405">
        <v>12898891</v>
      </c>
      <c r="AQ99" s="405">
        <v>43806</v>
      </c>
      <c r="AR99" s="405">
        <v>3474389</v>
      </c>
      <c r="AS99" s="405">
        <v>2218175</v>
      </c>
      <c r="AT99" s="405">
        <v>218451</v>
      </c>
      <c r="AU99" s="405">
        <v>0</v>
      </c>
      <c r="AV99" s="405">
        <v>610141</v>
      </c>
      <c r="AW99" s="405">
        <v>149698905</v>
      </c>
      <c r="AX99" s="405">
        <v>38079777</v>
      </c>
      <c r="AY99" s="405">
        <v>930814</v>
      </c>
      <c r="AZ99" s="405">
        <v>209335</v>
      </c>
      <c r="BA99" s="405">
        <v>310649</v>
      </c>
      <c r="BB99" s="405">
        <v>95287</v>
      </c>
      <c r="BC99" s="405">
        <v>0</v>
      </c>
      <c r="BD99" s="405">
        <v>2500148</v>
      </c>
      <c r="BE99" s="405">
        <v>1135762</v>
      </c>
      <c r="BF99" s="405">
        <v>208716</v>
      </c>
      <c r="BG99" s="405">
        <v>113633</v>
      </c>
      <c r="BH99" s="405">
        <v>12901783</v>
      </c>
      <c r="BI99" s="405">
        <v>71622</v>
      </c>
      <c r="BJ99" s="405">
        <v>12421274</v>
      </c>
      <c r="BK99" s="405">
        <v>457463</v>
      </c>
      <c r="BL99" s="405">
        <v>437601</v>
      </c>
      <c r="BM99" s="405">
        <v>500900</v>
      </c>
      <c r="BN99" s="405">
        <v>11192172</v>
      </c>
      <c r="BO99" s="405">
        <v>7268267</v>
      </c>
      <c r="BP99" s="405">
        <v>0</v>
      </c>
      <c r="BQ99" s="405">
        <v>45982321</v>
      </c>
      <c r="BR99" s="405">
        <v>47330002</v>
      </c>
      <c r="BS99" s="405">
        <v>193385</v>
      </c>
      <c r="BT99" s="405">
        <v>5759331</v>
      </c>
      <c r="BU99" s="405">
        <v>2611352</v>
      </c>
      <c r="BV99" s="405">
        <v>7977124</v>
      </c>
      <c r="BW99" s="405">
        <v>273917</v>
      </c>
      <c r="BX99" s="405">
        <v>807608</v>
      </c>
      <c r="BY99" s="405">
        <v>6628014</v>
      </c>
      <c r="BZ99" s="405">
        <v>2066165</v>
      </c>
      <c r="CA99" s="405">
        <v>37260171</v>
      </c>
      <c r="CB99" s="405">
        <v>0</v>
      </c>
      <c r="CC99" s="405">
        <v>7031185</v>
      </c>
      <c r="CD99" s="405">
        <v>438348</v>
      </c>
      <c r="CE99" s="405">
        <v>1824808</v>
      </c>
      <c r="CF99" s="405">
        <v>49690229</v>
      </c>
    </row>
    <row r="100" spans="1:84" s="405" customFormat="1" x14ac:dyDescent="0.3">
      <c r="A100" s="405">
        <v>334</v>
      </c>
      <c r="B100" s="406">
        <v>334</v>
      </c>
      <c r="C100" s="405">
        <v>334</v>
      </c>
      <c r="D100" s="405" t="s">
        <v>276</v>
      </c>
      <c r="E100" s="405" t="s">
        <v>417</v>
      </c>
      <c r="F100" s="405">
        <v>2298999</v>
      </c>
      <c r="G100" s="405">
        <v>4094321</v>
      </c>
      <c r="H100" s="405">
        <v>1517236</v>
      </c>
      <c r="I100" s="405">
        <v>1145284</v>
      </c>
      <c r="J100" s="405">
        <v>1364104</v>
      </c>
      <c r="K100" s="405">
        <v>475896</v>
      </c>
      <c r="L100" s="405">
        <v>151151</v>
      </c>
      <c r="M100" s="405">
        <v>105289</v>
      </c>
      <c r="N100" s="405">
        <v>10390215</v>
      </c>
      <c r="O100" s="405">
        <v>752776393</v>
      </c>
      <c r="P100" s="405">
        <v>3956162</v>
      </c>
      <c r="Q100" s="405">
        <v>14983208</v>
      </c>
      <c r="R100" s="405">
        <v>76699</v>
      </c>
      <c r="S100" s="405">
        <v>26529532</v>
      </c>
      <c r="T100" s="405">
        <v>269105</v>
      </c>
      <c r="U100" s="405">
        <v>867050</v>
      </c>
      <c r="V100" s="405">
        <v>0</v>
      </c>
      <c r="W100" s="405">
        <v>1369214</v>
      </c>
      <c r="X100" s="405">
        <v>9978519</v>
      </c>
      <c r="Y100" s="405">
        <v>3413701</v>
      </c>
      <c r="Z100" s="405">
        <v>0</v>
      </c>
      <c r="AA100" s="405">
        <v>2163509</v>
      </c>
      <c r="AB100" s="405">
        <v>118448496</v>
      </c>
      <c r="AC100" s="405">
        <v>1726355</v>
      </c>
      <c r="AD100" s="405">
        <v>735489</v>
      </c>
      <c r="AE100" s="405">
        <v>134896690</v>
      </c>
      <c r="AF100" s="405">
        <v>1984975</v>
      </c>
      <c r="AG100" s="405">
        <v>1085520</v>
      </c>
      <c r="AH100" s="405">
        <v>438829551</v>
      </c>
      <c r="AI100" s="405">
        <v>559482</v>
      </c>
      <c r="AJ100" s="405">
        <v>381297</v>
      </c>
      <c r="AK100" s="405">
        <v>115802321</v>
      </c>
      <c r="AL100" s="405">
        <v>1723812</v>
      </c>
      <c r="AM100" s="405">
        <v>671242</v>
      </c>
      <c r="AN100" s="405">
        <v>0</v>
      </c>
      <c r="AO100" s="405">
        <v>882914</v>
      </c>
      <c r="AP100" s="405">
        <v>29569581</v>
      </c>
      <c r="AQ100" s="405">
        <v>0</v>
      </c>
      <c r="AR100" s="405">
        <v>7913418</v>
      </c>
      <c r="AS100" s="405">
        <v>4618996</v>
      </c>
      <c r="AT100" s="405">
        <v>300791</v>
      </c>
      <c r="AU100" s="405">
        <v>0</v>
      </c>
      <c r="AV100" s="405">
        <v>510519</v>
      </c>
      <c r="AW100" s="405">
        <v>821677196</v>
      </c>
      <c r="AX100" s="405">
        <v>231036698</v>
      </c>
      <c r="AY100" s="405">
        <v>8539183</v>
      </c>
      <c r="AZ100" s="405">
        <v>651185</v>
      </c>
      <c r="BA100" s="405">
        <v>537990</v>
      </c>
      <c r="BB100" s="405">
        <v>178469</v>
      </c>
      <c r="BC100" s="405">
        <v>0</v>
      </c>
      <c r="BD100" s="405">
        <v>22536035</v>
      </c>
      <c r="BE100" s="405">
        <v>734432</v>
      </c>
      <c r="BF100" s="405">
        <v>439029</v>
      </c>
      <c r="BG100" s="405">
        <v>54824</v>
      </c>
      <c r="BH100" s="405">
        <v>32141131</v>
      </c>
      <c r="BI100" s="405">
        <v>63857</v>
      </c>
      <c r="BJ100" s="405">
        <v>22541069</v>
      </c>
      <c r="BK100" s="405">
        <v>5144034</v>
      </c>
      <c r="BL100" s="405">
        <v>1284013</v>
      </c>
      <c r="BM100" s="405">
        <v>274596</v>
      </c>
      <c r="BN100" s="405">
        <v>43021184</v>
      </c>
      <c r="BO100" s="405">
        <v>48378075</v>
      </c>
      <c r="BP100" s="405">
        <v>0</v>
      </c>
      <c r="BQ100" s="405">
        <v>137685665</v>
      </c>
      <c r="BR100" s="405">
        <v>777028883</v>
      </c>
      <c r="BS100" s="405">
        <v>1554935</v>
      </c>
      <c r="BT100" s="405">
        <v>23590753</v>
      </c>
      <c r="BU100" s="405">
        <v>4094677</v>
      </c>
      <c r="BV100" s="405">
        <v>27333955</v>
      </c>
      <c r="BW100" s="405">
        <v>2113840</v>
      </c>
      <c r="BX100" s="405">
        <v>1445251</v>
      </c>
      <c r="BY100" s="405">
        <v>6523161</v>
      </c>
      <c r="BZ100" s="405">
        <v>2592303</v>
      </c>
      <c r="CA100" s="405">
        <v>141328677</v>
      </c>
      <c r="CB100" s="405">
        <v>0</v>
      </c>
      <c r="CC100" s="405">
        <v>37578903</v>
      </c>
      <c r="CD100" s="405">
        <v>1230515</v>
      </c>
      <c r="CE100" s="405">
        <v>7496896</v>
      </c>
      <c r="CF100" s="405">
        <v>136373405</v>
      </c>
    </row>
    <row r="101" spans="1:84" s="405" customFormat="1" x14ac:dyDescent="0.3">
      <c r="A101" s="405">
        <v>335</v>
      </c>
      <c r="B101" s="406">
        <v>335</v>
      </c>
      <c r="C101" s="405">
        <v>335</v>
      </c>
      <c r="D101" s="405" t="s">
        <v>117</v>
      </c>
      <c r="E101" s="405" t="s">
        <v>418</v>
      </c>
      <c r="F101" s="405">
        <v>0</v>
      </c>
      <c r="G101" s="405">
        <v>0</v>
      </c>
      <c r="H101" s="405">
        <v>0</v>
      </c>
      <c r="I101" s="405">
        <v>0</v>
      </c>
      <c r="J101" s="405">
        <v>0</v>
      </c>
      <c r="K101" s="405">
        <v>0</v>
      </c>
      <c r="L101" s="405">
        <v>0</v>
      </c>
      <c r="M101" s="405">
        <v>0</v>
      </c>
      <c r="N101" s="405">
        <v>0</v>
      </c>
      <c r="O101" s="405">
        <v>379305</v>
      </c>
      <c r="P101" s="405">
        <v>0</v>
      </c>
      <c r="Q101" s="405">
        <v>0</v>
      </c>
      <c r="R101" s="405">
        <v>6610</v>
      </c>
      <c r="S101" s="405">
        <v>0</v>
      </c>
      <c r="T101" s="405">
        <v>0</v>
      </c>
      <c r="U101" s="405">
        <v>0</v>
      </c>
      <c r="V101" s="405">
        <v>0</v>
      </c>
      <c r="W101" s="405">
        <v>0</v>
      </c>
      <c r="X101" s="405">
        <v>0</v>
      </c>
      <c r="Y101" s="405">
        <v>0</v>
      </c>
      <c r="Z101" s="405">
        <v>0</v>
      </c>
      <c r="AA101" s="405">
        <v>0</v>
      </c>
      <c r="AB101" s="405">
        <v>0</v>
      </c>
      <c r="AC101" s="405">
        <v>0</v>
      </c>
      <c r="AD101" s="405">
        <v>0</v>
      </c>
      <c r="AE101" s="405">
        <v>0</v>
      </c>
      <c r="AF101" s="405">
        <v>0</v>
      </c>
      <c r="AG101" s="405">
        <v>0</v>
      </c>
      <c r="AH101" s="405">
        <v>0</v>
      </c>
      <c r="AI101" s="405">
        <v>0</v>
      </c>
      <c r="AJ101" s="405">
        <v>0</v>
      </c>
      <c r="AK101" s="405">
        <v>0</v>
      </c>
      <c r="AL101" s="405">
        <v>0</v>
      </c>
      <c r="AM101" s="405">
        <v>0</v>
      </c>
      <c r="AN101" s="405">
        <v>0</v>
      </c>
      <c r="AO101" s="405">
        <v>0</v>
      </c>
      <c r="AP101" s="405">
        <v>0</v>
      </c>
      <c r="AQ101" s="405">
        <v>0</v>
      </c>
      <c r="AR101" s="405">
        <v>0</v>
      </c>
      <c r="AS101" s="405">
        <v>0</v>
      </c>
      <c r="AT101" s="405">
        <v>0</v>
      </c>
      <c r="AU101" s="405">
        <v>0</v>
      </c>
      <c r="AV101" s="405">
        <v>0</v>
      </c>
      <c r="AW101" s="405">
        <v>2111630</v>
      </c>
      <c r="AX101" s="405">
        <v>0</v>
      </c>
      <c r="AY101" s="405">
        <v>0</v>
      </c>
      <c r="AZ101" s="405">
        <v>0</v>
      </c>
      <c r="BA101" s="405">
        <v>0</v>
      </c>
      <c r="BB101" s="405">
        <v>0</v>
      </c>
      <c r="BC101" s="405">
        <v>0</v>
      </c>
      <c r="BD101" s="405">
        <v>0</v>
      </c>
      <c r="BE101" s="405">
        <v>0</v>
      </c>
      <c r="BF101" s="405">
        <v>0</v>
      </c>
      <c r="BG101" s="405">
        <v>0</v>
      </c>
      <c r="BH101" s="405">
        <v>0</v>
      </c>
      <c r="BI101" s="405">
        <v>0</v>
      </c>
      <c r="BJ101" s="405">
        <v>321362</v>
      </c>
      <c r="BK101" s="405">
        <v>0</v>
      </c>
      <c r="BL101" s="405">
        <v>0</v>
      </c>
      <c r="BM101" s="405">
        <v>0</v>
      </c>
      <c r="BN101" s="405">
        <v>0</v>
      </c>
      <c r="BO101" s="405">
        <v>33230</v>
      </c>
      <c r="BP101" s="405">
        <v>0</v>
      </c>
      <c r="BQ101" s="405">
        <v>0</v>
      </c>
      <c r="BR101" s="405">
        <v>0</v>
      </c>
      <c r="BS101" s="405">
        <v>0</v>
      </c>
      <c r="BT101" s="405">
        <v>0</v>
      </c>
      <c r="BU101" s="405">
        <v>0</v>
      </c>
      <c r="BV101" s="405">
        <v>0</v>
      </c>
      <c r="BW101" s="405">
        <v>0</v>
      </c>
      <c r="BX101" s="405">
        <v>0</v>
      </c>
      <c r="BY101" s="405">
        <v>0</v>
      </c>
      <c r="BZ101" s="405">
        <v>0</v>
      </c>
      <c r="CA101" s="405">
        <v>184128</v>
      </c>
      <c r="CB101" s="405">
        <v>0</v>
      </c>
      <c r="CC101" s="405">
        <v>0</v>
      </c>
      <c r="CD101" s="405">
        <v>0</v>
      </c>
      <c r="CE101" s="405">
        <v>4000</v>
      </c>
      <c r="CF101" s="405">
        <v>408812</v>
      </c>
    </row>
    <row r="102" spans="1:84" s="405" customFormat="1" x14ac:dyDescent="0.3">
      <c r="A102" s="405">
        <v>336</v>
      </c>
      <c r="B102" s="406"/>
      <c r="C102" s="405">
        <v>336</v>
      </c>
      <c r="D102" s="405" t="s">
        <v>636</v>
      </c>
      <c r="E102" s="405" t="s">
        <v>419</v>
      </c>
      <c r="F102" s="405">
        <v>2686</v>
      </c>
      <c r="G102" s="405">
        <v>52540</v>
      </c>
      <c r="H102" s="405">
        <v>70187</v>
      </c>
      <c r="I102" s="405">
        <v>51748</v>
      </c>
      <c r="J102" s="405">
        <v>172522</v>
      </c>
      <c r="K102" s="405">
        <v>7270</v>
      </c>
      <c r="L102" s="405">
        <v>467</v>
      </c>
      <c r="M102" s="405">
        <v>236</v>
      </c>
      <c r="N102" s="405">
        <v>755061</v>
      </c>
      <c r="O102" s="405">
        <v>25694597</v>
      </c>
      <c r="P102" s="405">
        <v>40401</v>
      </c>
      <c r="Q102" s="405">
        <v>884903</v>
      </c>
      <c r="R102" s="405">
        <v>9351</v>
      </c>
      <c r="S102" s="405">
        <v>1059215</v>
      </c>
      <c r="T102" s="405">
        <v>3992</v>
      </c>
      <c r="U102" s="405">
        <v>14782</v>
      </c>
      <c r="V102" s="405">
        <v>0</v>
      </c>
      <c r="W102" s="405">
        <v>49773</v>
      </c>
      <c r="X102" s="405">
        <v>334688</v>
      </c>
      <c r="Y102" s="405">
        <v>197335</v>
      </c>
      <c r="Z102" s="405">
        <v>0</v>
      </c>
      <c r="AA102" s="405">
        <v>189193</v>
      </c>
      <c r="AB102" s="405">
        <v>41803900</v>
      </c>
      <c r="AC102" s="405">
        <v>2874</v>
      </c>
      <c r="AD102" s="405">
        <v>24691</v>
      </c>
      <c r="AE102" s="405">
        <v>5906943</v>
      </c>
      <c r="AF102" s="405">
        <v>936094</v>
      </c>
      <c r="AG102" s="405">
        <v>0</v>
      </c>
      <c r="AH102" s="405">
        <v>0</v>
      </c>
      <c r="AI102" s="405">
        <v>9563</v>
      </c>
      <c r="AJ102" s="405">
        <v>8074</v>
      </c>
      <c r="AK102" s="405">
        <v>307537</v>
      </c>
      <c r="AL102" s="405">
        <v>13871</v>
      </c>
      <c r="AM102" s="405">
        <v>1069</v>
      </c>
      <c r="AN102" s="405">
        <v>0</v>
      </c>
      <c r="AO102" s="405">
        <v>0</v>
      </c>
      <c r="AP102" s="405">
        <v>992081</v>
      </c>
      <c r="AQ102" s="405">
        <v>150</v>
      </c>
      <c r="AR102" s="405">
        <v>232829</v>
      </c>
      <c r="AS102" s="405">
        <v>375008</v>
      </c>
      <c r="AT102" s="405">
        <v>908</v>
      </c>
      <c r="AU102" s="405">
        <v>0</v>
      </c>
      <c r="AV102" s="405">
        <v>0</v>
      </c>
      <c r="AW102" s="405">
        <v>89129172</v>
      </c>
      <c r="AX102" s="405">
        <v>11899818</v>
      </c>
      <c r="AY102" s="405">
        <v>179051</v>
      </c>
      <c r="AZ102" s="405">
        <v>3060</v>
      </c>
      <c r="BA102" s="405">
        <v>15514</v>
      </c>
      <c r="BB102" s="405">
        <v>5026</v>
      </c>
      <c r="BC102" s="405">
        <v>0</v>
      </c>
      <c r="BD102" s="405">
        <v>55341</v>
      </c>
      <c r="BE102" s="405">
        <v>8614</v>
      </c>
      <c r="BF102" s="405">
        <v>3068</v>
      </c>
      <c r="BG102" s="405">
        <v>2652</v>
      </c>
      <c r="BH102" s="405">
        <v>1655019</v>
      </c>
      <c r="BI102" s="405">
        <v>0</v>
      </c>
      <c r="BJ102" s="405">
        <v>804641</v>
      </c>
      <c r="BK102" s="405">
        <v>95975</v>
      </c>
      <c r="BL102" s="405">
        <v>13048</v>
      </c>
      <c r="BM102" s="405">
        <v>0</v>
      </c>
      <c r="BN102" s="405">
        <v>0</v>
      </c>
      <c r="BO102" s="405">
        <v>2581322</v>
      </c>
      <c r="BP102" s="405">
        <v>0</v>
      </c>
      <c r="BQ102" s="405">
        <v>9320920</v>
      </c>
      <c r="BR102" s="405">
        <v>27948722</v>
      </c>
      <c r="BS102" s="405">
        <v>38296</v>
      </c>
      <c r="BT102" s="405">
        <v>681693</v>
      </c>
      <c r="BU102" s="405">
        <v>30447</v>
      </c>
      <c r="BV102" s="405">
        <v>1273064</v>
      </c>
      <c r="BW102" s="405">
        <v>6431</v>
      </c>
      <c r="BX102" s="405">
        <v>8099</v>
      </c>
      <c r="BY102" s="405">
        <v>1571265</v>
      </c>
      <c r="BZ102" s="405">
        <v>0</v>
      </c>
      <c r="CA102" s="405">
        <v>15999096</v>
      </c>
      <c r="CB102" s="405">
        <v>0</v>
      </c>
      <c r="CC102" s="405">
        <v>1451196</v>
      </c>
      <c r="CD102" s="405">
        <v>62695</v>
      </c>
      <c r="CE102" s="405">
        <v>301956</v>
      </c>
      <c r="CF102" s="405">
        <v>8284395</v>
      </c>
    </row>
    <row r="103" spans="1:84" s="405" customFormat="1" x14ac:dyDescent="0.3">
      <c r="A103" s="405">
        <v>337</v>
      </c>
      <c r="B103" s="406">
        <v>337</v>
      </c>
      <c r="C103" s="405">
        <v>337</v>
      </c>
      <c r="D103" s="405" t="s">
        <v>254</v>
      </c>
      <c r="E103" s="405" t="s">
        <v>420</v>
      </c>
      <c r="F103" s="405">
        <v>700000</v>
      </c>
      <c r="G103" s="405">
        <v>83150</v>
      </c>
      <c r="H103" s="405">
        <v>560000</v>
      </c>
      <c r="I103" s="405">
        <v>0</v>
      </c>
      <c r="J103" s="405">
        <v>79463</v>
      </c>
      <c r="K103" s="405">
        <v>0</v>
      </c>
      <c r="L103" s="405">
        <v>0</v>
      </c>
      <c r="M103" s="405">
        <v>0</v>
      </c>
      <c r="N103" s="405">
        <v>5026161</v>
      </c>
      <c r="O103" s="405">
        <v>89533067</v>
      </c>
      <c r="P103" s="405">
        <v>0</v>
      </c>
      <c r="Q103" s="405">
        <v>8323972</v>
      </c>
      <c r="R103" s="405">
        <v>0</v>
      </c>
      <c r="S103" s="405">
        <v>1444445</v>
      </c>
      <c r="T103" s="405">
        <v>0</v>
      </c>
      <c r="U103" s="405">
        <v>170168</v>
      </c>
      <c r="V103" s="405">
        <v>0</v>
      </c>
      <c r="W103" s="405">
        <v>20442</v>
      </c>
      <c r="X103" s="405">
        <v>532440</v>
      </c>
      <c r="Y103" s="405">
        <v>835572</v>
      </c>
      <c r="Z103" s="405">
        <v>0</v>
      </c>
      <c r="AA103" s="405">
        <v>124099</v>
      </c>
      <c r="AB103" s="405">
        <v>40370096</v>
      </c>
      <c r="AC103" s="405">
        <v>0</v>
      </c>
      <c r="AD103" s="405">
        <v>34427</v>
      </c>
      <c r="AE103" s="405">
        <v>42967541</v>
      </c>
      <c r="AF103" s="405">
        <v>0</v>
      </c>
      <c r="AG103" s="405">
        <v>123717</v>
      </c>
      <c r="AH103" s="405">
        <v>61349429</v>
      </c>
      <c r="AI103" s="405">
        <v>0</v>
      </c>
      <c r="AJ103" s="405">
        <v>0</v>
      </c>
      <c r="AK103" s="405">
        <v>1856626</v>
      </c>
      <c r="AL103" s="405">
        <v>0</v>
      </c>
      <c r="AM103" s="405">
        <v>0</v>
      </c>
      <c r="AN103" s="405">
        <v>0</v>
      </c>
      <c r="AO103" s="405">
        <v>0</v>
      </c>
      <c r="AP103" s="405">
        <v>0</v>
      </c>
      <c r="AQ103" s="405">
        <v>0</v>
      </c>
      <c r="AR103" s="405">
        <v>82291</v>
      </c>
      <c r="AS103" s="405">
        <v>500000</v>
      </c>
      <c r="AT103" s="405">
        <v>0</v>
      </c>
      <c r="AU103" s="405">
        <v>0</v>
      </c>
      <c r="AV103" s="405">
        <v>0</v>
      </c>
      <c r="AW103" s="405">
        <v>415565629</v>
      </c>
      <c r="AX103" s="405">
        <v>36529480</v>
      </c>
      <c r="AY103" s="405">
        <v>1228257</v>
      </c>
      <c r="AZ103" s="405">
        <v>0</v>
      </c>
      <c r="BA103" s="405">
        <v>0</v>
      </c>
      <c r="BB103" s="405">
        <v>14525</v>
      </c>
      <c r="BC103" s="405">
        <v>0</v>
      </c>
      <c r="BD103" s="405">
        <v>0</v>
      </c>
      <c r="BE103" s="405">
        <v>0</v>
      </c>
      <c r="BF103" s="405">
        <v>0</v>
      </c>
      <c r="BG103" s="405">
        <v>0</v>
      </c>
      <c r="BH103" s="405">
        <v>17523854</v>
      </c>
      <c r="BI103" s="405">
        <v>0</v>
      </c>
      <c r="BJ103" s="405">
        <v>5959283</v>
      </c>
      <c r="BK103" s="405">
        <v>172500</v>
      </c>
      <c r="BL103" s="405">
        <v>0</v>
      </c>
      <c r="BM103" s="405">
        <v>0</v>
      </c>
      <c r="BN103" s="405">
        <v>2187080</v>
      </c>
      <c r="BO103" s="405">
        <v>20177665</v>
      </c>
      <c r="BP103" s="405">
        <v>0</v>
      </c>
      <c r="BQ103" s="405">
        <v>34645276</v>
      </c>
      <c r="BR103" s="405">
        <v>116752038</v>
      </c>
      <c r="BS103" s="405">
        <v>86208</v>
      </c>
      <c r="BT103" s="405">
        <v>4354415</v>
      </c>
      <c r="BU103" s="405">
        <v>0</v>
      </c>
      <c r="BV103" s="405">
        <v>3793400</v>
      </c>
      <c r="BW103" s="405">
        <v>28490</v>
      </c>
      <c r="BX103" s="405">
        <v>0</v>
      </c>
      <c r="BY103" s="405">
        <v>9791954</v>
      </c>
      <c r="BZ103" s="405">
        <v>0</v>
      </c>
      <c r="CA103" s="405">
        <v>33244080</v>
      </c>
      <c r="CB103" s="405">
        <v>0</v>
      </c>
      <c r="CC103" s="405">
        <v>4936961</v>
      </c>
      <c r="CD103" s="405">
        <v>170119</v>
      </c>
      <c r="CE103" s="405">
        <v>133102</v>
      </c>
      <c r="CF103" s="405">
        <v>48950064</v>
      </c>
    </row>
    <row r="104" spans="1:84" s="405" customFormat="1" x14ac:dyDescent="0.3">
      <c r="A104" s="405">
        <v>338</v>
      </c>
      <c r="B104" s="406">
        <v>338</v>
      </c>
      <c r="C104" s="405">
        <v>338</v>
      </c>
      <c r="D104" s="405" t="s">
        <v>116</v>
      </c>
      <c r="E104" s="405" t="s">
        <v>421</v>
      </c>
      <c r="F104" s="405">
        <v>1416969</v>
      </c>
      <c r="G104" s="405">
        <v>2091407</v>
      </c>
      <c r="H104" s="405">
        <v>590194</v>
      </c>
      <c r="I104" s="405">
        <v>336530</v>
      </c>
      <c r="J104" s="405">
        <v>252666</v>
      </c>
      <c r="K104" s="405">
        <v>10638</v>
      </c>
      <c r="L104" s="405">
        <v>482</v>
      </c>
      <c r="M104" s="405">
        <v>13775</v>
      </c>
      <c r="N104" s="405">
        <v>9548381</v>
      </c>
      <c r="O104" s="405">
        <v>216816990</v>
      </c>
      <c r="P104" s="405">
        <v>118246</v>
      </c>
      <c r="Q104" s="405">
        <v>10192585</v>
      </c>
      <c r="R104" s="405">
        <v>9351</v>
      </c>
      <c r="S104" s="405">
        <v>17243450</v>
      </c>
      <c r="T104" s="405">
        <v>3992</v>
      </c>
      <c r="U104" s="405">
        <v>177275</v>
      </c>
      <c r="V104" s="405">
        <v>0</v>
      </c>
      <c r="W104" s="405">
        <v>222505</v>
      </c>
      <c r="X104" s="405">
        <v>3754579</v>
      </c>
      <c r="Y104" s="405">
        <v>1440987</v>
      </c>
      <c r="Z104" s="405">
        <v>0</v>
      </c>
      <c r="AA104" s="405">
        <v>925028</v>
      </c>
      <c r="AB104" s="405">
        <v>57490046</v>
      </c>
      <c r="AC104" s="405">
        <v>2874</v>
      </c>
      <c r="AD104" s="405">
        <v>83862</v>
      </c>
      <c r="AE104" s="405">
        <v>73000895</v>
      </c>
      <c r="AF104" s="405">
        <v>1036075</v>
      </c>
      <c r="AG104" s="405">
        <v>218955</v>
      </c>
      <c r="AH104" s="405">
        <v>162680044</v>
      </c>
      <c r="AI104" s="405">
        <v>9563</v>
      </c>
      <c r="AJ104" s="405">
        <v>23093</v>
      </c>
      <c r="AK104" s="405">
        <v>4485191</v>
      </c>
      <c r="AL104" s="405">
        <v>243101</v>
      </c>
      <c r="AM104" s="405">
        <v>1069</v>
      </c>
      <c r="AN104" s="405">
        <v>0</v>
      </c>
      <c r="AO104" s="405">
        <v>300</v>
      </c>
      <c r="AP104" s="405">
        <v>16590339</v>
      </c>
      <c r="AQ104" s="405">
        <v>150</v>
      </c>
      <c r="AR104" s="405">
        <v>1517215</v>
      </c>
      <c r="AS104" s="405">
        <v>1245109</v>
      </c>
      <c r="AT104" s="405">
        <v>908</v>
      </c>
      <c r="AU104" s="405">
        <v>0</v>
      </c>
      <c r="AV104" s="405">
        <v>21559</v>
      </c>
      <c r="AW104" s="405">
        <v>708782168</v>
      </c>
      <c r="AX104" s="405">
        <v>124835995</v>
      </c>
      <c r="AY104" s="405">
        <v>1624700</v>
      </c>
      <c r="AZ104" s="405">
        <v>27693</v>
      </c>
      <c r="BA104" s="405">
        <v>42073</v>
      </c>
      <c r="BB104" s="405">
        <v>17476</v>
      </c>
      <c r="BC104" s="405">
        <v>0</v>
      </c>
      <c r="BD104" s="405">
        <v>8353296</v>
      </c>
      <c r="BE104" s="405">
        <v>8614</v>
      </c>
      <c r="BF104" s="405">
        <v>3068</v>
      </c>
      <c r="BG104" s="405">
        <v>2652</v>
      </c>
      <c r="BH104" s="405">
        <v>21719261</v>
      </c>
      <c r="BI104" s="405">
        <v>0</v>
      </c>
      <c r="BJ104" s="405">
        <v>12046690</v>
      </c>
      <c r="BK104" s="405">
        <v>6843136</v>
      </c>
      <c r="BL104" s="405">
        <v>13048</v>
      </c>
      <c r="BM104" s="405">
        <v>666</v>
      </c>
      <c r="BN104" s="405">
        <v>18226988</v>
      </c>
      <c r="BO104" s="405">
        <v>29431880</v>
      </c>
      <c r="BP104" s="405">
        <v>0</v>
      </c>
      <c r="BQ104" s="405">
        <v>76691446</v>
      </c>
      <c r="BR104" s="405">
        <v>191779394</v>
      </c>
      <c r="BS104" s="405">
        <v>91264</v>
      </c>
      <c r="BT104" s="405">
        <v>6050174</v>
      </c>
      <c r="BU104" s="405">
        <v>150411</v>
      </c>
      <c r="BV104" s="405">
        <v>8243589</v>
      </c>
      <c r="BW104" s="405">
        <v>49670</v>
      </c>
      <c r="BX104" s="405">
        <v>8361</v>
      </c>
      <c r="BY104" s="405">
        <v>10792298</v>
      </c>
      <c r="BZ104" s="405">
        <v>1128540</v>
      </c>
      <c r="CA104" s="405">
        <v>67298913</v>
      </c>
      <c r="CB104" s="405">
        <v>0</v>
      </c>
      <c r="CC104" s="405">
        <v>19329716</v>
      </c>
      <c r="CD104" s="405">
        <v>210202</v>
      </c>
      <c r="CE104" s="405">
        <v>1317844</v>
      </c>
      <c r="CF104" s="405">
        <v>67459271</v>
      </c>
    </row>
    <row r="105" spans="1:84" s="405" customFormat="1" x14ac:dyDescent="0.3">
      <c r="A105" s="405">
        <v>339</v>
      </c>
      <c r="B105" s="406">
        <v>339</v>
      </c>
      <c r="C105" s="405">
        <v>339</v>
      </c>
      <c r="D105" s="405" t="s">
        <v>190</v>
      </c>
      <c r="E105" s="405" t="s">
        <v>422</v>
      </c>
      <c r="F105" s="405">
        <v>119862</v>
      </c>
      <c r="G105" s="405">
        <v>234524</v>
      </c>
      <c r="H105" s="405">
        <v>24843</v>
      </c>
      <c r="I105" s="405">
        <v>140869</v>
      </c>
      <c r="J105" s="405">
        <v>17986</v>
      </c>
      <c r="K105" s="405">
        <v>7558</v>
      </c>
      <c r="L105" s="405">
        <v>1175</v>
      </c>
      <c r="M105" s="405">
        <v>0</v>
      </c>
      <c r="N105" s="405">
        <v>853549</v>
      </c>
      <c r="O105" s="405">
        <v>13220552</v>
      </c>
      <c r="P105" s="405">
        <v>9178</v>
      </c>
      <c r="Q105" s="405">
        <v>98814</v>
      </c>
      <c r="R105" s="405">
        <v>59278</v>
      </c>
      <c r="S105" s="405">
        <v>1816187</v>
      </c>
      <c r="T105" s="405">
        <v>0</v>
      </c>
      <c r="U105" s="405">
        <v>35060</v>
      </c>
      <c r="V105" s="405">
        <v>0</v>
      </c>
      <c r="W105" s="405">
        <v>22605</v>
      </c>
      <c r="X105" s="405">
        <v>91359</v>
      </c>
      <c r="Y105" s="405">
        <v>231070</v>
      </c>
      <c r="Z105" s="405">
        <v>0</v>
      </c>
      <c r="AA105" s="405">
        <v>148954</v>
      </c>
      <c r="AB105" s="405">
        <v>6557627</v>
      </c>
      <c r="AC105" s="405">
        <v>0</v>
      </c>
      <c r="AD105" s="405">
        <v>132845</v>
      </c>
      <c r="AE105" s="405">
        <v>2844386</v>
      </c>
      <c r="AF105" s="405">
        <v>112649</v>
      </c>
      <c r="AG105" s="405">
        <v>11266</v>
      </c>
      <c r="AH105" s="405">
        <v>12668771</v>
      </c>
      <c r="AI105" s="405">
        <v>1300</v>
      </c>
      <c r="AJ105" s="405">
        <v>47047</v>
      </c>
      <c r="AK105" s="405">
        <v>503515</v>
      </c>
      <c r="AL105" s="405">
        <v>32534</v>
      </c>
      <c r="AM105" s="405">
        <v>0</v>
      </c>
      <c r="AN105" s="405">
        <v>0</v>
      </c>
      <c r="AO105" s="405">
        <v>10750</v>
      </c>
      <c r="AP105" s="405">
        <v>1107057</v>
      </c>
      <c r="AQ105" s="405">
        <v>4500</v>
      </c>
      <c r="AR105" s="405">
        <v>415622</v>
      </c>
      <c r="AS105" s="405">
        <v>168064</v>
      </c>
      <c r="AT105" s="405">
        <v>0</v>
      </c>
      <c r="AU105" s="405">
        <v>0</v>
      </c>
      <c r="AV105" s="405">
        <v>1965</v>
      </c>
      <c r="AW105" s="405">
        <v>35260614</v>
      </c>
      <c r="AX105" s="405">
        <v>8128368</v>
      </c>
      <c r="AY105" s="405">
        <v>135929</v>
      </c>
      <c r="AZ105" s="405">
        <v>39125</v>
      </c>
      <c r="BA105" s="405">
        <v>51849</v>
      </c>
      <c r="BB105" s="405">
        <v>37287</v>
      </c>
      <c r="BC105" s="405">
        <v>0</v>
      </c>
      <c r="BD105" s="405">
        <v>777121</v>
      </c>
      <c r="BE105" s="405">
        <v>6400</v>
      </c>
      <c r="BF105" s="405">
        <v>13420</v>
      </c>
      <c r="BG105" s="405">
        <v>8391</v>
      </c>
      <c r="BH105" s="405">
        <v>829787</v>
      </c>
      <c r="BI105" s="405">
        <v>0</v>
      </c>
      <c r="BJ105" s="405">
        <v>1407549</v>
      </c>
      <c r="BK105" s="405">
        <v>140309</v>
      </c>
      <c r="BL105" s="405">
        <v>3745</v>
      </c>
      <c r="BM105" s="405">
        <v>7228</v>
      </c>
      <c r="BN105" s="405">
        <v>3828181</v>
      </c>
      <c r="BO105" s="405">
        <v>763110</v>
      </c>
      <c r="BP105" s="405">
        <v>0</v>
      </c>
      <c r="BQ105" s="405">
        <v>9435802</v>
      </c>
      <c r="BR105" s="405">
        <v>27120746</v>
      </c>
      <c r="BS105" s="405">
        <v>40998</v>
      </c>
      <c r="BT105" s="405">
        <v>468145</v>
      </c>
      <c r="BU105" s="405">
        <v>30635</v>
      </c>
      <c r="BV105" s="405">
        <v>316812</v>
      </c>
      <c r="BW105" s="405">
        <v>35515</v>
      </c>
      <c r="BX105" s="405">
        <v>5325</v>
      </c>
      <c r="BY105" s="405">
        <v>371321</v>
      </c>
      <c r="BZ105" s="405">
        <v>569069</v>
      </c>
      <c r="CA105" s="405">
        <v>11226426</v>
      </c>
      <c r="CB105" s="405">
        <v>0</v>
      </c>
      <c r="CC105" s="405">
        <v>1699782</v>
      </c>
      <c r="CD105" s="405">
        <v>940</v>
      </c>
      <c r="CE105" s="405">
        <v>398868</v>
      </c>
      <c r="CF105" s="405">
        <v>2597499</v>
      </c>
    </row>
    <row r="106" spans="1:84" s="405" customFormat="1" x14ac:dyDescent="0.3">
      <c r="A106" s="405">
        <v>340</v>
      </c>
      <c r="B106" s="406"/>
      <c r="C106" s="405">
        <v>340</v>
      </c>
      <c r="D106" s="405" t="s">
        <v>637</v>
      </c>
      <c r="E106" s="405" t="s">
        <v>423</v>
      </c>
    </row>
    <row r="107" spans="1:84" s="405" customFormat="1" x14ac:dyDescent="0.3">
      <c r="A107" s="405">
        <v>341</v>
      </c>
      <c r="B107" s="406">
        <v>341</v>
      </c>
      <c r="C107" s="405">
        <v>341</v>
      </c>
      <c r="D107" s="405" t="s">
        <v>193</v>
      </c>
      <c r="E107" s="405" t="s">
        <v>424</v>
      </c>
      <c r="F107" s="405">
        <v>1092118</v>
      </c>
      <c r="G107" s="405">
        <v>1718482</v>
      </c>
      <c r="H107" s="405">
        <v>276936</v>
      </c>
      <c r="I107" s="405">
        <v>705325</v>
      </c>
      <c r="J107" s="405">
        <v>612952</v>
      </c>
      <c r="K107" s="405">
        <v>233013</v>
      </c>
      <c r="L107" s="405">
        <v>45896</v>
      </c>
      <c r="M107" s="405">
        <v>72659</v>
      </c>
      <c r="N107" s="405">
        <v>3357533</v>
      </c>
      <c r="O107" s="405">
        <v>146919245</v>
      </c>
      <c r="P107" s="405">
        <v>2025795</v>
      </c>
      <c r="Q107" s="405">
        <v>7330055</v>
      </c>
      <c r="R107" s="405">
        <v>17363</v>
      </c>
      <c r="S107" s="405">
        <v>9143737</v>
      </c>
      <c r="T107" s="405">
        <v>69941</v>
      </c>
      <c r="U107" s="405">
        <v>296080</v>
      </c>
      <c r="V107" s="405">
        <v>0</v>
      </c>
      <c r="W107" s="405">
        <v>1072076</v>
      </c>
      <c r="X107" s="405">
        <v>4829076</v>
      </c>
      <c r="Y107" s="405">
        <v>1681867</v>
      </c>
      <c r="Z107" s="405">
        <v>0</v>
      </c>
      <c r="AA107" s="405">
        <v>758224</v>
      </c>
      <c r="AB107" s="405">
        <v>26709051</v>
      </c>
      <c r="AC107" s="405">
        <v>1096621</v>
      </c>
      <c r="AD107" s="405">
        <v>483497</v>
      </c>
      <c r="AE107" s="405">
        <v>32229823</v>
      </c>
      <c r="AF107" s="405">
        <v>542880</v>
      </c>
      <c r="AG107" s="405">
        <v>567486</v>
      </c>
      <c r="AH107" s="405">
        <v>61349996</v>
      </c>
      <c r="AI107" s="405">
        <v>189135</v>
      </c>
      <c r="AJ107" s="405">
        <v>198946</v>
      </c>
      <c r="AK107" s="405">
        <v>5414047</v>
      </c>
      <c r="AL107" s="405">
        <v>818471</v>
      </c>
      <c r="AM107" s="405">
        <v>63927</v>
      </c>
      <c r="AN107" s="405">
        <v>0</v>
      </c>
      <c r="AO107" s="405">
        <v>158059</v>
      </c>
      <c r="AP107" s="405">
        <v>11172850</v>
      </c>
      <c r="AQ107" s="405">
        <v>40453</v>
      </c>
      <c r="AR107" s="405">
        <v>3654889</v>
      </c>
      <c r="AS107" s="405">
        <v>2064787</v>
      </c>
      <c r="AT107" s="405">
        <v>70279</v>
      </c>
      <c r="AU107" s="405">
        <v>0</v>
      </c>
      <c r="AV107" s="405">
        <v>306439</v>
      </c>
      <c r="AW107" s="405">
        <v>280563315</v>
      </c>
      <c r="AX107" s="405">
        <v>68849008</v>
      </c>
      <c r="AY107" s="405">
        <v>1485397</v>
      </c>
      <c r="AZ107" s="405">
        <v>236153</v>
      </c>
      <c r="BA107" s="405">
        <v>273630</v>
      </c>
      <c r="BB107" s="405">
        <v>139066</v>
      </c>
      <c r="BC107" s="405">
        <v>0</v>
      </c>
      <c r="BD107" s="405">
        <v>4361075</v>
      </c>
      <c r="BE107" s="405">
        <v>250500</v>
      </c>
      <c r="BF107" s="405">
        <v>108879</v>
      </c>
      <c r="BG107" s="405">
        <v>40799</v>
      </c>
      <c r="BH107" s="405">
        <v>12959667</v>
      </c>
      <c r="BI107" s="405">
        <v>19032</v>
      </c>
      <c r="BJ107" s="405">
        <v>9306009</v>
      </c>
      <c r="BK107" s="405">
        <v>1845239</v>
      </c>
      <c r="BL107" s="405">
        <v>203101</v>
      </c>
      <c r="BM107" s="405">
        <v>73405</v>
      </c>
      <c r="BN107" s="405">
        <v>11292561</v>
      </c>
      <c r="BO107" s="405">
        <v>16474489</v>
      </c>
      <c r="BP107" s="405">
        <v>0</v>
      </c>
      <c r="BQ107" s="405">
        <v>50445779</v>
      </c>
      <c r="BR107" s="405">
        <v>99369819</v>
      </c>
      <c r="BS107" s="405">
        <v>287797</v>
      </c>
      <c r="BT107" s="405">
        <v>4463735</v>
      </c>
      <c r="BU107" s="405">
        <v>972639</v>
      </c>
      <c r="BV107" s="405">
        <v>10510914</v>
      </c>
      <c r="BW107" s="405">
        <v>123641</v>
      </c>
      <c r="BX107" s="405">
        <v>225737</v>
      </c>
      <c r="BY107" s="405">
        <v>5995158</v>
      </c>
      <c r="BZ107" s="405">
        <v>2692466</v>
      </c>
      <c r="CA107" s="405">
        <v>35775957</v>
      </c>
      <c r="CB107" s="405">
        <v>0</v>
      </c>
      <c r="CC107" s="405">
        <v>12028844</v>
      </c>
      <c r="CD107" s="405">
        <v>500978</v>
      </c>
      <c r="CE107" s="405">
        <v>2492855</v>
      </c>
      <c r="CF107" s="405">
        <v>44870894</v>
      </c>
    </row>
    <row r="108" spans="1:84" s="405" customFormat="1" x14ac:dyDescent="0.3">
      <c r="A108" s="405">
        <v>342</v>
      </c>
      <c r="B108" s="406"/>
      <c r="C108" s="405">
        <v>342</v>
      </c>
      <c r="D108" s="405" t="s">
        <v>638</v>
      </c>
      <c r="E108" s="405" t="s">
        <v>425</v>
      </c>
    </row>
    <row r="109" spans="1:84" s="405" customFormat="1" x14ac:dyDescent="0.3">
      <c r="A109" s="405">
        <v>343</v>
      </c>
      <c r="B109" s="406">
        <v>343</v>
      </c>
      <c r="C109" s="405">
        <v>343</v>
      </c>
      <c r="D109" s="405" t="s">
        <v>255</v>
      </c>
      <c r="E109" s="405" t="s">
        <v>426</v>
      </c>
      <c r="F109" s="405">
        <v>0</v>
      </c>
      <c r="G109" s="405">
        <v>25814</v>
      </c>
      <c r="H109" s="405">
        <v>40000</v>
      </c>
      <c r="I109" s="405">
        <v>0</v>
      </c>
      <c r="J109" s="405">
        <v>35114</v>
      </c>
      <c r="K109" s="405">
        <v>0</v>
      </c>
      <c r="L109" s="405">
        <v>0</v>
      </c>
      <c r="M109" s="405">
        <v>0</v>
      </c>
      <c r="N109" s="405">
        <v>77609</v>
      </c>
      <c r="O109" s="405">
        <v>8477371</v>
      </c>
      <c r="P109" s="405">
        <v>0</v>
      </c>
      <c r="Q109" s="405">
        <v>309189</v>
      </c>
      <c r="R109" s="405">
        <v>0</v>
      </c>
      <c r="S109" s="405">
        <v>176825</v>
      </c>
      <c r="T109" s="405">
        <v>0</v>
      </c>
      <c r="U109" s="405">
        <v>8546</v>
      </c>
      <c r="V109" s="405">
        <v>0</v>
      </c>
      <c r="W109" s="405">
        <v>20442</v>
      </c>
      <c r="X109" s="405">
        <v>247234</v>
      </c>
      <c r="Y109" s="405">
        <v>107583</v>
      </c>
      <c r="Z109" s="405">
        <v>0</v>
      </c>
      <c r="AA109" s="405">
        <v>20742</v>
      </c>
      <c r="AB109" s="405">
        <v>2660000</v>
      </c>
      <c r="AC109" s="405">
        <v>0</v>
      </c>
      <c r="AD109" s="405">
        <v>16080</v>
      </c>
      <c r="AE109" s="405">
        <v>7170395</v>
      </c>
      <c r="AF109" s="405">
        <v>0</v>
      </c>
      <c r="AG109" s="405">
        <v>9860</v>
      </c>
      <c r="AH109" s="405">
        <v>14863811</v>
      </c>
      <c r="AI109" s="405">
        <v>0</v>
      </c>
      <c r="AJ109" s="405">
        <v>0</v>
      </c>
      <c r="AK109" s="405">
        <v>168644</v>
      </c>
      <c r="AL109" s="405">
        <v>0</v>
      </c>
      <c r="AM109" s="405">
        <v>0</v>
      </c>
      <c r="AN109" s="405">
        <v>0</v>
      </c>
      <c r="AO109" s="405">
        <v>0</v>
      </c>
      <c r="AP109" s="405">
        <v>0</v>
      </c>
      <c r="AQ109" s="405">
        <v>0</v>
      </c>
      <c r="AR109" s="405">
        <v>80389</v>
      </c>
      <c r="AS109" s="405">
        <v>50000</v>
      </c>
      <c r="AT109" s="405">
        <v>0</v>
      </c>
      <c r="AU109" s="405">
        <v>0</v>
      </c>
      <c r="AV109" s="405">
        <v>0</v>
      </c>
      <c r="AW109" s="405">
        <v>29980957</v>
      </c>
      <c r="AX109" s="405">
        <v>4429540</v>
      </c>
      <c r="AY109" s="405">
        <v>78746</v>
      </c>
      <c r="AZ109" s="405">
        <v>0</v>
      </c>
      <c r="BA109" s="405">
        <v>0</v>
      </c>
      <c r="BB109" s="405">
        <v>2075</v>
      </c>
      <c r="BC109" s="405">
        <v>0</v>
      </c>
      <c r="BD109" s="405">
        <v>110978</v>
      </c>
      <c r="BE109" s="405">
        <v>0</v>
      </c>
      <c r="BF109" s="405">
        <v>0</v>
      </c>
      <c r="BG109" s="405">
        <v>0</v>
      </c>
      <c r="BH109" s="405">
        <v>698933</v>
      </c>
      <c r="BI109" s="405">
        <v>0</v>
      </c>
      <c r="BJ109" s="405">
        <v>194739</v>
      </c>
      <c r="BK109" s="405">
        <v>48197</v>
      </c>
      <c r="BL109" s="405">
        <v>0</v>
      </c>
      <c r="BM109" s="405">
        <v>0</v>
      </c>
      <c r="BN109" s="405">
        <v>331670</v>
      </c>
      <c r="BO109" s="405">
        <v>793074</v>
      </c>
      <c r="BP109" s="405">
        <v>0</v>
      </c>
      <c r="BQ109" s="405">
        <v>1253981</v>
      </c>
      <c r="BR109" s="405">
        <v>8795363</v>
      </c>
      <c r="BS109" s="405">
        <v>125000</v>
      </c>
      <c r="BT109" s="405">
        <v>367749</v>
      </c>
      <c r="BU109" s="405">
        <v>0</v>
      </c>
      <c r="BV109" s="405">
        <v>838880</v>
      </c>
      <c r="BW109" s="405">
        <v>1862</v>
      </c>
      <c r="BX109" s="405">
        <v>0</v>
      </c>
      <c r="BY109" s="405">
        <v>1400000</v>
      </c>
      <c r="BZ109" s="405">
        <v>407373</v>
      </c>
      <c r="CA109" s="405">
        <v>3387831</v>
      </c>
      <c r="CB109" s="405">
        <v>0</v>
      </c>
      <c r="CC109" s="405">
        <v>928753</v>
      </c>
      <c r="CD109" s="405">
        <v>23288</v>
      </c>
      <c r="CE109" s="405">
        <v>66266</v>
      </c>
      <c r="CF109" s="405">
        <v>3087860</v>
      </c>
    </row>
    <row r="110" spans="1:84" s="405" customFormat="1" x14ac:dyDescent="0.3">
      <c r="A110" s="405">
        <v>344</v>
      </c>
      <c r="B110" s="406">
        <v>344</v>
      </c>
      <c r="C110" s="405">
        <v>344</v>
      </c>
      <c r="D110" s="405" t="s">
        <v>188</v>
      </c>
      <c r="E110" s="405" t="s">
        <v>427</v>
      </c>
      <c r="F110" s="405">
        <v>0</v>
      </c>
      <c r="G110" s="405">
        <v>3441</v>
      </c>
      <c r="H110" s="405">
        <v>22626</v>
      </c>
      <c r="I110" s="405">
        <v>0</v>
      </c>
      <c r="J110" s="405">
        <v>4089</v>
      </c>
      <c r="K110" s="405">
        <v>0</v>
      </c>
      <c r="L110" s="405">
        <v>0</v>
      </c>
      <c r="M110" s="405">
        <v>0</v>
      </c>
      <c r="N110" s="405">
        <v>136117</v>
      </c>
      <c r="O110" s="405">
        <v>3309552</v>
      </c>
      <c r="P110" s="405">
        <v>0</v>
      </c>
      <c r="Q110" s="405">
        <v>276814</v>
      </c>
      <c r="R110" s="405">
        <v>0</v>
      </c>
      <c r="S110" s="405">
        <v>13037</v>
      </c>
      <c r="T110" s="405">
        <v>0</v>
      </c>
      <c r="U110" s="405">
        <v>6272</v>
      </c>
      <c r="V110" s="405">
        <v>0</v>
      </c>
      <c r="W110" s="405">
        <v>3046</v>
      </c>
      <c r="X110" s="405">
        <v>17039</v>
      </c>
      <c r="Y110" s="405">
        <v>9715</v>
      </c>
      <c r="Z110" s="405">
        <v>0</v>
      </c>
      <c r="AA110" s="405">
        <v>4691</v>
      </c>
      <c r="AB110" s="405">
        <v>1410860</v>
      </c>
      <c r="AC110" s="405">
        <v>0</v>
      </c>
      <c r="AD110" s="405">
        <v>1857</v>
      </c>
      <c r="AE110" s="405">
        <v>1310482</v>
      </c>
      <c r="AF110" s="405">
        <v>39831</v>
      </c>
      <c r="AG110" s="405">
        <v>5410</v>
      </c>
      <c r="AH110" s="405">
        <v>2387821</v>
      </c>
      <c r="AI110" s="405">
        <v>0</v>
      </c>
      <c r="AJ110" s="405">
        <v>0</v>
      </c>
      <c r="AK110" s="405">
        <v>53542</v>
      </c>
      <c r="AL110" s="405">
        <v>0</v>
      </c>
      <c r="AM110" s="405">
        <v>0</v>
      </c>
      <c r="AN110" s="405">
        <v>0</v>
      </c>
      <c r="AO110" s="405">
        <v>0</v>
      </c>
      <c r="AP110" s="405">
        <v>0</v>
      </c>
      <c r="AQ110" s="405">
        <v>0</v>
      </c>
      <c r="AR110" s="405">
        <v>6233</v>
      </c>
      <c r="AS110" s="405">
        <v>5618</v>
      </c>
      <c r="AT110" s="405">
        <v>0</v>
      </c>
      <c r="AU110" s="405">
        <v>0</v>
      </c>
      <c r="AV110" s="405">
        <v>0</v>
      </c>
      <c r="AW110" s="405">
        <v>11160574</v>
      </c>
      <c r="AX110" s="405">
        <v>1163220</v>
      </c>
      <c r="AY110" s="405">
        <v>78818</v>
      </c>
      <c r="AZ110" s="405">
        <v>0</v>
      </c>
      <c r="BA110" s="405">
        <v>0</v>
      </c>
      <c r="BB110" s="405">
        <v>0</v>
      </c>
      <c r="BC110" s="405">
        <v>0</v>
      </c>
      <c r="BD110" s="405">
        <v>2636</v>
      </c>
      <c r="BE110" s="405">
        <v>0</v>
      </c>
      <c r="BF110" s="405">
        <v>0</v>
      </c>
      <c r="BG110" s="405">
        <v>0</v>
      </c>
      <c r="BH110" s="405">
        <v>493797</v>
      </c>
      <c r="BI110" s="405">
        <v>0</v>
      </c>
      <c r="BJ110" s="405">
        <v>146550</v>
      </c>
      <c r="BK110" s="405">
        <v>5174</v>
      </c>
      <c r="BL110" s="405">
        <v>0</v>
      </c>
      <c r="BM110" s="405">
        <v>0</v>
      </c>
      <c r="BN110" s="405">
        <v>58322</v>
      </c>
      <c r="BO110" s="405">
        <v>325760</v>
      </c>
      <c r="BP110" s="405">
        <v>0</v>
      </c>
      <c r="BQ110" s="405">
        <v>1001619</v>
      </c>
      <c r="BR110" s="405">
        <v>3731584</v>
      </c>
      <c r="BS110" s="405">
        <v>5624</v>
      </c>
      <c r="BT110" s="405">
        <v>167667</v>
      </c>
      <c r="BU110" s="405">
        <v>0</v>
      </c>
      <c r="BV110" s="405">
        <v>121076</v>
      </c>
      <c r="BW110" s="405">
        <v>1286</v>
      </c>
      <c r="BX110" s="405">
        <v>0</v>
      </c>
      <c r="BY110" s="405">
        <v>294701</v>
      </c>
      <c r="BZ110" s="405">
        <v>15951</v>
      </c>
      <c r="CA110" s="405">
        <v>1370458</v>
      </c>
      <c r="CB110" s="405">
        <v>0</v>
      </c>
      <c r="CC110" s="405">
        <v>200204</v>
      </c>
      <c r="CD110" s="405">
        <v>6165</v>
      </c>
      <c r="CE110" s="405">
        <v>4993</v>
      </c>
      <c r="CF110" s="405">
        <v>1466083</v>
      </c>
    </row>
    <row r="111" spans="1:84" s="405" customFormat="1" x14ac:dyDescent="0.3">
      <c r="A111" s="405">
        <v>346</v>
      </c>
      <c r="B111" s="406"/>
      <c r="C111" s="405">
        <v>346</v>
      </c>
      <c r="D111" s="405" t="s">
        <v>639</v>
      </c>
      <c r="E111" s="405" t="s">
        <v>428</v>
      </c>
    </row>
    <row r="112" spans="1:84" s="405" customFormat="1" x14ac:dyDescent="0.3">
      <c r="A112" s="405">
        <v>347</v>
      </c>
      <c r="B112" s="406"/>
      <c r="C112" s="405">
        <v>347</v>
      </c>
      <c r="D112" s="405" t="s">
        <v>640</v>
      </c>
      <c r="E112" s="405" t="s">
        <v>429</v>
      </c>
    </row>
    <row r="113" spans="1:84" s="405" customFormat="1" x14ac:dyDescent="0.3">
      <c r="A113" s="405">
        <v>349</v>
      </c>
      <c r="B113" s="406">
        <v>349</v>
      </c>
      <c r="C113" s="405">
        <v>349</v>
      </c>
      <c r="D113" s="405" t="s">
        <v>122</v>
      </c>
      <c r="E113" s="405" t="s">
        <v>430</v>
      </c>
      <c r="F113" s="405">
        <v>112600</v>
      </c>
      <c r="G113" s="405">
        <v>3329558</v>
      </c>
      <c r="H113" s="405">
        <v>0</v>
      </c>
      <c r="I113" s="405">
        <v>809034</v>
      </c>
      <c r="J113" s="405">
        <v>1413420</v>
      </c>
      <c r="K113" s="405">
        <v>36951</v>
      </c>
      <c r="L113" s="405">
        <v>0</v>
      </c>
      <c r="M113" s="405">
        <v>2004271</v>
      </c>
      <c r="N113" s="405">
        <v>12600398</v>
      </c>
      <c r="O113" s="405">
        <v>0</v>
      </c>
      <c r="P113" s="405">
        <v>0</v>
      </c>
      <c r="Q113" s="405">
        <v>0</v>
      </c>
      <c r="R113" s="405">
        <v>29819</v>
      </c>
      <c r="S113" s="405">
        <v>4995253</v>
      </c>
      <c r="T113" s="405">
        <v>0</v>
      </c>
      <c r="U113" s="405">
        <v>311903</v>
      </c>
      <c r="V113" s="405">
        <v>0</v>
      </c>
      <c r="W113" s="405">
        <v>142066</v>
      </c>
      <c r="X113" s="405">
        <v>9566364</v>
      </c>
      <c r="Y113" s="405">
        <v>0</v>
      </c>
      <c r="Z113" s="405">
        <v>0</v>
      </c>
      <c r="AA113" s="405">
        <v>1340710</v>
      </c>
      <c r="AB113" s="405">
        <v>43585320</v>
      </c>
      <c r="AC113" s="405">
        <v>0</v>
      </c>
      <c r="AD113" s="405">
        <v>540409</v>
      </c>
      <c r="AE113" s="405">
        <v>0</v>
      </c>
      <c r="AF113" s="405">
        <v>0</v>
      </c>
      <c r="AG113" s="405">
        <v>0</v>
      </c>
      <c r="AH113" s="405">
        <v>74474363</v>
      </c>
      <c r="AI113" s="405">
        <v>1959</v>
      </c>
      <c r="AJ113" s="405">
        <v>31168</v>
      </c>
      <c r="AK113" s="405">
        <v>2768550</v>
      </c>
      <c r="AL113" s="405">
        <v>425</v>
      </c>
      <c r="AM113" s="405">
        <v>94509</v>
      </c>
      <c r="AN113" s="405">
        <v>0</v>
      </c>
      <c r="AO113" s="405">
        <v>2750587</v>
      </c>
      <c r="AP113" s="405">
        <v>8642822</v>
      </c>
      <c r="AQ113" s="405">
        <v>0</v>
      </c>
      <c r="AR113" s="405">
        <v>2987202</v>
      </c>
      <c r="AS113" s="405">
        <v>0</v>
      </c>
      <c r="AT113" s="405">
        <v>0</v>
      </c>
      <c r="AU113" s="405">
        <v>0</v>
      </c>
      <c r="AV113" s="405">
        <v>28464</v>
      </c>
      <c r="AW113" s="405">
        <v>358756414</v>
      </c>
      <c r="AX113" s="405">
        <v>115228698</v>
      </c>
      <c r="AY113" s="405">
        <v>877628</v>
      </c>
      <c r="AZ113" s="405">
        <v>462952</v>
      </c>
      <c r="BA113" s="405">
        <v>88706</v>
      </c>
      <c r="BB113" s="405">
        <v>44169</v>
      </c>
      <c r="BC113" s="405">
        <v>0</v>
      </c>
      <c r="BD113" s="405">
        <v>3092023</v>
      </c>
      <c r="BE113" s="405">
        <v>217717</v>
      </c>
      <c r="BF113" s="405">
        <v>0</v>
      </c>
      <c r="BG113" s="405">
        <v>319428</v>
      </c>
      <c r="BH113" s="405">
        <v>16914274</v>
      </c>
      <c r="BI113" s="405">
        <v>0</v>
      </c>
      <c r="BJ113" s="405">
        <v>15452989</v>
      </c>
      <c r="BK113" s="405">
        <v>1496031</v>
      </c>
      <c r="BL113" s="405">
        <v>0</v>
      </c>
      <c r="BM113" s="405">
        <v>0</v>
      </c>
      <c r="BN113" s="405">
        <v>25582000</v>
      </c>
      <c r="BO113" s="405">
        <v>29874137</v>
      </c>
      <c r="BP113" s="405">
        <v>0</v>
      </c>
      <c r="BQ113" s="405">
        <v>33432687</v>
      </c>
      <c r="BR113" s="405">
        <v>183315713</v>
      </c>
      <c r="BS113" s="405">
        <v>28788</v>
      </c>
      <c r="BT113" s="405">
        <v>1475316</v>
      </c>
      <c r="BU113" s="405">
        <v>0</v>
      </c>
      <c r="BV113" s="405">
        <v>31871980</v>
      </c>
      <c r="BW113" s="405">
        <v>52606</v>
      </c>
      <c r="BX113" s="405">
        <v>138023</v>
      </c>
      <c r="BY113" s="405">
        <v>637506</v>
      </c>
      <c r="BZ113" s="405">
        <v>0</v>
      </c>
      <c r="CA113" s="405">
        <v>45019348</v>
      </c>
      <c r="CB113" s="405">
        <v>0</v>
      </c>
      <c r="CC113" s="405">
        <v>0</v>
      </c>
      <c r="CD113" s="405">
        <v>129429</v>
      </c>
      <c r="CE113" s="405">
        <v>0</v>
      </c>
      <c r="CF113" s="405">
        <v>0</v>
      </c>
    </row>
    <row r="114" spans="1:84" s="405" customFormat="1" x14ac:dyDescent="0.3">
      <c r="A114" s="405">
        <v>350</v>
      </c>
      <c r="B114" s="406">
        <v>350</v>
      </c>
      <c r="C114" s="405">
        <v>350</v>
      </c>
      <c r="D114" s="405" t="s">
        <v>231</v>
      </c>
      <c r="E114" s="405" t="s">
        <v>431</v>
      </c>
      <c r="F114" s="405">
        <v>19806</v>
      </c>
      <c r="G114" s="405">
        <v>0</v>
      </c>
      <c r="H114" s="405">
        <v>0</v>
      </c>
      <c r="I114" s="405">
        <v>17811</v>
      </c>
      <c r="J114" s="405">
        <v>928</v>
      </c>
      <c r="K114" s="405">
        <v>1873</v>
      </c>
      <c r="L114" s="405">
        <v>0</v>
      </c>
      <c r="M114" s="405">
        <v>765822</v>
      </c>
      <c r="N114" s="405">
        <v>26611</v>
      </c>
      <c r="O114" s="405">
        <v>0</v>
      </c>
      <c r="P114" s="405">
        <v>0</v>
      </c>
      <c r="Q114" s="405">
        <v>0</v>
      </c>
      <c r="R114" s="405">
        <v>0</v>
      </c>
      <c r="S114" s="405">
        <v>858037</v>
      </c>
      <c r="T114" s="405">
        <v>0</v>
      </c>
      <c r="U114" s="405">
        <v>759</v>
      </c>
      <c r="V114" s="405">
        <v>0</v>
      </c>
      <c r="W114" s="405">
        <v>2672</v>
      </c>
      <c r="X114" s="405">
        <v>183566</v>
      </c>
      <c r="Y114" s="405">
        <v>0</v>
      </c>
      <c r="Z114" s="405">
        <v>0</v>
      </c>
      <c r="AA114" s="405">
        <v>691715</v>
      </c>
      <c r="AB114" s="405">
        <v>9189576</v>
      </c>
      <c r="AC114" s="405">
        <v>0</v>
      </c>
      <c r="AD114" s="405">
        <v>0</v>
      </c>
      <c r="AE114" s="405">
        <v>0</v>
      </c>
      <c r="AF114" s="405">
        <v>0</v>
      </c>
      <c r="AG114" s="405">
        <v>0</v>
      </c>
      <c r="AH114" s="405">
        <v>307391</v>
      </c>
      <c r="AI114" s="405">
        <v>0</v>
      </c>
      <c r="AJ114" s="405">
        <v>3797</v>
      </c>
      <c r="AK114" s="405">
        <v>378</v>
      </c>
      <c r="AL114" s="405">
        <v>0</v>
      </c>
      <c r="AM114" s="405">
        <v>0</v>
      </c>
      <c r="AN114" s="405">
        <v>0</v>
      </c>
      <c r="AO114" s="405">
        <v>216324</v>
      </c>
      <c r="AP114" s="405">
        <v>218165</v>
      </c>
      <c r="AQ114" s="405">
        <v>0</v>
      </c>
      <c r="AR114" s="405">
        <v>186982</v>
      </c>
      <c r="AS114" s="405">
        <v>0</v>
      </c>
      <c r="AT114" s="405">
        <v>0</v>
      </c>
      <c r="AU114" s="405">
        <v>0</v>
      </c>
      <c r="AV114" s="405">
        <v>1064</v>
      </c>
      <c r="AW114" s="405">
        <v>2366257</v>
      </c>
      <c r="AX114" s="405">
        <v>2337795</v>
      </c>
      <c r="AY114" s="405">
        <v>103517</v>
      </c>
      <c r="AZ114" s="405">
        <v>1090</v>
      </c>
      <c r="BA114" s="405">
        <v>3446</v>
      </c>
      <c r="BB114" s="405">
        <v>0</v>
      </c>
      <c r="BC114" s="405">
        <v>0</v>
      </c>
      <c r="BD114" s="405">
        <v>61994</v>
      </c>
      <c r="BE114" s="405">
        <v>75</v>
      </c>
      <c r="BF114" s="405">
        <v>0</v>
      </c>
      <c r="BG114" s="405">
        <v>2381</v>
      </c>
      <c r="BH114" s="405">
        <v>152980</v>
      </c>
      <c r="BI114" s="405">
        <v>0</v>
      </c>
      <c r="BJ114" s="405">
        <v>707430</v>
      </c>
      <c r="BK114" s="405">
        <v>5502</v>
      </c>
      <c r="BL114" s="405">
        <v>0</v>
      </c>
      <c r="BM114" s="405">
        <v>0</v>
      </c>
      <c r="BN114" s="405">
        <v>347835</v>
      </c>
      <c r="BO114" s="405">
        <v>214282</v>
      </c>
      <c r="BP114" s="405">
        <v>0</v>
      </c>
      <c r="BQ114" s="405">
        <v>1922248</v>
      </c>
      <c r="BR114" s="405">
        <v>3907951</v>
      </c>
      <c r="BS114" s="405">
        <v>1532086</v>
      </c>
      <c r="BT114" s="405">
        <v>9249</v>
      </c>
      <c r="BU114" s="405">
        <v>0</v>
      </c>
      <c r="BV114" s="405">
        <v>175752</v>
      </c>
      <c r="BW114" s="405">
        <v>0</v>
      </c>
      <c r="BX114" s="405">
        <v>0</v>
      </c>
      <c r="BY114" s="405">
        <v>1662520</v>
      </c>
      <c r="BZ114" s="405">
        <v>0</v>
      </c>
      <c r="CA114" s="405">
        <v>499476</v>
      </c>
      <c r="CB114" s="405">
        <v>0</v>
      </c>
      <c r="CC114" s="405">
        <v>0</v>
      </c>
      <c r="CD114" s="405">
        <v>47186</v>
      </c>
      <c r="CE114" s="405">
        <v>0</v>
      </c>
      <c r="CF114" s="405">
        <v>0</v>
      </c>
    </row>
    <row r="115" spans="1:84" s="405" customFormat="1" x14ac:dyDescent="0.3">
      <c r="A115" s="405">
        <v>351</v>
      </c>
      <c r="B115" s="406">
        <v>351</v>
      </c>
      <c r="C115" s="405">
        <v>351</v>
      </c>
      <c r="D115" s="405" t="s">
        <v>232</v>
      </c>
      <c r="E115" s="405" t="s">
        <v>432</v>
      </c>
      <c r="F115" s="405">
        <v>0</v>
      </c>
      <c r="G115" s="405">
        <v>109823</v>
      </c>
      <c r="H115" s="405">
        <v>0</v>
      </c>
      <c r="I115" s="405">
        <v>0</v>
      </c>
      <c r="J115" s="405">
        <v>62816</v>
      </c>
      <c r="K115" s="405">
        <v>0</v>
      </c>
      <c r="L115" s="405">
        <v>0</v>
      </c>
      <c r="M115" s="405">
        <v>71050</v>
      </c>
      <c r="N115" s="405">
        <v>1972879</v>
      </c>
      <c r="O115" s="405">
        <v>0</v>
      </c>
      <c r="P115" s="405">
        <v>0</v>
      </c>
      <c r="Q115" s="405">
        <v>0</v>
      </c>
      <c r="R115" s="405">
        <v>0</v>
      </c>
      <c r="S115" s="405">
        <v>871</v>
      </c>
      <c r="T115" s="405">
        <v>0</v>
      </c>
      <c r="U115" s="405">
        <v>0</v>
      </c>
      <c r="V115" s="405">
        <v>0</v>
      </c>
      <c r="W115" s="405">
        <v>2911</v>
      </c>
      <c r="X115" s="405">
        <v>180518</v>
      </c>
      <c r="Y115" s="405">
        <v>0</v>
      </c>
      <c r="Z115" s="405">
        <v>0</v>
      </c>
      <c r="AA115" s="405">
        <v>31135</v>
      </c>
      <c r="AB115" s="405">
        <v>1347614</v>
      </c>
      <c r="AC115" s="405">
        <v>0</v>
      </c>
      <c r="AD115" s="405">
        <v>0</v>
      </c>
      <c r="AE115" s="405">
        <v>0</v>
      </c>
      <c r="AF115" s="405">
        <v>0</v>
      </c>
      <c r="AG115" s="405">
        <v>0</v>
      </c>
      <c r="AH115" s="405">
        <v>837359</v>
      </c>
      <c r="AI115" s="405">
        <v>0</v>
      </c>
      <c r="AJ115" s="405">
        <v>0</v>
      </c>
      <c r="AK115" s="405">
        <v>3476</v>
      </c>
      <c r="AL115" s="405">
        <v>0</v>
      </c>
      <c r="AM115" s="405">
        <v>0</v>
      </c>
      <c r="AN115" s="405">
        <v>0</v>
      </c>
      <c r="AO115" s="405">
        <v>79000</v>
      </c>
      <c r="AP115" s="405">
        <v>103210</v>
      </c>
      <c r="AQ115" s="405">
        <v>0</v>
      </c>
      <c r="AR115" s="405">
        <v>82421</v>
      </c>
      <c r="AS115" s="405">
        <v>0</v>
      </c>
      <c r="AT115" s="405">
        <v>0</v>
      </c>
      <c r="AU115" s="405">
        <v>0</v>
      </c>
      <c r="AV115" s="405">
        <v>0</v>
      </c>
      <c r="AW115" s="405">
        <v>7749143</v>
      </c>
      <c r="AX115" s="405">
        <v>2452226</v>
      </c>
      <c r="AY115" s="405">
        <v>18023</v>
      </c>
      <c r="AZ115" s="405">
        <v>14843</v>
      </c>
      <c r="BA115" s="405">
        <v>787</v>
      </c>
      <c r="BB115" s="405">
        <v>0</v>
      </c>
      <c r="BC115" s="405">
        <v>0</v>
      </c>
      <c r="BD115" s="405">
        <v>290</v>
      </c>
      <c r="BE115" s="405">
        <v>9406</v>
      </c>
      <c r="BF115" s="405">
        <v>0</v>
      </c>
      <c r="BG115" s="405">
        <v>17568</v>
      </c>
      <c r="BH115" s="405">
        <v>343160</v>
      </c>
      <c r="BI115" s="405">
        <v>0</v>
      </c>
      <c r="BJ115" s="405">
        <v>453665</v>
      </c>
      <c r="BK115" s="405">
        <v>19548</v>
      </c>
      <c r="BL115" s="405">
        <v>0</v>
      </c>
      <c r="BM115" s="405">
        <v>0</v>
      </c>
      <c r="BN115" s="405">
        <v>158891</v>
      </c>
      <c r="BO115" s="405">
        <v>622195</v>
      </c>
      <c r="BP115" s="405">
        <v>0</v>
      </c>
      <c r="BQ115" s="405">
        <v>606542</v>
      </c>
      <c r="BR115" s="405">
        <v>7117881</v>
      </c>
      <c r="BS115" s="405">
        <v>0</v>
      </c>
      <c r="BT115" s="405">
        <v>0</v>
      </c>
      <c r="BU115" s="405">
        <v>0</v>
      </c>
      <c r="BV115" s="405">
        <v>908158</v>
      </c>
      <c r="BW115" s="405">
        <v>0</v>
      </c>
      <c r="BX115" s="405">
        <v>0</v>
      </c>
      <c r="BY115" s="405">
        <v>1143831</v>
      </c>
      <c r="BZ115" s="405">
        <v>0</v>
      </c>
      <c r="CA115" s="405">
        <v>1133892</v>
      </c>
      <c r="CB115" s="405">
        <v>0</v>
      </c>
      <c r="CC115" s="405">
        <v>0</v>
      </c>
      <c r="CD115" s="405">
        <v>5120</v>
      </c>
      <c r="CE115" s="405">
        <v>0</v>
      </c>
      <c r="CF115" s="405">
        <v>0</v>
      </c>
    </row>
    <row r="116" spans="1:84" s="405" customFormat="1" x14ac:dyDescent="0.3">
      <c r="A116" s="405">
        <v>352</v>
      </c>
      <c r="B116" s="406">
        <v>352</v>
      </c>
      <c r="C116" s="405">
        <v>352</v>
      </c>
      <c r="D116" s="405" t="s">
        <v>234</v>
      </c>
      <c r="E116" s="405" t="s">
        <v>433</v>
      </c>
      <c r="F116" s="405">
        <v>86885</v>
      </c>
      <c r="G116" s="405">
        <v>0</v>
      </c>
      <c r="H116" s="405">
        <v>0</v>
      </c>
      <c r="I116" s="405">
        <v>0</v>
      </c>
      <c r="J116" s="405">
        <v>0</v>
      </c>
      <c r="K116" s="405">
        <v>0</v>
      </c>
      <c r="L116" s="405">
        <v>0</v>
      </c>
      <c r="M116" s="405">
        <v>0</v>
      </c>
      <c r="N116" s="405">
        <v>85157</v>
      </c>
      <c r="O116" s="405">
        <v>0</v>
      </c>
      <c r="P116" s="405">
        <v>0</v>
      </c>
      <c r="Q116" s="405">
        <v>0</v>
      </c>
      <c r="R116" s="405">
        <v>0</v>
      </c>
      <c r="S116" s="405">
        <v>0</v>
      </c>
      <c r="T116" s="405">
        <v>0</v>
      </c>
      <c r="U116" s="405">
        <v>0</v>
      </c>
      <c r="V116" s="405">
        <v>0</v>
      </c>
      <c r="W116" s="405">
        <v>0</v>
      </c>
      <c r="X116" s="405">
        <v>0</v>
      </c>
      <c r="Y116" s="405">
        <v>0</v>
      </c>
      <c r="Z116" s="405">
        <v>0</v>
      </c>
      <c r="AA116" s="405">
        <v>0</v>
      </c>
      <c r="AB116" s="405">
        <v>0</v>
      </c>
      <c r="AC116" s="405">
        <v>6507</v>
      </c>
      <c r="AD116" s="405">
        <v>0</v>
      </c>
      <c r="AE116" s="405">
        <v>0</v>
      </c>
      <c r="AF116" s="405">
        <v>0</v>
      </c>
      <c r="AG116" s="405">
        <v>0</v>
      </c>
      <c r="AH116" s="405">
        <v>0</v>
      </c>
      <c r="AI116" s="405">
        <v>0</v>
      </c>
      <c r="AJ116" s="405">
        <v>0</v>
      </c>
      <c r="AK116" s="405">
        <v>0</v>
      </c>
      <c r="AL116" s="405">
        <v>2500</v>
      </c>
      <c r="AM116" s="405">
        <v>0</v>
      </c>
      <c r="AN116" s="405">
        <v>0</v>
      </c>
      <c r="AO116" s="405">
        <v>0</v>
      </c>
      <c r="AP116" s="405">
        <v>0</v>
      </c>
      <c r="AQ116" s="405">
        <v>0</v>
      </c>
      <c r="AR116" s="405">
        <v>40630</v>
      </c>
      <c r="AS116" s="405">
        <v>0</v>
      </c>
      <c r="AT116" s="405">
        <v>0</v>
      </c>
      <c r="AU116" s="405">
        <v>0</v>
      </c>
      <c r="AV116" s="405">
        <v>0</v>
      </c>
      <c r="AW116" s="405">
        <v>0</v>
      </c>
      <c r="AX116" s="405">
        <v>0</v>
      </c>
      <c r="AY116" s="405">
        <v>0</v>
      </c>
      <c r="AZ116" s="405">
        <v>0</v>
      </c>
      <c r="BA116" s="405">
        <v>0</v>
      </c>
      <c r="BB116" s="405">
        <v>0</v>
      </c>
      <c r="BC116" s="405">
        <v>0</v>
      </c>
      <c r="BD116" s="405">
        <v>0</v>
      </c>
      <c r="BE116" s="405">
        <v>0</v>
      </c>
      <c r="BF116" s="405">
        <v>0</v>
      </c>
      <c r="BG116" s="405">
        <v>0</v>
      </c>
      <c r="BH116" s="405">
        <v>0</v>
      </c>
      <c r="BI116" s="405">
        <v>0</v>
      </c>
      <c r="BJ116" s="405">
        <v>0</v>
      </c>
      <c r="BK116" s="405">
        <v>0</v>
      </c>
      <c r="BL116" s="405">
        <v>0</v>
      </c>
      <c r="BM116" s="405">
        <v>0</v>
      </c>
      <c r="BN116" s="405">
        <v>887670</v>
      </c>
      <c r="BO116" s="405">
        <v>0</v>
      </c>
      <c r="BP116" s="405">
        <v>0</v>
      </c>
      <c r="BQ116" s="405">
        <v>2300000</v>
      </c>
      <c r="BR116" s="405">
        <v>0</v>
      </c>
      <c r="BS116" s="405">
        <v>0</v>
      </c>
      <c r="BT116" s="405">
        <v>1683290</v>
      </c>
      <c r="BU116" s="405">
        <v>0</v>
      </c>
      <c r="BV116" s="405">
        <v>10822</v>
      </c>
      <c r="BW116" s="405">
        <v>0</v>
      </c>
      <c r="BX116" s="405">
        <v>15518</v>
      </c>
      <c r="BY116" s="405">
        <v>0</v>
      </c>
      <c r="BZ116" s="405">
        <v>0</v>
      </c>
      <c r="CA116" s="405">
        <v>14893206</v>
      </c>
      <c r="CB116" s="405">
        <v>0</v>
      </c>
      <c r="CC116" s="405">
        <v>0</v>
      </c>
      <c r="CD116" s="405">
        <v>0</v>
      </c>
      <c r="CE116" s="405">
        <v>0</v>
      </c>
      <c r="CF116" s="405">
        <v>0</v>
      </c>
    </row>
    <row r="117" spans="1:84" s="405" customFormat="1" x14ac:dyDescent="0.3">
      <c r="A117" s="405">
        <v>353</v>
      </c>
      <c r="B117" s="406">
        <v>353</v>
      </c>
      <c r="C117" s="405">
        <v>353</v>
      </c>
      <c r="D117" s="405" t="s">
        <v>235</v>
      </c>
      <c r="E117" s="405" t="s">
        <v>434</v>
      </c>
      <c r="F117" s="405">
        <v>0</v>
      </c>
      <c r="G117" s="405">
        <v>0</v>
      </c>
      <c r="H117" s="405">
        <v>0</v>
      </c>
      <c r="I117" s="405">
        <v>0</v>
      </c>
      <c r="J117" s="405">
        <v>0</v>
      </c>
      <c r="K117" s="405">
        <v>0</v>
      </c>
      <c r="L117" s="405">
        <v>0</v>
      </c>
      <c r="M117" s="405">
        <v>0</v>
      </c>
      <c r="N117" s="405">
        <v>47315</v>
      </c>
      <c r="O117" s="405">
        <v>0</v>
      </c>
      <c r="P117" s="405">
        <v>0</v>
      </c>
      <c r="Q117" s="405">
        <v>0</v>
      </c>
      <c r="R117" s="405">
        <v>0</v>
      </c>
      <c r="S117" s="405">
        <v>0</v>
      </c>
      <c r="T117" s="405">
        <v>0</v>
      </c>
      <c r="U117" s="405">
        <v>0</v>
      </c>
      <c r="V117" s="405">
        <v>0</v>
      </c>
      <c r="W117" s="405">
        <v>0</v>
      </c>
      <c r="X117" s="405">
        <v>0</v>
      </c>
      <c r="Y117" s="405">
        <v>0</v>
      </c>
      <c r="Z117" s="405">
        <v>0</v>
      </c>
      <c r="AA117" s="405">
        <v>0</v>
      </c>
      <c r="AB117" s="405">
        <v>268160</v>
      </c>
      <c r="AC117" s="405">
        <v>0</v>
      </c>
      <c r="AD117" s="405">
        <v>0</v>
      </c>
      <c r="AE117" s="405">
        <v>0</v>
      </c>
      <c r="AF117" s="405">
        <v>0</v>
      </c>
      <c r="AG117" s="405">
        <v>0</v>
      </c>
      <c r="AH117" s="405">
        <v>0</v>
      </c>
      <c r="AI117" s="405">
        <v>0</v>
      </c>
      <c r="AJ117" s="405">
        <v>0</v>
      </c>
      <c r="AK117" s="405">
        <v>359500</v>
      </c>
      <c r="AL117" s="405">
        <v>0</v>
      </c>
      <c r="AM117" s="405">
        <v>0</v>
      </c>
      <c r="AN117" s="405">
        <v>0</v>
      </c>
      <c r="AO117" s="405">
        <v>0</v>
      </c>
      <c r="AP117" s="405">
        <v>0</v>
      </c>
      <c r="AQ117" s="405">
        <v>0</v>
      </c>
      <c r="AR117" s="405">
        <v>40630</v>
      </c>
      <c r="AS117" s="405">
        <v>0</v>
      </c>
      <c r="AT117" s="405">
        <v>0</v>
      </c>
      <c r="AU117" s="405">
        <v>0</v>
      </c>
      <c r="AV117" s="405">
        <v>0</v>
      </c>
      <c r="AW117" s="405">
        <v>0</v>
      </c>
      <c r="AX117" s="405">
        <v>0</v>
      </c>
      <c r="AY117" s="405">
        <v>0</v>
      </c>
      <c r="AZ117" s="405">
        <v>0</v>
      </c>
      <c r="BA117" s="405">
        <v>0</v>
      </c>
      <c r="BB117" s="405">
        <v>0</v>
      </c>
      <c r="BC117" s="405">
        <v>0</v>
      </c>
      <c r="BD117" s="405">
        <v>0</v>
      </c>
      <c r="BE117" s="405">
        <v>0</v>
      </c>
      <c r="BF117" s="405">
        <v>0</v>
      </c>
      <c r="BG117" s="405">
        <v>0</v>
      </c>
      <c r="BH117" s="405">
        <v>0</v>
      </c>
      <c r="BI117" s="405">
        <v>0</v>
      </c>
      <c r="BJ117" s="405">
        <v>0</v>
      </c>
      <c r="BK117" s="405">
        <v>0</v>
      </c>
      <c r="BL117" s="405">
        <v>0</v>
      </c>
      <c r="BM117" s="405">
        <v>0</v>
      </c>
      <c r="BN117" s="405">
        <v>813115</v>
      </c>
      <c r="BO117" s="405">
        <v>30000</v>
      </c>
      <c r="BP117" s="405">
        <v>0</v>
      </c>
      <c r="BQ117" s="405">
        <v>2610837</v>
      </c>
      <c r="BR117" s="405">
        <v>50000</v>
      </c>
      <c r="BS117" s="405">
        <v>12500</v>
      </c>
      <c r="BT117" s="405">
        <v>0</v>
      </c>
      <c r="BU117" s="405">
        <v>0</v>
      </c>
      <c r="BV117" s="405">
        <v>208674</v>
      </c>
      <c r="BW117" s="405">
        <v>0</v>
      </c>
      <c r="BX117" s="405">
        <v>0</v>
      </c>
      <c r="BY117" s="405">
        <v>0</v>
      </c>
      <c r="BZ117" s="405">
        <v>0</v>
      </c>
      <c r="CA117" s="405">
        <v>20305745</v>
      </c>
      <c r="CB117" s="405">
        <v>0</v>
      </c>
      <c r="CC117" s="405">
        <v>0</v>
      </c>
      <c r="CD117" s="405">
        <v>0</v>
      </c>
      <c r="CE117" s="405">
        <v>0</v>
      </c>
      <c r="CF117" s="405">
        <v>0</v>
      </c>
    </row>
    <row r="118" spans="1:84" s="405" customFormat="1" x14ac:dyDescent="0.3">
      <c r="A118" s="405">
        <v>356</v>
      </c>
      <c r="B118" s="406">
        <v>356</v>
      </c>
      <c r="C118" s="405">
        <v>356</v>
      </c>
      <c r="D118" s="405" t="s">
        <v>552</v>
      </c>
      <c r="E118" s="405" t="s">
        <v>435</v>
      </c>
      <c r="F118" s="405">
        <v>0</v>
      </c>
      <c r="G118" s="405">
        <v>0</v>
      </c>
      <c r="H118" s="405">
        <v>0</v>
      </c>
      <c r="I118" s="405">
        <v>0</v>
      </c>
      <c r="J118" s="405">
        <v>0</v>
      </c>
      <c r="K118" s="405">
        <v>0</v>
      </c>
      <c r="L118" s="405">
        <v>0</v>
      </c>
      <c r="M118" s="405">
        <v>0</v>
      </c>
      <c r="N118" s="405">
        <v>9222972</v>
      </c>
      <c r="O118" s="405">
        <v>0</v>
      </c>
      <c r="P118" s="405">
        <v>0</v>
      </c>
      <c r="Q118" s="405">
        <v>0</v>
      </c>
      <c r="R118" s="405">
        <v>0</v>
      </c>
      <c r="S118" s="405">
        <v>14073241</v>
      </c>
      <c r="T118" s="405">
        <v>0</v>
      </c>
      <c r="U118" s="405">
        <v>772875</v>
      </c>
      <c r="V118" s="405">
        <v>0</v>
      </c>
      <c r="W118" s="405">
        <v>0</v>
      </c>
      <c r="X118" s="405">
        <v>0</v>
      </c>
      <c r="Y118" s="405">
        <v>0</v>
      </c>
      <c r="Z118" s="405">
        <v>0</v>
      </c>
      <c r="AA118" s="405">
        <v>1031857</v>
      </c>
      <c r="AB118" s="405">
        <v>0</v>
      </c>
      <c r="AC118" s="405">
        <v>0</v>
      </c>
      <c r="AD118" s="405">
        <v>0</v>
      </c>
      <c r="AE118" s="405">
        <v>0</v>
      </c>
      <c r="AF118" s="405">
        <v>0</v>
      </c>
      <c r="AG118" s="405">
        <v>0</v>
      </c>
      <c r="AH118" s="405">
        <v>101703636</v>
      </c>
      <c r="AI118" s="405">
        <v>0</v>
      </c>
      <c r="AJ118" s="405">
        <v>0</v>
      </c>
      <c r="AK118" s="405">
        <v>0</v>
      </c>
      <c r="AL118" s="405">
        <v>0</v>
      </c>
      <c r="AM118" s="405">
        <v>0</v>
      </c>
      <c r="AN118" s="405">
        <v>0</v>
      </c>
      <c r="AO118" s="405">
        <v>0</v>
      </c>
      <c r="AP118" s="405">
        <v>0</v>
      </c>
      <c r="AQ118" s="405">
        <v>0</v>
      </c>
      <c r="AR118" s="405">
        <v>7260733</v>
      </c>
      <c r="AS118" s="405">
        <v>0</v>
      </c>
      <c r="AT118" s="405">
        <v>0</v>
      </c>
      <c r="AU118" s="405">
        <v>0</v>
      </c>
      <c r="AV118" s="405">
        <v>0</v>
      </c>
      <c r="AW118" s="405">
        <v>0</v>
      </c>
      <c r="AX118" s="405">
        <v>317131904</v>
      </c>
      <c r="AY118" s="405">
        <v>0</v>
      </c>
      <c r="AZ118" s="405">
        <v>0</v>
      </c>
      <c r="BA118" s="405">
        <v>0</v>
      </c>
      <c r="BB118" s="405">
        <v>0</v>
      </c>
      <c r="BC118" s="405">
        <v>0</v>
      </c>
      <c r="BD118" s="405">
        <v>0</v>
      </c>
      <c r="BE118" s="405">
        <v>0</v>
      </c>
      <c r="BF118" s="405">
        <v>0</v>
      </c>
      <c r="BG118" s="405">
        <v>0</v>
      </c>
      <c r="BH118" s="405">
        <v>0</v>
      </c>
      <c r="BI118" s="405">
        <v>0</v>
      </c>
      <c r="BJ118" s="405">
        <v>0</v>
      </c>
      <c r="BK118" s="405">
        <v>0</v>
      </c>
      <c r="BL118" s="405">
        <v>0</v>
      </c>
      <c r="BM118" s="405">
        <v>0</v>
      </c>
      <c r="BN118" s="405">
        <v>0</v>
      </c>
      <c r="BO118" s="405">
        <v>0</v>
      </c>
      <c r="BP118" s="405">
        <v>0</v>
      </c>
      <c r="BQ118" s="405">
        <v>0</v>
      </c>
      <c r="BR118" s="405">
        <v>140214067</v>
      </c>
      <c r="BS118" s="405">
        <v>0</v>
      </c>
      <c r="BT118" s="405">
        <v>3872513</v>
      </c>
      <c r="BU118" s="405">
        <v>0</v>
      </c>
      <c r="BV118" s="405">
        <v>0</v>
      </c>
      <c r="BW118" s="405">
        <v>466651</v>
      </c>
      <c r="BX118" s="405">
        <v>0</v>
      </c>
      <c r="BY118" s="405">
        <v>0</v>
      </c>
      <c r="BZ118" s="405">
        <v>0</v>
      </c>
      <c r="CA118" s="405">
        <v>0</v>
      </c>
      <c r="CB118" s="405">
        <v>0</v>
      </c>
      <c r="CC118" s="405">
        <v>0</v>
      </c>
      <c r="CD118" s="405">
        <v>0</v>
      </c>
      <c r="CE118" s="405">
        <v>0</v>
      </c>
      <c r="CF118" s="405">
        <v>36461323</v>
      </c>
    </row>
    <row r="119" spans="1:84" s="405" customFormat="1" x14ac:dyDescent="0.3">
      <c r="A119" s="405">
        <v>357</v>
      </c>
      <c r="B119" s="406">
        <v>357</v>
      </c>
      <c r="C119" s="405">
        <v>357</v>
      </c>
      <c r="D119" s="405" t="s">
        <v>553</v>
      </c>
      <c r="E119" s="405" t="s">
        <v>436</v>
      </c>
      <c r="F119" s="405">
        <v>0</v>
      </c>
      <c r="G119" s="405">
        <v>0</v>
      </c>
      <c r="H119" s="405">
        <v>0</v>
      </c>
      <c r="I119" s="405">
        <v>0</v>
      </c>
      <c r="J119" s="405">
        <v>0</v>
      </c>
      <c r="K119" s="405">
        <v>0</v>
      </c>
      <c r="L119" s="405">
        <v>0</v>
      </c>
      <c r="M119" s="405">
        <v>0</v>
      </c>
      <c r="N119" s="405">
        <v>5245802</v>
      </c>
      <c r="O119" s="405">
        <v>0</v>
      </c>
      <c r="P119" s="405">
        <v>0</v>
      </c>
      <c r="Q119" s="405">
        <v>0</v>
      </c>
      <c r="R119" s="405">
        <v>0</v>
      </c>
      <c r="S119" s="405">
        <v>10499879</v>
      </c>
      <c r="T119" s="405">
        <v>0</v>
      </c>
      <c r="U119" s="405">
        <v>606881</v>
      </c>
      <c r="V119" s="405">
        <v>0</v>
      </c>
      <c r="W119" s="405">
        <v>0</v>
      </c>
      <c r="X119" s="405">
        <v>0</v>
      </c>
      <c r="Y119" s="405">
        <v>0</v>
      </c>
      <c r="Z119" s="405">
        <v>0</v>
      </c>
      <c r="AA119" s="405">
        <v>994276</v>
      </c>
      <c r="AB119" s="405">
        <v>0</v>
      </c>
      <c r="AC119" s="405">
        <v>0</v>
      </c>
      <c r="AD119" s="405">
        <v>0</v>
      </c>
      <c r="AE119" s="405">
        <v>0</v>
      </c>
      <c r="AF119" s="405">
        <v>0</v>
      </c>
      <c r="AG119" s="405">
        <v>0</v>
      </c>
      <c r="AH119" s="405">
        <v>64251011</v>
      </c>
      <c r="AI119" s="405">
        <v>0</v>
      </c>
      <c r="AJ119" s="405">
        <v>0</v>
      </c>
      <c r="AK119" s="405">
        <v>0</v>
      </c>
      <c r="AL119" s="405">
        <v>0</v>
      </c>
      <c r="AM119" s="405">
        <v>0</v>
      </c>
      <c r="AN119" s="405">
        <v>0</v>
      </c>
      <c r="AO119" s="405">
        <v>0</v>
      </c>
      <c r="AP119" s="405">
        <v>0</v>
      </c>
      <c r="AQ119" s="405">
        <v>0</v>
      </c>
      <c r="AR119" s="405">
        <v>3818962</v>
      </c>
      <c r="AS119" s="405">
        <v>0</v>
      </c>
      <c r="AT119" s="405">
        <v>0</v>
      </c>
      <c r="AU119" s="405">
        <v>0</v>
      </c>
      <c r="AV119" s="405">
        <v>0</v>
      </c>
      <c r="AW119" s="405">
        <v>0</v>
      </c>
      <c r="AX119" s="405">
        <v>208442775</v>
      </c>
      <c r="AY119" s="405">
        <v>0</v>
      </c>
      <c r="AZ119" s="405">
        <v>0</v>
      </c>
      <c r="BA119" s="405">
        <v>0</v>
      </c>
      <c r="BB119" s="405">
        <v>0</v>
      </c>
      <c r="BC119" s="405">
        <v>0</v>
      </c>
      <c r="BD119" s="405">
        <v>0</v>
      </c>
      <c r="BE119" s="405">
        <v>0</v>
      </c>
      <c r="BF119" s="405">
        <v>0</v>
      </c>
      <c r="BG119" s="405">
        <v>0</v>
      </c>
      <c r="BH119" s="405">
        <v>0</v>
      </c>
      <c r="BI119" s="405">
        <v>0</v>
      </c>
      <c r="BJ119" s="405">
        <v>0</v>
      </c>
      <c r="BK119" s="405">
        <v>0</v>
      </c>
      <c r="BL119" s="405">
        <v>0</v>
      </c>
      <c r="BM119" s="405">
        <v>0</v>
      </c>
      <c r="BN119" s="405">
        <v>0</v>
      </c>
      <c r="BO119" s="405">
        <v>0</v>
      </c>
      <c r="BP119" s="405">
        <v>0</v>
      </c>
      <c r="BQ119" s="405">
        <v>0</v>
      </c>
      <c r="BR119" s="405">
        <v>99092127</v>
      </c>
      <c r="BS119" s="405">
        <v>0</v>
      </c>
      <c r="BT119" s="405">
        <v>2645923</v>
      </c>
      <c r="BU119" s="405">
        <v>0</v>
      </c>
      <c r="BV119" s="405">
        <v>0</v>
      </c>
      <c r="BW119" s="405">
        <v>395656</v>
      </c>
      <c r="BX119" s="405">
        <v>0</v>
      </c>
      <c r="BY119" s="405">
        <v>0</v>
      </c>
      <c r="BZ119" s="405">
        <v>0</v>
      </c>
      <c r="CA119" s="405">
        <v>0</v>
      </c>
      <c r="CB119" s="405">
        <v>0</v>
      </c>
      <c r="CC119" s="405">
        <v>0</v>
      </c>
      <c r="CD119" s="405">
        <v>0</v>
      </c>
      <c r="CE119" s="405">
        <v>0</v>
      </c>
      <c r="CF119" s="405">
        <v>14272167</v>
      </c>
    </row>
    <row r="120" spans="1:84" s="405" customFormat="1" x14ac:dyDescent="0.3">
      <c r="A120" s="405">
        <v>359</v>
      </c>
      <c r="B120" s="406">
        <v>359</v>
      </c>
      <c r="C120" s="405">
        <v>359</v>
      </c>
      <c r="D120" s="405" t="s">
        <v>256</v>
      </c>
      <c r="E120" s="405" t="s">
        <v>437</v>
      </c>
      <c r="F120" s="405">
        <v>0</v>
      </c>
      <c r="G120" s="405">
        <v>0</v>
      </c>
      <c r="H120" s="405">
        <v>0</v>
      </c>
      <c r="I120" s="405">
        <v>0</v>
      </c>
      <c r="J120" s="405">
        <v>0</v>
      </c>
      <c r="K120" s="405">
        <v>0</v>
      </c>
      <c r="L120" s="405">
        <v>0</v>
      </c>
      <c r="M120" s="405">
        <v>0</v>
      </c>
      <c r="N120" s="405">
        <v>503494</v>
      </c>
      <c r="O120" s="405">
        <v>0</v>
      </c>
      <c r="P120" s="405">
        <v>0</v>
      </c>
      <c r="Q120" s="405">
        <v>0</v>
      </c>
      <c r="R120" s="405">
        <v>0</v>
      </c>
      <c r="S120" s="405">
        <v>0</v>
      </c>
      <c r="T120" s="405">
        <v>0</v>
      </c>
      <c r="U120" s="405">
        <v>0</v>
      </c>
      <c r="V120" s="405">
        <v>0</v>
      </c>
      <c r="W120" s="405">
        <v>0</v>
      </c>
      <c r="X120" s="405">
        <v>0</v>
      </c>
      <c r="Y120" s="405">
        <v>0</v>
      </c>
      <c r="Z120" s="405">
        <v>0</v>
      </c>
      <c r="AA120" s="405">
        <v>0</v>
      </c>
      <c r="AB120" s="405">
        <v>0</v>
      </c>
      <c r="AC120" s="405">
        <v>0</v>
      </c>
      <c r="AD120" s="405">
        <v>0</v>
      </c>
      <c r="AE120" s="405">
        <v>0</v>
      </c>
      <c r="AF120" s="405">
        <v>0</v>
      </c>
      <c r="AG120" s="405">
        <v>0</v>
      </c>
      <c r="AH120" s="405">
        <v>381237</v>
      </c>
      <c r="AI120" s="405">
        <v>0</v>
      </c>
      <c r="AJ120" s="405">
        <v>0</v>
      </c>
      <c r="AK120" s="405">
        <v>0</v>
      </c>
      <c r="AL120" s="405">
        <v>0</v>
      </c>
      <c r="AM120" s="405">
        <v>0</v>
      </c>
      <c r="AN120" s="405">
        <v>0</v>
      </c>
      <c r="AO120" s="405">
        <v>0</v>
      </c>
      <c r="AP120" s="405">
        <v>0</v>
      </c>
      <c r="AQ120" s="405">
        <v>0</v>
      </c>
      <c r="AR120" s="405">
        <v>0</v>
      </c>
      <c r="AS120" s="405">
        <v>0</v>
      </c>
      <c r="AT120" s="405">
        <v>0</v>
      </c>
      <c r="AU120" s="405">
        <v>0</v>
      </c>
      <c r="AV120" s="405">
        <v>0</v>
      </c>
      <c r="AW120" s="405">
        <v>0</v>
      </c>
      <c r="AX120" s="405">
        <v>64171784</v>
      </c>
      <c r="AY120" s="405">
        <v>0</v>
      </c>
      <c r="AZ120" s="405">
        <v>0</v>
      </c>
      <c r="BA120" s="405">
        <v>0</v>
      </c>
      <c r="BB120" s="405">
        <v>0</v>
      </c>
      <c r="BC120" s="405">
        <v>0</v>
      </c>
      <c r="BD120" s="405">
        <v>0</v>
      </c>
      <c r="BE120" s="405">
        <v>0</v>
      </c>
      <c r="BF120" s="405">
        <v>0</v>
      </c>
      <c r="BG120" s="405">
        <v>0</v>
      </c>
      <c r="BH120" s="405">
        <v>0</v>
      </c>
      <c r="BI120" s="405">
        <v>0</v>
      </c>
      <c r="BJ120" s="405">
        <v>0</v>
      </c>
      <c r="BK120" s="405">
        <v>0</v>
      </c>
      <c r="BL120" s="405">
        <v>0</v>
      </c>
      <c r="BM120" s="405">
        <v>0</v>
      </c>
      <c r="BN120" s="405">
        <v>0</v>
      </c>
      <c r="BO120" s="405">
        <v>0</v>
      </c>
      <c r="BP120" s="405">
        <v>0</v>
      </c>
      <c r="BQ120" s="405">
        <v>0</v>
      </c>
      <c r="BR120" s="405">
        <v>0</v>
      </c>
      <c r="BS120" s="405">
        <v>0</v>
      </c>
      <c r="BT120" s="405">
        <v>1439476</v>
      </c>
      <c r="BU120" s="405">
        <v>0</v>
      </c>
      <c r="BV120" s="405">
        <v>0</v>
      </c>
      <c r="BW120" s="405">
        <v>0</v>
      </c>
      <c r="BX120" s="405">
        <v>0</v>
      </c>
      <c r="BY120" s="405">
        <v>0</v>
      </c>
      <c r="BZ120" s="405">
        <v>0</v>
      </c>
      <c r="CA120" s="405">
        <v>0</v>
      </c>
      <c r="CB120" s="405">
        <v>0</v>
      </c>
      <c r="CC120" s="405">
        <v>0</v>
      </c>
      <c r="CD120" s="405">
        <v>0</v>
      </c>
      <c r="CE120" s="405">
        <v>0</v>
      </c>
      <c r="CF120" s="405">
        <v>0</v>
      </c>
    </row>
    <row r="121" spans="1:84" s="405" customFormat="1" x14ac:dyDescent="0.3">
      <c r="A121" s="405">
        <v>360</v>
      </c>
      <c r="B121" s="406">
        <v>360</v>
      </c>
      <c r="C121" s="405">
        <v>360</v>
      </c>
      <c r="D121" s="405" t="s">
        <v>125</v>
      </c>
      <c r="E121" s="405" t="s">
        <v>438</v>
      </c>
      <c r="F121" s="405">
        <v>0</v>
      </c>
      <c r="G121" s="405">
        <v>0</v>
      </c>
      <c r="H121" s="405">
        <v>0</v>
      </c>
      <c r="I121" s="405">
        <v>0</v>
      </c>
      <c r="J121" s="405">
        <v>0</v>
      </c>
      <c r="K121" s="405">
        <v>0</v>
      </c>
      <c r="L121" s="405">
        <v>0</v>
      </c>
      <c r="M121" s="405">
        <v>0</v>
      </c>
      <c r="N121" s="405">
        <v>1707401</v>
      </c>
      <c r="O121" s="405">
        <v>0</v>
      </c>
      <c r="P121" s="405">
        <v>0</v>
      </c>
      <c r="Q121" s="405">
        <v>0</v>
      </c>
      <c r="R121" s="405">
        <v>0</v>
      </c>
      <c r="S121" s="405">
        <v>2024087</v>
      </c>
      <c r="T121" s="405">
        <v>0</v>
      </c>
      <c r="U121" s="405">
        <v>169091</v>
      </c>
      <c r="V121" s="405">
        <v>0</v>
      </c>
      <c r="W121" s="405">
        <v>0</v>
      </c>
      <c r="X121" s="405">
        <v>0</v>
      </c>
      <c r="Y121" s="405">
        <v>0</v>
      </c>
      <c r="Z121" s="405">
        <v>0</v>
      </c>
      <c r="AA121" s="405">
        <v>464953</v>
      </c>
      <c r="AB121" s="405">
        <v>0</v>
      </c>
      <c r="AC121" s="405">
        <v>0</v>
      </c>
      <c r="AD121" s="405">
        <v>0</v>
      </c>
      <c r="AE121" s="405">
        <v>0</v>
      </c>
      <c r="AF121" s="405">
        <v>0</v>
      </c>
      <c r="AG121" s="405">
        <v>0</v>
      </c>
      <c r="AH121" s="405">
        <v>12998963</v>
      </c>
      <c r="AI121" s="405">
        <v>0</v>
      </c>
      <c r="AJ121" s="405">
        <v>0</v>
      </c>
      <c r="AK121" s="405">
        <v>0</v>
      </c>
      <c r="AL121" s="405">
        <v>0</v>
      </c>
      <c r="AM121" s="405">
        <v>0</v>
      </c>
      <c r="AN121" s="405">
        <v>0</v>
      </c>
      <c r="AO121" s="405">
        <v>0</v>
      </c>
      <c r="AP121" s="405">
        <v>0</v>
      </c>
      <c r="AQ121" s="405">
        <v>0</v>
      </c>
      <c r="AR121" s="405">
        <v>1125057</v>
      </c>
      <c r="AS121" s="405">
        <v>0</v>
      </c>
      <c r="AT121" s="405">
        <v>0</v>
      </c>
      <c r="AU121" s="405">
        <v>0</v>
      </c>
      <c r="AV121" s="405">
        <v>0</v>
      </c>
      <c r="AW121" s="405">
        <v>0</v>
      </c>
      <c r="AX121" s="405">
        <v>113180042</v>
      </c>
      <c r="AY121" s="405">
        <v>0</v>
      </c>
      <c r="AZ121" s="405">
        <v>0</v>
      </c>
      <c r="BA121" s="405">
        <v>0</v>
      </c>
      <c r="BB121" s="405">
        <v>0</v>
      </c>
      <c r="BC121" s="405">
        <v>0</v>
      </c>
      <c r="BD121" s="405">
        <v>0</v>
      </c>
      <c r="BE121" s="405">
        <v>0</v>
      </c>
      <c r="BF121" s="405">
        <v>0</v>
      </c>
      <c r="BG121" s="405">
        <v>0</v>
      </c>
      <c r="BH121" s="405">
        <v>0</v>
      </c>
      <c r="BI121" s="405">
        <v>0</v>
      </c>
      <c r="BJ121" s="405">
        <v>0</v>
      </c>
      <c r="BK121" s="405">
        <v>0</v>
      </c>
      <c r="BL121" s="405">
        <v>0</v>
      </c>
      <c r="BM121" s="405">
        <v>0</v>
      </c>
      <c r="BN121" s="405">
        <v>0</v>
      </c>
      <c r="BO121" s="405">
        <v>0</v>
      </c>
      <c r="BP121" s="405">
        <v>0</v>
      </c>
      <c r="BQ121" s="405">
        <v>0</v>
      </c>
      <c r="BR121" s="405">
        <v>17873198</v>
      </c>
      <c r="BS121" s="405">
        <v>0</v>
      </c>
      <c r="BT121" s="405">
        <v>1904875</v>
      </c>
      <c r="BU121" s="405">
        <v>0</v>
      </c>
      <c r="BV121" s="405">
        <v>0</v>
      </c>
      <c r="BW121" s="405">
        <v>106523</v>
      </c>
      <c r="BX121" s="405">
        <v>0</v>
      </c>
      <c r="BY121" s="405">
        <v>0</v>
      </c>
      <c r="BZ121" s="405">
        <v>0</v>
      </c>
      <c r="CA121" s="405">
        <v>0</v>
      </c>
      <c r="CB121" s="405">
        <v>0</v>
      </c>
      <c r="CC121" s="405">
        <v>0</v>
      </c>
      <c r="CD121" s="405">
        <v>0</v>
      </c>
      <c r="CE121" s="405">
        <v>0</v>
      </c>
      <c r="CF121" s="405">
        <v>2195854</v>
      </c>
    </row>
    <row r="122" spans="1:84" s="405" customFormat="1" x14ac:dyDescent="0.3">
      <c r="A122" s="405">
        <v>361</v>
      </c>
      <c r="B122" s="406">
        <v>361</v>
      </c>
      <c r="C122" s="405">
        <v>361</v>
      </c>
      <c r="D122" s="405" t="s">
        <v>106</v>
      </c>
      <c r="E122" s="405" t="s">
        <v>439</v>
      </c>
      <c r="F122" s="405">
        <v>0</v>
      </c>
      <c r="G122" s="405">
        <v>0</v>
      </c>
      <c r="H122" s="405">
        <v>0</v>
      </c>
      <c r="I122" s="405">
        <v>0</v>
      </c>
      <c r="J122" s="405">
        <v>0</v>
      </c>
      <c r="K122" s="405">
        <v>0</v>
      </c>
      <c r="L122" s="405">
        <v>0</v>
      </c>
      <c r="M122" s="405">
        <v>0</v>
      </c>
      <c r="N122" s="405">
        <v>926658</v>
      </c>
      <c r="O122" s="405">
        <v>0</v>
      </c>
      <c r="P122" s="405">
        <v>0</v>
      </c>
      <c r="Q122" s="405">
        <v>0</v>
      </c>
      <c r="R122" s="405">
        <v>0</v>
      </c>
      <c r="S122" s="405">
        <v>5277415</v>
      </c>
      <c r="T122" s="405">
        <v>0</v>
      </c>
      <c r="U122" s="405">
        <v>922731</v>
      </c>
      <c r="V122" s="405">
        <v>0</v>
      </c>
      <c r="W122" s="405">
        <v>0</v>
      </c>
      <c r="X122" s="405">
        <v>0</v>
      </c>
      <c r="Y122" s="405">
        <v>0</v>
      </c>
      <c r="Z122" s="405">
        <v>0</v>
      </c>
      <c r="AA122" s="405">
        <v>195301</v>
      </c>
      <c r="AB122" s="405">
        <v>0</v>
      </c>
      <c r="AC122" s="405">
        <v>0</v>
      </c>
      <c r="AD122" s="405">
        <v>0</v>
      </c>
      <c r="AE122" s="405">
        <v>0</v>
      </c>
      <c r="AF122" s="405">
        <v>0</v>
      </c>
      <c r="AG122" s="405">
        <v>0</v>
      </c>
      <c r="AH122" s="405">
        <v>34907459</v>
      </c>
      <c r="AI122" s="405">
        <v>0</v>
      </c>
      <c r="AJ122" s="405">
        <v>0</v>
      </c>
      <c r="AK122" s="405">
        <v>0</v>
      </c>
      <c r="AL122" s="405">
        <v>0</v>
      </c>
      <c r="AM122" s="405">
        <v>0</v>
      </c>
      <c r="AN122" s="405">
        <v>0</v>
      </c>
      <c r="AO122" s="405">
        <v>0</v>
      </c>
      <c r="AP122" s="405">
        <v>0</v>
      </c>
      <c r="AQ122" s="405">
        <v>0</v>
      </c>
      <c r="AR122" s="405">
        <v>5028938</v>
      </c>
      <c r="AS122" s="405">
        <v>0</v>
      </c>
      <c r="AT122" s="405">
        <v>0</v>
      </c>
      <c r="AU122" s="405">
        <v>0</v>
      </c>
      <c r="AV122" s="405">
        <v>0</v>
      </c>
      <c r="AW122" s="405">
        <v>0</v>
      </c>
      <c r="AX122" s="405">
        <v>73267603</v>
      </c>
      <c r="AY122" s="405">
        <v>0</v>
      </c>
      <c r="AZ122" s="405">
        <v>0</v>
      </c>
      <c r="BA122" s="405">
        <v>0</v>
      </c>
      <c r="BB122" s="405">
        <v>0</v>
      </c>
      <c r="BC122" s="405">
        <v>0</v>
      </c>
      <c r="BD122" s="405">
        <v>0</v>
      </c>
      <c r="BE122" s="405">
        <v>0</v>
      </c>
      <c r="BF122" s="405">
        <v>0</v>
      </c>
      <c r="BG122" s="405">
        <v>0</v>
      </c>
      <c r="BH122" s="405">
        <v>0</v>
      </c>
      <c r="BI122" s="405">
        <v>0</v>
      </c>
      <c r="BJ122" s="405">
        <v>0</v>
      </c>
      <c r="BK122" s="405">
        <v>0</v>
      </c>
      <c r="BL122" s="405">
        <v>0</v>
      </c>
      <c r="BM122" s="405">
        <v>0</v>
      </c>
      <c r="BN122" s="405">
        <v>0</v>
      </c>
      <c r="BO122" s="405">
        <v>0</v>
      </c>
      <c r="BP122" s="405">
        <v>0</v>
      </c>
      <c r="BQ122" s="405">
        <v>0</v>
      </c>
      <c r="BR122" s="405">
        <v>51369087</v>
      </c>
      <c r="BS122" s="405">
        <v>0</v>
      </c>
      <c r="BT122" s="405">
        <v>2627580</v>
      </c>
      <c r="BU122" s="405">
        <v>0</v>
      </c>
      <c r="BV122" s="405">
        <v>0</v>
      </c>
      <c r="BW122" s="405">
        <v>331907</v>
      </c>
      <c r="BX122" s="405">
        <v>0</v>
      </c>
      <c r="BY122" s="405">
        <v>0</v>
      </c>
      <c r="BZ122" s="405">
        <v>0</v>
      </c>
      <c r="CA122" s="405">
        <v>0</v>
      </c>
      <c r="CB122" s="405">
        <v>0</v>
      </c>
      <c r="CC122" s="405">
        <v>0</v>
      </c>
      <c r="CD122" s="405">
        <v>0</v>
      </c>
      <c r="CE122" s="405">
        <v>0</v>
      </c>
      <c r="CF122" s="405">
        <v>4644659</v>
      </c>
    </row>
    <row r="123" spans="1:84" s="405" customFormat="1" x14ac:dyDescent="0.3">
      <c r="A123" s="405">
        <v>362</v>
      </c>
      <c r="B123" s="406">
        <v>362</v>
      </c>
      <c r="C123" s="405">
        <v>362</v>
      </c>
      <c r="D123" s="405" t="s">
        <v>107</v>
      </c>
      <c r="E123" s="405" t="s">
        <v>440</v>
      </c>
      <c r="F123" s="405">
        <v>0</v>
      </c>
      <c r="G123" s="405">
        <v>0</v>
      </c>
      <c r="H123" s="405">
        <v>0</v>
      </c>
      <c r="I123" s="405">
        <v>0</v>
      </c>
      <c r="J123" s="405">
        <v>0</v>
      </c>
      <c r="K123" s="405">
        <v>0</v>
      </c>
      <c r="L123" s="405">
        <v>0</v>
      </c>
      <c r="M123" s="405">
        <v>0</v>
      </c>
      <c r="N123" s="405">
        <v>4459234</v>
      </c>
      <c r="O123" s="405">
        <v>0</v>
      </c>
      <c r="P123" s="405">
        <v>0</v>
      </c>
      <c r="Q123" s="405">
        <v>0</v>
      </c>
      <c r="R123" s="405">
        <v>0</v>
      </c>
      <c r="S123" s="405">
        <v>8966492</v>
      </c>
      <c r="T123" s="405">
        <v>0</v>
      </c>
      <c r="U123" s="405">
        <v>1088725</v>
      </c>
      <c r="V123" s="405">
        <v>0</v>
      </c>
      <c r="W123" s="405">
        <v>0</v>
      </c>
      <c r="X123" s="405">
        <v>0</v>
      </c>
      <c r="Y123" s="405">
        <v>0</v>
      </c>
      <c r="Z123" s="405">
        <v>0</v>
      </c>
      <c r="AA123" s="405">
        <v>370150</v>
      </c>
      <c r="AB123" s="405">
        <v>0</v>
      </c>
      <c r="AC123" s="405">
        <v>0</v>
      </c>
      <c r="AD123" s="405">
        <v>0</v>
      </c>
      <c r="AE123" s="405">
        <v>0</v>
      </c>
      <c r="AF123" s="405">
        <v>0</v>
      </c>
      <c r="AG123" s="405">
        <v>0</v>
      </c>
      <c r="AH123" s="405">
        <v>82626943</v>
      </c>
      <c r="AI123" s="405">
        <v>0</v>
      </c>
      <c r="AJ123" s="405">
        <v>0</v>
      </c>
      <c r="AK123" s="405">
        <v>0</v>
      </c>
      <c r="AL123" s="405">
        <v>0</v>
      </c>
      <c r="AM123" s="405">
        <v>0</v>
      </c>
      <c r="AN123" s="405">
        <v>0</v>
      </c>
      <c r="AO123" s="405">
        <v>0</v>
      </c>
      <c r="AP123" s="405">
        <v>0</v>
      </c>
      <c r="AQ123" s="405">
        <v>0</v>
      </c>
      <c r="AR123" s="405">
        <v>8518109</v>
      </c>
      <c r="AS123" s="405">
        <v>0</v>
      </c>
      <c r="AT123" s="405">
        <v>0</v>
      </c>
      <c r="AU123" s="405">
        <v>0</v>
      </c>
      <c r="AV123" s="405">
        <v>0</v>
      </c>
      <c r="AW123" s="405">
        <v>0</v>
      </c>
      <c r="AX123" s="405">
        <v>154556684</v>
      </c>
      <c r="AY123" s="405">
        <v>0</v>
      </c>
      <c r="AZ123" s="405">
        <v>0</v>
      </c>
      <c r="BA123" s="405">
        <v>0</v>
      </c>
      <c r="BB123" s="405">
        <v>0</v>
      </c>
      <c r="BC123" s="405">
        <v>0</v>
      </c>
      <c r="BD123" s="405">
        <v>0</v>
      </c>
      <c r="BE123" s="405">
        <v>0</v>
      </c>
      <c r="BF123" s="405">
        <v>0</v>
      </c>
      <c r="BG123" s="405">
        <v>0</v>
      </c>
      <c r="BH123" s="405">
        <v>0</v>
      </c>
      <c r="BI123" s="405">
        <v>0</v>
      </c>
      <c r="BJ123" s="405">
        <v>0</v>
      </c>
      <c r="BK123" s="405">
        <v>0</v>
      </c>
      <c r="BL123" s="405">
        <v>0</v>
      </c>
      <c r="BM123" s="405">
        <v>0</v>
      </c>
      <c r="BN123" s="405">
        <v>0</v>
      </c>
      <c r="BO123" s="405">
        <v>0</v>
      </c>
      <c r="BP123" s="405">
        <v>0</v>
      </c>
      <c r="BQ123" s="405">
        <v>0</v>
      </c>
      <c r="BR123" s="405">
        <v>150240610</v>
      </c>
      <c r="BS123" s="405">
        <v>0</v>
      </c>
      <c r="BT123" s="405">
        <v>3854170</v>
      </c>
      <c r="BU123" s="405">
        <v>0</v>
      </c>
      <c r="BV123" s="405">
        <v>0</v>
      </c>
      <c r="BW123" s="405">
        <v>402903</v>
      </c>
      <c r="BX123" s="405">
        <v>0</v>
      </c>
      <c r="BY123" s="405">
        <v>0</v>
      </c>
      <c r="BZ123" s="405">
        <v>0</v>
      </c>
      <c r="CA123" s="405">
        <v>0</v>
      </c>
      <c r="CB123" s="405">
        <v>0</v>
      </c>
      <c r="CC123" s="405">
        <v>0</v>
      </c>
      <c r="CD123" s="405">
        <v>0</v>
      </c>
      <c r="CE123" s="405">
        <v>0</v>
      </c>
      <c r="CF123" s="405">
        <v>27247586</v>
      </c>
    </row>
    <row r="124" spans="1:84" s="405" customFormat="1" x14ac:dyDescent="0.3">
      <c r="A124" s="405">
        <v>363</v>
      </c>
      <c r="B124" s="406">
        <v>363</v>
      </c>
      <c r="C124" s="405">
        <v>363</v>
      </c>
      <c r="D124" s="405" t="s">
        <v>242</v>
      </c>
      <c r="E124" s="405" t="s">
        <v>441</v>
      </c>
      <c r="F124" s="405">
        <v>0</v>
      </c>
      <c r="G124" s="405">
        <v>0</v>
      </c>
      <c r="H124" s="405">
        <v>0</v>
      </c>
      <c r="I124" s="405">
        <v>0</v>
      </c>
      <c r="J124" s="405">
        <v>0</v>
      </c>
      <c r="K124" s="405">
        <v>0</v>
      </c>
      <c r="L124" s="405">
        <v>0</v>
      </c>
      <c r="M124" s="405">
        <v>0</v>
      </c>
      <c r="N124" s="405">
        <v>10314</v>
      </c>
      <c r="O124" s="405">
        <v>0</v>
      </c>
      <c r="P124" s="405">
        <v>0</v>
      </c>
      <c r="Q124" s="405">
        <v>0</v>
      </c>
      <c r="R124" s="405">
        <v>0</v>
      </c>
      <c r="S124" s="405">
        <v>113679</v>
      </c>
      <c r="T124" s="405">
        <v>0</v>
      </c>
      <c r="U124" s="405">
        <v>338</v>
      </c>
      <c r="V124" s="405">
        <v>0</v>
      </c>
      <c r="W124" s="405">
        <v>0</v>
      </c>
      <c r="X124" s="405">
        <v>0</v>
      </c>
      <c r="Y124" s="405">
        <v>0</v>
      </c>
      <c r="Z124" s="405">
        <v>0</v>
      </c>
      <c r="AA124" s="405">
        <v>10046</v>
      </c>
      <c r="AB124" s="405">
        <v>0</v>
      </c>
      <c r="AC124" s="405">
        <v>0</v>
      </c>
      <c r="AD124" s="405">
        <v>0</v>
      </c>
      <c r="AE124" s="405">
        <v>0</v>
      </c>
      <c r="AF124" s="405">
        <v>0</v>
      </c>
      <c r="AG124" s="405">
        <v>0</v>
      </c>
      <c r="AH124" s="405">
        <v>10728209</v>
      </c>
      <c r="AI124" s="405">
        <v>0</v>
      </c>
      <c r="AJ124" s="405">
        <v>0</v>
      </c>
      <c r="AK124" s="405">
        <v>0</v>
      </c>
      <c r="AL124" s="405">
        <v>0</v>
      </c>
      <c r="AM124" s="405">
        <v>0</v>
      </c>
      <c r="AN124" s="405">
        <v>0</v>
      </c>
      <c r="AO124" s="405">
        <v>0</v>
      </c>
      <c r="AP124" s="405">
        <v>0</v>
      </c>
      <c r="AQ124" s="405">
        <v>0</v>
      </c>
      <c r="AR124" s="405">
        <v>890546</v>
      </c>
      <c r="AS124" s="405">
        <v>0</v>
      </c>
      <c r="AT124" s="405">
        <v>0</v>
      </c>
      <c r="AU124" s="405">
        <v>0</v>
      </c>
      <c r="AV124" s="405">
        <v>0</v>
      </c>
      <c r="AW124" s="405">
        <v>0</v>
      </c>
      <c r="AX124" s="405">
        <v>3388509</v>
      </c>
      <c r="AY124" s="405">
        <v>0</v>
      </c>
      <c r="AZ124" s="405">
        <v>0</v>
      </c>
      <c r="BA124" s="405">
        <v>0</v>
      </c>
      <c r="BB124" s="405">
        <v>0</v>
      </c>
      <c r="BC124" s="405">
        <v>0</v>
      </c>
      <c r="BD124" s="405">
        <v>0</v>
      </c>
      <c r="BE124" s="405">
        <v>0</v>
      </c>
      <c r="BF124" s="405">
        <v>0</v>
      </c>
      <c r="BG124" s="405">
        <v>0</v>
      </c>
      <c r="BH124" s="405">
        <v>0</v>
      </c>
      <c r="BI124" s="405">
        <v>0</v>
      </c>
      <c r="BJ124" s="405">
        <v>0</v>
      </c>
      <c r="BK124" s="405">
        <v>0</v>
      </c>
      <c r="BL124" s="405">
        <v>0</v>
      </c>
      <c r="BM124" s="405">
        <v>0</v>
      </c>
      <c r="BN124" s="405">
        <v>0</v>
      </c>
      <c r="BO124" s="405">
        <v>0</v>
      </c>
      <c r="BP124" s="405">
        <v>0</v>
      </c>
      <c r="BQ124" s="405">
        <v>0</v>
      </c>
      <c r="BR124" s="405">
        <v>19281506</v>
      </c>
      <c r="BS124" s="405">
        <v>0</v>
      </c>
      <c r="BT124" s="405">
        <v>65223</v>
      </c>
      <c r="BU124" s="405">
        <v>0</v>
      </c>
      <c r="BV124" s="405">
        <v>0</v>
      </c>
      <c r="BW124" s="405">
        <v>0</v>
      </c>
      <c r="BX124" s="405">
        <v>0</v>
      </c>
      <c r="BY124" s="405">
        <v>0</v>
      </c>
      <c r="BZ124" s="405">
        <v>0</v>
      </c>
      <c r="CA124" s="405">
        <v>0</v>
      </c>
      <c r="CB124" s="405">
        <v>0</v>
      </c>
      <c r="CC124" s="405">
        <v>0</v>
      </c>
      <c r="CD124" s="405">
        <v>0</v>
      </c>
      <c r="CE124" s="405">
        <v>0</v>
      </c>
      <c r="CF124" s="405">
        <v>2247281</v>
      </c>
    </row>
    <row r="125" spans="1:84" s="405" customFormat="1" x14ac:dyDescent="0.3">
      <c r="A125" s="405">
        <v>364</v>
      </c>
      <c r="B125" s="406">
        <v>364</v>
      </c>
      <c r="C125" s="405">
        <v>364</v>
      </c>
      <c r="D125" s="405" t="s">
        <v>243</v>
      </c>
      <c r="E125" s="405" t="s">
        <v>442</v>
      </c>
      <c r="F125" s="405">
        <v>0</v>
      </c>
      <c r="G125" s="405">
        <v>0</v>
      </c>
      <c r="H125" s="405">
        <v>0</v>
      </c>
      <c r="I125" s="405">
        <v>0</v>
      </c>
      <c r="J125" s="405">
        <v>0</v>
      </c>
      <c r="K125" s="405">
        <v>0</v>
      </c>
      <c r="L125" s="405">
        <v>0</v>
      </c>
      <c r="M125" s="405">
        <v>0</v>
      </c>
      <c r="N125" s="405">
        <v>27876</v>
      </c>
      <c r="O125" s="405">
        <v>0</v>
      </c>
      <c r="P125" s="405">
        <v>0</v>
      </c>
      <c r="Q125" s="405">
        <v>0</v>
      </c>
      <c r="R125" s="405">
        <v>0</v>
      </c>
      <c r="S125" s="405">
        <v>71</v>
      </c>
      <c r="T125" s="405">
        <v>0</v>
      </c>
      <c r="U125" s="405">
        <v>0</v>
      </c>
      <c r="V125" s="405">
        <v>0</v>
      </c>
      <c r="W125" s="405">
        <v>0</v>
      </c>
      <c r="X125" s="405">
        <v>0</v>
      </c>
      <c r="Y125" s="405">
        <v>0</v>
      </c>
      <c r="Z125" s="405">
        <v>0</v>
      </c>
      <c r="AA125" s="405">
        <v>60</v>
      </c>
      <c r="AB125" s="405">
        <v>0</v>
      </c>
      <c r="AC125" s="405">
        <v>0</v>
      </c>
      <c r="AD125" s="405">
        <v>0</v>
      </c>
      <c r="AE125" s="405">
        <v>0</v>
      </c>
      <c r="AF125" s="405">
        <v>0</v>
      </c>
      <c r="AG125" s="405">
        <v>0</v>
      </c>
      <c r="AH125" s="405">
        <v>338843</v>
      </c>
      <c r="AI125" s="405">
        <v>0</v>
      </c>
      <c r="AJ125" s="405">
        <v>0</v>
      </c>
      <c r="AK125" s="405">
        <v>0</v>
      </c>
      <c r="AL125" s="405">
        <v>0</v>
      </c>
      <c r="AM125" s="405">
        <v>0</v>
      </c>
      <c r="AN125" s="405">
        <v>0</v>
      </c>
      <c r="AO125" s="405">
        <v>0</v>
      </c>
      <c r="AP125" s="405">
        <v>0</v>
      </c>
      <c r="AQ125" s="405">
        <v>0</v>
      </c>
      <c r="AR125" s="405">
        <v>0</v>
      </c>
      <c r="AS125" s="405">
        <v>0</v>
      </c>
      <c r="AT125" s="405">
        <v>0</v>
      </c>
      <c r="AU125" s="405">
        <v>0</v>
      </c>
      <c r="AV125" s="405">
        <v>0</v>
      </c>
      <c r="AW125" s="405">
        <v>0</v>
      </c>
      <c r="AX125" s="405">
        <v>2129475</v>
      </c>
      <c r="AY125" s="405">
        <v>0</v>
      </c>
      <c r="AZ125" s="405">
        <v>0</v>
      </c>
      <c r="BA125" s="405">
        <v>0</v>
      </c>
      <c r="BB125" s="405">
        <v>0</v>
      </c>
      <c r="BC125" s="405">
        <v>0</v>
      </c>
      <c r="BD125" s="405">
        <v>0</v>
      </c>
      <c r="BE125" s="405">
        <v>0</v>
      </c>
      <c r="BF125" s="405">
        <v>0</v>
      </c>
      <c r="BG125" s="405">
        <v>0</v>
      </c>
      <c r="BH125" s="405">
        <v>0</v>
      </c>
      <c r="BI125" s="405">
        <v>0</v>
      </c>
      <c r="BJ125" s="405">
        <v>0</v>
      </c>
      <c r="BK125" s="405">
        <v>0</v>
      </c>
      <c r="BL125" s="405">
        <v>0</v>
      </c>
      <c r="BM125" s="405">
        <v>0</v>
      </c>
      <c r="BN125" s="405">
        <v>0</v>
      </c>
      <c r="BO125" s="405">
        <v>0</v>
      </c>
      <c r="BP125" s="405">
        <v>0</v>
      </c>
      <c r="BQ125" s="405">
        <v>0</v>
      </c>
      <c r="BR125" s="405">
        <v>0</v>
      </c>
      <c r="BS125" s="405">
        <v>0</v>
      </c>
      <c r="BT125" s="405">
        <v>0</v>
      </c>
      <c r="BU125" s="405">
        <v>0</v>
      </c>
      <c r="BV125" s="405">
        <v>0</v>
      </c>
      <c r="BW125" s="405">
        <v>0</v>
      </c>
      <c r="BX125" s="405">
        <v>0</v>
      </c>
      <c r="BY125" s="405">
        <v>0</v>
      </c>
      <c r="BZ125" s="405">
        <v>0</v>
      </c>
      <c r="CA125" s="405">
        <v>0</v>
      </c>
      <c r="CB125" s="405">
        <v>0</v>
      </c>
      <c r="CC125" s="405">
        <v>0</v>
      </c>
      <c r="CD125" s="405">
        <v>0</v>
      </c>
      <c r="CE125" s="405">
        <v>0</v>
      </c>
      <c r="CF125" s="405">
        <v>0</v>
      </c>
    </row>
    <row r="126" spans="1:84" s="405" customFormat="1" x14ac:dyDescent="0.3">
      <c r="A126" s="405">
        <v>365</v>
      </c>
      <c r="B126" s="406">
        <v>365</v>
      </c>
      <c r="C126" s="405">
        <v>365</v>
      </c>
      <c r="D126" s="405" t="s">
        <v>245</v>
      </c>
      <c r="E126" s="405" t="s">
        <v>443</v>
      </c>
      <c r="F126" s="405">
        <v>0</v>
      </c>
      <c r="G126" s="405">
        <v>0</v>
      </c>
      <c r="H126" s="405">
        <v>0</v>
      </c>
      <c r="I126" s="405">
        <v>0</v>
      </c>
      <c r="J126" s="405">
        <v>0</v>
      </c>
      <c r="K126" s="405">
        <v>0</v>
      </c>
      <c r="L126" s="405">
        <v>0</v>
      </c>
      <c r="M126" s="405">
        <v>0</v>
      </c>
      <c r="N126" s="405">
        <v>0</v>
      </c>
      <c r="O126" s="405">
        <v>0</v>
      </c>
      <c r="P126" s="405">
        <v>0</v>
      </c>
      <c r="Q126" s="405">
        <v>0</v>
      </c>
      <c r="R126" s="405">
        <v>0</v>
      </c>
      <c r="S126" s="405">
        <v>0</v>
      </c>
      <c r="T126" s="405">
        <v>0</v>
      </c>
      <c r="U126" s="405">
        <v>0</v>
      </c>
      <c r="V126" s="405">
        <v>0</v>
      </c>
      <c r="W126" s="405">
        <v>0</v>
      </c>
      <c r="X126" s="405">
        <v>0</v>
      </c>
      <c r="Y126" s="405">
        <v>0</v>
      </c>
      <c r="Z126" s="405">
        <v>0</v>
      </c>
      <c r="AA126" s="405">
        <v>0</v>
      </c>
      <c r="AB126" s="405">
        <v>0</v>
      </c>
      <c r="AC126" s="405">
        <v>0</v>
      </c>
      <c r="AD126" s="405">
        <v>0</v>
      </c>
      <c r="AE126" s="405">
        <v>0</v>
      </c>
      <c r="AF126" s="405">
        <v>0</v>
      </c>
      <c r="AG126" s="405">
        <v>0</v>
      </c>
      <c r="AH126" s="405">
        <v>0</v>
      </c>
      <c r="AI126" s="405">
        <v>0</v>
      </c>
      <c r="AJ126" s="405">
        <v>0</v>
      </c>
      <c r="AK126" s="405">
        <v>0</v>
      </c>
      <c r="AL126" s="405">
        <v>0</v>
      </c>
      <c r="AM126" s="405">
        <v>0</v>
      </c>
      <c r="AN126" s="405">
        <v>0</v>
      </c>
      <c r="AO126" s="405">
        <v>0</v>
      </c>
      <c r="AP126" s="405">
        <v>0</v>
      </c>
      <c r="AQ126" s="405">
        <v>0</v>
      </c>
      <c r="AR126" s="405">
        <v>807652</v>
      </c>
      <c r="AS126" s="405">
        <v>0</v>
      </c>
      <c r="AT126" s="405">
        <v>0</v>
      </c>
      <c r="AU126" s="405">
        <v>0</v>
      </c>
      <c r="AV126" s="405">
        <v>0</v>
      </c>
      <c r="AW126" s="405">
        <v>0</v>
      </c>
      <c r="AX126" s="405">
        <v>0</v>
      </c>
      <c r="AY126" s="405">
        <v>0</v>
      </c>
      <c r="AZ126" s="405">
        <v>0</v>
      </c>
      <c r="BA126" s="405">
        <v>0</v>
      </c>
      <c r="BB126" s="405">
        <v>0</v>
      </c>
      <c r="BC126" s="405">
        <v>0</v>
      </c>
      <c r="BD126" s="405">
        <v>0</v>
      </c>
      <c r="BE126" s="405">
        <v>0</v>
      </c>
      <c r="BF126" s="405">
        <v>0</v>
      </c>
      <c r="BG126" s="405">
        <v>0</v>
      </c>
      <c r="BH126" s="405">
        <v>0</v>
      </c>
      <c r="BI126" s="405">
        <v>0</v>
      </c>
      <c r="BJ126" s="405">
        <v>0</v>
      </c>
      <c r="BK126" s="405">
        <v>0</v>
      </c>
      <c r="BL126" s="405">
        <v>0</v>
      </c>
      <c r="BM126" s="405">
        <v>0</v>
      </c>
      <c r="BN126" s="405">
        <v>0</v>
      </c>
      <c r="BO126" s="405">
        <v>0</v>
      </c>
      <c r="BP126" s="405">
        <v>0</v>
      </c>
      <c r="BQ126" s="405">
        <v>0</v>
      </c>
      <c r="BR126" s="405">
        <v>0</v>
      </c>
      <c r="BS126" s="405">
        <v>0</v>
      </c>
      <c r="BT126" s="405">
        <v>0</v>
      </c>
      <c r="BU126" s="405">
        <v>0</v>
      </c>
      <c r="BV126" s="405">
        <v>0</v>
      </c>
      <c r="BW126" s="405">
        <v>0</v>
      </c>
      <c r="BX126" s="405">
        <v>0</v>
      </c>
      <c r="BY126" s="405">
        <v>0</v>
      </c>
      <c r="BZ126" s="405">
        <v>0</v>
      </c>
      <c r="CA126" s="405">
        <v>0</v>
      </c>
      <c r="CB126" s="405">
        <v>0</v>
      </c>
      <c r="CC126" s="405">
        <v>0</v>
      </c>
      <c r="CD126" s="405">
        <v>0</v>
      </c>
      <c r="CE126" s="405">
        <v>0</v>
      </c>
      <c r="CF126" s="405">
        <v>0</v>
      </c>
    </row>
    <row r="127" spans="1:84" s="405" customFormat="1" x14ac:dyDescent="0.3">
      <c r="A127" s="405">
        <v>366</v>
      </c>
      <c r="B127" s="406">
        <v>366</v>
      </c>
      <c r="C127" s="405">
        <v>366</v>
      </c>
      <c r="D127" s="405" t="s">
        <v>536</v>
      </c>
      <c r="E127" s="405" t="s">
        <v>444</v>
      </c>
      <c r="F127" s="405">
        <v>0</v>
      </c>
      <c r="G127" s="405">
        <v>0</v>
      </c>
      <c r="H127" s="405">
        <v>0</v>
      </c>
      <c r="I127" s="405">
        <v>0</v>
      </c>
      <c r="J127" s="405">
        <v>0</v>
      </c>
      <c r="K127" s="405">
        <v>0</v>
      </c>
      <c r="L127" s="405">
        <v>0</v>
      </c>
      <c r="M127" s="405">
        <v>0</v>
      </c>
      <c r="N127" s="405">
        <v>479159</v>
      </c>
      <c r="O127" s="405">
        <v>0</v>
      </c>
      <c r="P127" s="405">
        <v>0</v>
      </c>
      <c r="Q127" s="405">
        <v>0</v>
      </c>
      <c r="R127" s="405">
        <v>0</v>
      </c>
      <c r="S127" s="405">
        <v>3950600</v>
      </c>
      <c r="T127" s="405">
        <v>0</v>
      </c>
      <c r="U127" s="405">
        <v>0</v>
      </c>
      <c r="V127" s="405">
        <v>0</v>
      </c>
      <c r="W127" s="405">
        <v>0</v>
      </c>
      <c r="X127" s="405">
        <v>0</v>
      </c>
      <c r="Y127" s="405">
        <v>0</v>
      </c>
      <c r="Z127" s="405">
        <v>0</v>
      </c>
      <c r="AA127" s="405">
        <v>79072</v>
      </c>
      <c r="AB127" s="405">
        <v>0</v>
      </c>
      <c r="AC127" s="405">
        <v>0</v>
      </c>
      <c r="AD127" s="405">
        <v>0</v>
      </c>
      <c r="AE127" s="405">
        <v>0</v>
      </c>
      <c r="AF127" s="405">
        <v>0</v>
      </c>
      <c r="AG127" s="405">
        <v>0</v>
      </c>
      <c r="AH127" s="405">
        <v>3100000</v>
      </c>
      <c r="AI127" s="405">
        <v>0</v>
      </c>
      <c r="AJ127" s="405">
        <v>0</v>
      </c>
      <c r="AK127" s="405">
        <v>0</v>
      </c>
      <c r="AL127" s="405">
        <v>0</v>
      </c>
      <c r="AM127" s="405">
        <v>0</v>
      </c>
      <c r="AN127" s="405">
        <v>0</v>
      </c>
      <c r="AO127" s="405">
        <v>0</v>
      </c>
      <c r="AP127" s="405">
        <v>0</v>
      </c>
      <c r="AQ127" s="405">
        <v>0</v>
      </c>
      <c r="AR127" s="405">
        <v>807652</v>
      </c>
      <c r="AS127" s="405">
        <v>0</v>
      </c>
      <c r="AT127" s="405">
        <v>0</v>
      </c>
      <c r="AU127" s="405">
        <v>0</v>
      </c>
      <c r="AV127" s="405">
        <v>0</v>
      </c>
      <c r="AW127" s="405">
        <v>0</v>
      </c>
      <c r="AX127" s="405">
        <v>4939838</v>
      </c>
      <c r="AY127" s="405">
        <v>0</v>
      </c>
      <c r="AZ127" s="405">
        <v>0</v>
      </c>
      <c r="BA127" s="405">
        <v>0</v>
      </c>
      <c r="BB127" s="405">
        <v>0</v>
      </c>
      <c r="BC127" s="405">
        <v>0</v>
      </c>
      <c r="BD127" s="405">
        <v>0</v>
      </c>
      <c r="BE127" s="405">
        <v>0</v>
      </c>
      <c r="BF127" s="405">
        <v>0</v>
      </c>
      <c r="BG127" s="405">
        <v>0</v>
      </c>
      <c r="BH127" s="405">
        <v>0</v>
      </c>
      <c r="BI127" s="405">
        <v>0</v>
      </c>
      <c r="BJ127" s="405">
        <v>0</v>
      </c>
      <c r="BK127" s="405">
        <v>0</v>
      </c>
      <c r="BL127" s="405">
        <v>0</v>
      </c>
      <c r="BM127" s="405">
        <v>0</v>
      </c>
      <c r="BN127" s="405">
        <v>0</v>
      </c>
      <c r="BO127" s="405">
        <v>0</v>
      </c>
      <c r="BP127" s="405">
        <v>0</v>
      </c>
      <c r="BQ127" s="405">
        <v>0</v>
      </c>
      <c r="BR127" s="405">
        <v>2025892</v>
      </c>
      <c r="BS127" s="405">
        <v>0</v>
      </c>
      <c r="BT127" s="405">
        <v>3333742</v>
      </c>
      <c r="BU127" s="405">
        <v>0</v>
      </c>
      <c r="BV127" s="405">
        <v>0</v>
      </c>
      <c r="BW127" s="405">
        <v>0</v>
      </c>
      <c r="BX127" s="405">
        <v>0</v>
      </c>
      <c r="BY127" s="405">
        <v>0</v>
      </c>
      <c r="BZ127" s="405">
        <v>0</v>
      </c>
      <c r="CA127" s="405">
        <v>0</v>
      </c>
      <c r="CB127" s="405">
        <v>0</v>
      </c>
      <c r="CC127" s="405">
        <v>0</v>
      </c>
      <c r="CD127" s="405">
        <v>0</v>
      </c>
      <c r="CE127" s="405">
        <v>0</v>
      </c>
      <c r="CF127" s="405">
        <v>0</v>
      </c>
    </row>
    <row r="128" spans="1:84" s="405" customFormat="1" x14ac:dyDescent="0.3">
      <c r="A128" s="405">
        <v>367</v>
      </c>
      <c r="B128" s="406"/>
      <c r="C128" s="405">
        <v>367</v>
      </c>
      <c r="D128" s="405" t="s">
        <v>641</v>
      </c>
      <c r="E128" s="405" t="s">
        <v>445</v>
      </c>
    </row>
    <row r="129" spans="1:84" s="405" customFormat="1" x14ac:dyDescent="0.3">
      <c r="A129" s="405">
        <v>368</v>
      </c>
      <c r="B129" s="406">
        <v>368</v>
      </c>
      <c r="C129" s="405">
        <v>368</v>
      </c>
      <c r="D129" s="405" t="s">
        <v>200</v>
      </c>
      <c r="E129" s="405" t="s">
        <v>446</v>
      </c>
      <c r="F129" s="405">
        <v>0</v>
      </c>
      <c r="G129" s="405">
        <v>0</v>
      </c>
      <c r="H129" s="405">
        <v>0</v>
      </c>
      <c r="I129" s="405">
        <v>0</v>
      </c>
      <c r="J129" s="405">
        <v>0</v>
      </c>
      <c r="K129" s="405">
        <v>0</v>
      </c>
      <c r="L129" s="405">
        <v>0</v>
      </c>
      <c r="M129" s="405">
        <v>13539</v>
      </c>
      <c r="N129" s="405">
        <v>0</v>
      </c>
      <c r="O129" s="405">
        <v>583025</v>
      </c>
      <c r="P129" s="405">
        <v>0</v>
      </c>
      <c r="Q129" s="405">
        <v>0</v>
      </c>
      <c r="R129" s="405">
        <v>0</v>
      </c>
      <c r="S129" s="405">
        <v>0</v>
      </c>
      <c r="T129" s="405">
        <v>0</v>
      </c>
      <c r="U129" s="405">
        <v>0</v>
      </c>
      <c r="V129" s="405">
        <v>0</v>
      </c>
      <c r="W129" s="405">
        <v>0</v>
      </c>
      <c r="X129" s="405">
        <v>0</v>
      </c>
      <c r="Y129" s="405">
        <v>0</v>
      </c>
      <c r="Z129" s="405">
        <v>0</v>
      </c>
      <c r="AA129" s="405">
        <v>0</v>
      </c>
      <c r="AB129" s="405">
        <v>0</v>
      </c>
      <c r="AC129" s="405">
        <v>0</v>
      </c>
      <c r="AD129" s="405">
        <v>0</v>
      </c>
      <c r="AE129" s="405">
        <v>0</v>
      </c>
      <c r="AF129" s="405">
        <v>0</v>
      </c>
      <c r="AG129" s="405">
        <v>0</v>
      </c>
      <c r="AH129" s="405">
        <v>0</v>
      </c>
      <c r="AI129" s="405">
        <v>0</v>
      </c>
      <c r="AJ129" s="405">
        <v>0</v>
      </c>
      <c r="AK129" s="405">
        <v>0</v>
      </c>
      <c r="AL129" s="405">
        <v>0</v>
      </c>
      <c r="AM129" s="405">
        <v>0</v>
      </c>
      <c r="AN129" s="405">
        <v>0</v>
      </c>
      <c r="AO129" s="405">
        <v>0</v>
      </c>
      <c r="AP129" s="405">
        <v>35720</v>
      </c>
      <c r="AQ129" s="405">
        <v>0</v>
      </c>
      <c r="AR129" s="405">
        <v>0</v>
      </c>
      <c r="AS129" s="405">
        <v>0</v>
      </c>
      <c r="AT129" s="405">
        <v>0</v>
      </c>
      <c r="AU129" s="405">
        <v>0</v>
      </c>
      <c r="AV129" s="405">
        <v>0</v>
      </c>
      <c r="AW129" s="405">
        <v>1564239</v>
      </c>
      <c r="AX129" s="405">
        <v>0</v>
      </c>
      <c r="AY129" s="405">
        <v>0</v>
      </c>
      <c r="AZ129" s="405">
        <v>0</v>
      </c>
      <c r="BA129" s="405">
        <v>0</v>
      </c>
      <c r="BB129" s="405">
        <v>0</v>
      </c>
      <c r="BC129" s="405">
        <v>0</v>
      </c>
      <c r="BD129" s="405">
        <v>0</v>
      </c>
      <c r="BE129" s="405">
        <v>0</v>
      </c>
      <c r="BF129" s="405">
        <v>0</v>
      </c>
      <c r="BG129" s="405">
        <v>0</v>
      </c>
      <c r="BH129" s="405">
        <v>162578</v>
      </c>
      <c r="BI129" s="405">
        <v>0</v>
      </c>
      <c r="BJ129" s="405">
        <v>0</v>
      </c>
      <c r="BK129" s="405">
        <v>0</v>
      </c>
      <c r="BL129" s="405">
        <v>0</v>
      </c>
      <c r="BM129" s="405">
        <v>0</v>
      </c>
      <c r="BN129" s="405">
        <v>0</v>
      </c>
      <c r="BO129" s="405">
        <v>0</v>
      </c>
      <c r="BP129" s="405">
        <v>0</v>
      </c>
      <c r="BQ129" s="405">
        <v>66446</v>
      </c>
      <c r="BR129" s="405">
        <v>752647</v>
      </c>
      <c r="BS129" s="405">
        <v>0</v>
      </c>
      <c r="BT129" s="405">
        <v>0</v>
      </c>
      <c r="BU129" s="405">
        <v>1700</v>
      </c>
      <c r="BV129" s="405">
        <v>0</v>
      </c>
      <c r="BW129" s="405">
        <v>0</v>
      </c>
      <c r="BX129" s="405">
        <v>0</v>
      </c>
      <c r="BY129" s="405">
        <v>0</v>
      </c>
      <c r="BZ129" s="405">
        <v>0</v>
      </c>
      <c r="CA129" s="405">
        <v>334770</v>
      </c>
      <c r="CB129" s="405">
        <v>0</v>
      </c>
      <c r="CC129" s="405">
        <v>0</v>
      </c>
      <c r="CD129" s="405">
        <v>0</v>
      </c>
      <c r="CE129" s="405">
        <v>0</v>
      </c>
      <c r="CF129" s="405">
        <v>615137</v>
      </c>
    </row>
    <row r="130" spans="1:84" s="405" customFormat="1" x14ac:dyDescent="0.3">
      <c r="A130" s="405">
        <v>369</v>
      </c>
      <c r="B130" s="406">
        <v>369</v>
      </c>
      <c r="C130" s="405">
        <v>369</v>
      </c>
      <c r="D130" s="405" t="s">
        <v>205</v>
      </c>
      <c r="E130" s="405" t="s">
        <v>447</v>
      </c>
      <c r="F130" s="405">
        <v>1540857</v>
      </c>
      <c r="G130" s="405">
        <v>982702</v>
      </c>
      <c r="H130" s="405">
        <v>184149</v>
      </c>
      <c r="I130" s="405">
        <v>385408</v>
      </c>
      <c r="J130" s="405">
        <v>297463</v>
      </c>
      <c r="K130" s="405">
        <v>120734</v>
      </c>
      <c r="L130" s="405">
        <v>27128</v>
      </c>
      <c r="M130" s="405">
        <v>64277</v>
      </c>
      <c r="N130" s="405">
        <v>1649934</v>
      </c>
      <c r="O130" s="405">
        <v>85086518</v>
      </c>
      <c r="P130" s="405">
        <v>660366</v>
      </c>
      <c r="Q130" s="405">
        <v>2902977</v>
      </c>
      <c r="R130" s="405">
        <v>10848</v>
      </c>
      <c r="S130" s="405">
        <v>1942842</v>
      </c>
      <c r="T130" s="405">
        <v>39538</v>
      </c>
      <c r="U130" s="405">
        <v>446357</v>
      </c>
      <c r="V130" s="405">
        <v>0</v>
      </c>
      <c r="W130" s="405">
        <v>453914</v>
      </c>
      <c r="X130" s="405">
        <v>1786485</v>
      </c>
      <c r="Y130" s="405">
        <v>765673</v>
      </c>
      <c r="Z130" s="405">
        <v>0</v>
      </c>
      <c r="AA130" s="405">
        <v>449406</v>
      </c>
      <c r="AB130" s="405">
        <v>3448608</v>
      </c>
      <c r="AC130" s="405">
        <v>117452</v>
      </c>
      <c r="AD130" s="405">
        <v>274158</v>
      </c>
      <c r="AE130" s="405">
        <v>3355484</v>
      </c>
      <c r="AF130" s="405">
        <v>32362</v>
      </c>
      <c r="AG130" s="405">
        <v>383420</v>
      </c>
      <c r="AH130" s="405">
        <v>5289116</v>
      </c>
      <c r="AI130" s="405">
        <v>134398</v>
      </c>
      <c r="AJ130" s="405">
        <v>102797</v>
      </c>
      <c r="AK130" s="405">
        <v>2335877</v>
      </c>
      <c r="AL130" s="405">
        <v>534373</v>
      </c>
      <c r="AM130" s="405">
        <v>41207</v>
      </c>
      <c r="AN130" s="405">
        <v>0</v>
      </c>
      <c r="AO130" s="405">
        <v>24628</v>
      </c>
      <c r="AP130" s="405">
        <v>5897036</v>
      </c>
      <c r="AQ130" s="405">
        <v>40222</v>
      </c>
      <c r="AR130" s="405">
        <v>689341</v>
      </c>
      <c r="AS130" s="405">
        <v>1227546</v>
      </c>
      <c r="AT130" s="405">
        <v>37223</v>
      </c>
      <c r="AU130" s="405">
        <v>0</v>
      </c>
      <c r="AV130" s="405">
        <v>223234</v>
      </c>
      <c r="AW130" s="405">
        <v>32388489</v>
      </c>
      <c r="AX130" s="405">
        <v>10283687</v>
      </c>
      <c r="AY130" s="405">
        <v>338822</v>
      </c>
      <c r="AZ130" s="405">
        <v>147426</v>
      </c>
      <c r="BA130" s="405">
        <v>70398</v>
      </c>
      <c r="BB130" s="405">
        <v>31924</v>
      </c>
      <c r="BC130" s="405">
        <v>0</v>
      </c>
      <c r="BD130" s="405">
        <v>2516243</v>
      </c>
      <c r="BE130" s="405">
        <v>47462</v>
      </c>
      <c r="BF130" s="405">
        <v>72450</v>
      </c>
      <c r="BG130" s="405">
        <v>19609</v>
      </c>
      <c r="BH130" s="405">
        <v>5557955</v>
      </c>
      <c r="BI130" s="405">
        <v>13000</v>
      </c>
      <c r="BJ130" s="405">
        <v>5286033</v>
      </c>
      <c r="BK130" s="405">
        <v>1203563</v>
      </c>
      <c r="BL130" s="405">
        <v>97938</v>
      </c>
      <c r="BM130" s="405">
        <v>58633</v>
      </c>
      <c r="BN130" s="405">
        <v>4839300</v>
      </c>
      <c r="BO130" s="405">
        <v>5880637</v>
      </c>
      <c r="BP130" s="405">
        <v>0</v>
      </c>
      <c r="BQ130" s="405">
        <v>4057725</v>
      </c>
      <c r="BR130" s="405">
        <v>37285459</v>
      </c>
      <c r="BS130" s="405">
        <v>132871</v>
      </c>
      <c r="BT130" s="405">
        <v>963631</v>
      </c>
      <c r="BU130" s="405">
        <v>215249</v>
      </c>
      <c r="BV130" s="405">
        <v>1398250</v>
      </c>
      <c r="BW130" s="405">
        <v>57280</v>
      </c>
      <c r="BX130" s="405">
        <v>182381</v>
      </c>
      <c r="BY130" s="405">
        <v>308814</v>
      </c>
      <c r="BZ130" s="405">
        <v>1261519</v>
      </c>
      <c r="CA130" s="405">
        <v>11095300</v>
      </c>
      <c r="CB130" s="405">
        <v>0</v>
      </c>
      <c r="CC130" s="405">
        <v>5242882</v>
      </c>
      <c r="CD130" s="405">
        <v>285214</v>
      </c>
      <c r="CE130" s="405">
        <v>882494</v>
      </c>
      <c r="CF130" s="405">
        <v>8718133</v>
      </c>
    </row>
    <row r="131" spans="1:84" s="405" customFormat="1" x14ac:dyDescent="0.3">
      <c r="A131" s="405">
        <v>370</v>
      </c>
      <c r="B131" s="406">
        <v>370</v>
      </c>
      <c r="C131" s="405">
        <v>370</v>
      </c>
      <c r="D131" s="405" t="s">
        <v>207</v>
      </c>
      <c r="E131" s="405" t="s">
        <v>448</v>
      </c>
      <c r="F131" s="405">
        <v>0</v>
      </c>
      <c r="G131" s="405">
        <v>0</v>
      </c>
      <c r="H131" s="405">
        <v>63400</v>
      </c>
      <c r="I131" s="405">
        <v>0</v>
      </c>
      <c r="J131" s="405">
        <v>40615</v>
      </c>
      <c r="K131" s="405">
        <v>0</v>
      </c>
      <c r="L131" s="405">
        <v>0</v>
      </c>
      <c r="M131" s="405">
        <v>0</v>
      </c>
      <c r="N131" s="405">
        <v>80022</v>
      </c>
      <c r="O131" s="405">
        <v>11891383</v>
      </c>
      <c r="P131" s="405">
        <v>0</v>
      </c>
      <c r="Q131" s="405">
        <v>309189</v>
      </c>
      <c r="R131" s="405">
        <v>0</v>
      </c>
      <c r="S131" s="405">
        <v>189862</v>
      </c>
      <c r="T131" s="405">
        <v>0</v>
      </c>
      <c r="U131" s="405">
        <v>14778</v>
      </c>
      <c r="V131" s="405">
        <v>0</v>
      </c>
      <c r="W131" s="405">
        <v>23099</v>
      </c>
      <c r="X131" s="405">
        <v>265461</v>
      </c>
      <c r="Y131" s="405">
        <v>117298</v>
      </c>
      <c r="Z131" s="405">
        <v>0</v>
      </c>
      <c r="AA131" s="405">
        <v>7035</v>
      </c>
      <c r="AB131" s="405">
        <v>0</v>
      </c>
      <c r="AC131" s="405">
        <v>0</v>
      </c>
      <c r="AD131" s="405">
        <v>17937</v>
      </c>
      <c r="AE131" s="405">
        <v>8569581</v>
      </c>
      <c r="AF131" s="405">
        <v>117142</v>
      </c>
      <c r="AG131" s="405">
        <v>15270</v>
      </c>
      <c r="AH131" s="405">
        <v>13369544</v>
      </c>
      <c r="AI131" s="405">
        <v>0</v>
      </c>
      <c r="AJ131" s="405">
        <v>0</v>
      </c>
      <c r="AK131" s="405">
        <v>222656</v>
      </c>
      <c r="AL131" s="405">
        <v>0</v>
      </c>
      <c r="AM131" s="405">
        <v>0</v>
      </c>
      <c r="AN131" s="405">
        <v>0</v>
      </c>
      <c r="AO131" s="405">
        <v>0</v>
      </c>
      <c r="AP131" s="405">
        <v>0</v>
      </c>
      <c r="AQ131" s="405">
        <v>0</v>
      </c>
      <c r="AR131" s="405">
        <v>86622</v>
      </c>
      <c r="AS131" s="405">
        <v>55618</v>
      </c>
      <c r="AT131" s="405">
        <v>0</v>
      </c>
      <c r="AU131" s="405">
        <v>0</v>
      </c>
      <c r="AV131" s="405">
        <v>0</v>
      </c>
      <c r="AW131" s="405">
        <v>0</v>
      </c>
      <c r="AX131" s="405">
        <v>0</v>
      </c>
      <c r="AY131" s="405">
        <v>124020</v>
      </c>
      <c r="AZ131" s="405">
        <v>0</v>
      </c>
      <c r="BA131" s="405">
        <v>0</v>
      </c>
      <c r="BB131" s="405">
        <v>2075</v>
      </c>
      <c r="BC131" s="405">
        <v>0</v>
      </c>
      <c r="BD131" s="405">
        <v>113614</v>
      </c>
      <c r="BE131" s="405">
        <v>0</v>
      </c>
      <c r="BF131" s="405">
        <v>0</v>
      </c>
      <c r="BG131" s="405">
        <v>0</v>
      </c>
      <c r="BH131" s="405">
        <v>1080107</v>
      </c>
      <c r="BI131" s="405">
        <v>0</v>
      </c>
      <c r="BJ131" s="405">
        <v>341289</v>
      </c>
      <c r="BK131" s="405">
        <v>54078</v>
      </c>
      <c r="BL131" s="405">
        <v>0</v>
      </c>
      <c r="BM131" s="405">
        <v>0</v>
      </c>
      <c r="BN131" s="405">
        <v>391802</v>
      </c>
      <c r="BO131" s="405">
        <v>1017602</v>
      </c>
      <c r="BP131" s="405">
        <v>0</v>
      </c>
      <c r="BQ131" s="405">
        <v>2059528</v>
      </c>
      <c r="BR131" s="405">
        <v>1051528</v>
      </c>
      <c r="BS131" s="405">
        <v>130624</v>
      </c>
      <c r="BT131" s="405">
        <v>64364</v>
      </c>
      <c r="BU131" s="405">
        <v>0</v>
      </c>
      <c r="BV131" s="405">
        <v>967363</v>
      </c>
      <c r="BW131" s="405">
        <v>3148</v>
      </c>
      <c r="BX131" s="405">
        <v>0</v>
      </c>
      <c r="BY131" s="405">
        <v>260653</v>
      </c>
      <c r="BZ131" s="405">
        <v>423324</v>
      </c>
      <c r="CA131" s="405">
        <v>0</v>
      </c>
      <c r="CB131" s="405">
        <v>0</v>
      </c>
      <c r="CC131" s="405">
        <v>922126</v>
      </c>
      <c r="CD131" s="405">
        <v>27358</v>
      </c>
      <c r="CE131" s="405">
        <v>71259</v>
      </c>
      <c r="CF131" s="405">
        <v>3640125</v>
      </c>
    </row>
    <row r="132" spans="1:84" s="405" customFormat="1" x14ac:dyDescent="0.3">
      <c r="A132" s="405">
        <v>371</v>
      </c>
      <c r="B132" s="406">
        <v>371</v>
      </c>
      <c r="C132" s="405">
        <v>371</v>
      </c>
      <c r="D132" s="405" t="s">
        <v>262</v>
      </c>
      <c r="E132" s="405" t="s">
        <v>449</v>
      </c>
      <c r="F132" s="405">
        <v>0</v>
      </c>
      <c r="G132" s="405">
        <v>0</v>
      </c>
      <c r="H132" s="405">
        <v>0</v>
      </c>
      <c r="I132" s="405">
        <v>0</v>
      </c>
      <c r="J132" s="405">
        <v>0</v>
      </c>
      <c r="K132" s="405">
        <v>0</v>
      </c>
      <c r="L132" s="405">
        <v>0</v>
      </c>
      <c r="M132" s="405">
        <v>0</v>
      </c>
      <c r="N132" s="405">
        <v>0</v>
      </c>
      <c r="O132" s="405">
        <v>0</v>
      </c>
      <c r="P132" s="405">
        <v>0</v>
      </c>
      <c r="Q132" s="405">
        <v>0</v>
      </c>
      <c r="R132" s="405">
        <v>0</v>
      </c>
      <c r="S132" s="405">
        <v>0</v>
      </c>
      <c r="T132" s="405">
        <v>0</v>
      </c>
      <c r="U132" s="405">
        <v>0</v>
      </c>
      <c r="V132" s="405">
        <v>0</v>
      </c>
      <c r="W132" s="405">
        <v>0</v>
      </c>
      <c r="X132" s="405">
        <v>0</v>
      </c>
      <c r="Y132" s="405">
        <v>0</v>
      </c>
      <c r="Z132" s="405">
        <v>0</v>
      </c>
      <c r="AA132" s="405">
        <v>0</v>
      </c>
      <c r="AB132" s="405">
        <v>3685375</v>
      </c>
      <c r="AC132" s="405">
        <v>0</v>
      </c>
      <c r="AD132" s="405">
        <v>0</v>
      </c>
      <c r="AE132" s="405">
        <v>0</v>
      </c>
      <c r="AF132" s="405">
        <v>0</v>
      </c>
      <c r="AG132" s="405">
        <v>0</v>
      </c>
      <c r="AH132" s="405">
        <v>0</v>
      </c>
      <c r="AI132" s="405">
        <v>0</v>
      </c>
      <c r="AJ132" s="405">
        <v>0</v>
      </c>
      <c r="AK132" s="405">
        <v>0</v>
      </c>
      <c r="AL132" s="405">
        <v>0</v>
      </c>
      <c r="AM132" s="405">
        <v>0</v>
      </c>
      <c r="AN132" s="405">
        <v>0</v>
      </c>
      <c r="AO132" s="405">
        <v>0</v>
      </c>
      <c r="AP132" s="405">
        <v>0</v>
      </c>
      <c r="AQ132" s="405">
        <v>0</v>
      </c>
      <c r="AR132" s="405">
        <v>0</v>
      </c>
      <c r="AS132" s="405">
        <v>0</v>
      </c>
      <c r="AT132" s="405">
        <v>0</v>
      </c>
      <c r="AU132" s="405">
        <v>0</v>
      </c>
      <c r="AV132" s="405">
        <v>0</v>
      </c>
      <c r="AW132" s="405">
        <v>26644740</v>
      </c>
      <c r="AX132" s="405">
        <v>4819754</v>
      </c>
      <c r="AY132" s="405">
        <v>0</v>
      </c>
      <c r="AZ132" s="405">
        <v>0</v>
      </c>
      <c r="BA132" s="405">
        <v>0</v>
      </c>
      <c r="BB132" s="405">
        <v>0</v>
      </c>
      <c r="BC132" s="405">
        <v>0</v>
      </c>
      <c r="BD132" s="405">
        <v>0</v>
      </c>
      <c r="BE132" s="405">
        <v>0</v>
      </c>
      <c r="BF132" s="405">
        <v>0</v>
      </c>
      <c r="BG132" s="405">
        <v>0</v>
      </c>
      <c r="BH132" s="405">
        <v>0</v>
      </c>
      <c r="BI132" s="405">
        <v>0</v>
      </c>
      <c r="BJ132" s="405">
        <v>0</v>
      </c>
      <c r="BK132" s="405">
        <v>0</v>
      </c>
      <c r="BL132" s="405">
        <v>0</v>
      </c>
      <c r="BM132" s="405">
        <v>0</v>
      </c>
      <c r="BN132" s="405">
        <v>0</v>
      </c>
      <c r="BO132" s="405">
        <v>0</v>
      </c>
      <c r="BP132" s="405">
        <v>0</v>
      </c>
      <c r="BQ132" s="405">
        <v>0</v>
      </c>
      <c r="BR132" s="405">
        <v>4993550</v>
      </c>
      <c r="BS132" s="405">
        <v>0</v>
      </c>
      <c r="BT132" s="405">
        <v>0</v>
      </c>
      <c r="BU132" s="405">
        <v>0</v>
      </c>
      <c r="BV132" s="405">
        <v>0</v>
      </c>
      <c r="BW132" s="405">
        <v>0</v>
      </c>
      <c r="BX132" s="405">
        <v>0</v>
      </c>
      <c r="BY132" s="405">
        <v>0</v>
      </c>
      <c r="BZ132" s="405">
        <v>0</v>
      </c>
      <c r="CA132" s="405">
        <v>0</v>
      </c>
      <c r="CB132" s="405">
        <v>0</v>
      </c>
      <c r="CC132" s="405">
        <v>0</v>
      </c>
      <c r="CD132" s="405">
        <v>0</v>
      </c>
      <c r="CE132" s="405">
        <v>0</v>
      </c>
      <c r="CF132" s="405">
        <v>0</v>
      </c>
    </row>
    <row r="133" spans="1:84" s="405" customFormat="1" x14ac:dyDescent="0.3">
      <c r="A133" s="405">
        <v>373</v>
      </c>
      <c r="B133" s="406">
        <v>373</v>
      </c>
      <c r="C133" s="405">
        <v>373</v>
      </c>
      <c r="D133" s="405" t="s">
        <v>549</v>
      </c>
      <c r="E133" s="405" t="s">
        <v>450</v>
      </c>
      <c r="F133" s="405">
        <v>596569</v>
      </c>
      <c r="G133" s="405">
        <v>3406266</v>
      </c>
      <c r="H133" s="405">
        <v>312922</v>
      </c>
      <c r="I133" s="405">
        <v>588822</v>
      </c>
      <c r="J133" s="405">
        <v>933286</v>
      </c>
      <c r="K133" s="405">
        <v>367855</v>
      </c>
      <c r="L133" s="405">
        <v>81667</v>
      </c>
      <c r="M133" s="405">
        <v>72557</v>
      </c>
      <c r="N133" s="405">
        <v>6235554</v>
      </c>
      <c r="O133" s="405">
        <v>419843696</v>
      </c>
      <c r="P133" s="405">
        <v>1282154</v>
      </c>
      <c r="Q133" s="405">
        <v>3637824</v>
      </c>
      <c r="R133" s="405">
        <v>64885</v>
      </c>
      <c r="S133" s="405">
        <v>13214837</v>
      </c>
      <c r="T133" s="405">
        <v>83857</v>
      </c>
      <c r="U133" s="405">
        <v>413295</v>
      </c>
      <c r="V133" s="405">
        <v>0</v>
      </c>
      <c r="W133" s="405">
        <v>471183</v>
      </c>
      <c r="X133" s="405">
        <v>6816493</v>
      </c>
      <c r="Y133" s="405">
        <v>1352661</v>
      </c>
      <c r="Z133" s="405">
        <v>0</v>
      </c>
      <c r="AA133" s="405">
        <v>1509108</v>
      </c>
      <c r="AB133" s="405">
        <v>33919623</v>
      </c>
      <c r="AC133" s="405">
        <v>402978</v>
      </c>
      <c r="AD133" s="405">
        <v>610223</v>
      </c>
      <c r="AE133" s="405">
        <v>84792948</v>
      </c>
      <c r="AF133" s="405">
        <v>906528</v>
      </c>
      <c r="AG133" s="405">
        <v>609922</v>
      </c>
      <c r="AH133" s="405">
        <v>313245193</v>
      </c>
      <c r="AI133" s="405">
        <v>422656</v>
      </c>
      <c r="AJ133" s="405">
        <v>281609</v>
      </c>
      <c r="AK133" s="405">
        <v>6556176</v>
      </c>
      <c r="AL133" s="405">
        <v>1307022</v>
      </c>
      <c r="AM133" s="405">
        <v>101649</v>
      </c>
      <c r="AN133" s="405">
        <v>0</v>
      </c>
      <c r="AO133" s="405">
        <v>449218</v>
      </c>
      <c r="AP133" s="405">
        <v>14090639</v>
      </c>
      <c r="AQ133" s="405">
        <v>0</v>
      </c>
      <c r="AR133" s="405">
        <v>3472556</v>
      </c>
      <c r="AS133" s="405">
        <v>2705446</v>
      </c>
      <c r="AT133" s="405">
        <v>93808</v>
      </c>
      <c r="AU133" s="405">
        <v>0</v>
      </c>
      <c r="AV133" s="405">
        <v>406696</v>
      </c>
      <c r="AW133" s="405">
        <v>428837761</v>
      </c>
      <c r="AX133" s="405">
        <v>99876869</v>
      </c>
      <c r="AY133" s="405">
        <v>7058975</v>
      </c>
      <c r="AZ133" s="405">
        <v>357616</v>
      </c>
      <c r="BA133" s="405">
        <v>406139</v>
      </c>
      <c r="BB133" s="405">
        <v>123316</v>
      </c>
      <c r="BC133" s="405">
        <v>0</v>
      </c>
      <c r="BD133" s="405">
        <v>14534337</v>
      </c>
      <c r="BE133" s="405">
        <v>310821</v>
      </c>
      <c r="BF133" s="405">
        <v>300356</v>
      </c>
      <c r="BG133" s="405">
        <v>45943</v>
      </c>
      <c r="BH133" s="405">
        <v>7632431</v>
      </c>
      <c r="BI133" s="405">
        <v>55458</v>
      </c>
      <c r="BJ133" s="405">
        <v>11111253</v>
      </c>
      <c r="BK133" s="405">
        <v>3456276</v>
      </c>
      <c r="BL133" s="405">
        <v>782691</v>
      </c>
      <c r="BM133" s="405">
        <v>197192</v>
      </c>
      <c r="BN133" s="405">
        <v>26967055</v>
      </c>
      <c r="BO133" s="405">
        <v>24072721</v>
      </c>
      <c r="BP133" s="405">
        <v>0</v>
      </c>
      <c r="BQ133" s="405">
        <v>103875900</v>
      </c>
      <c r="BR133" s="405">
        <v>559753901</v>
      </c>
      <c r="BS133" s="405">
        <v>616309</v>
      </c>
      <c r="BT133" s="405">
        <v>10791037</v>
      </c>
      <c r="BU133" s="405">
        <v>1536310</v>
      </c>
      <c r="BV133" s="405">
        <v>8564283</v>
      </c>
      <c r="BW133" s="405">
        <v>888151</v>
      </c>
      <c r="BX133" s="405">
        <v>724274</v>
      </c>
      <c r="BY133" s="405">
        <v>1882509</v>
      </c>
      <c r="BZ133" s="405">
        <v>1238722</v>
      </c>
      <c r="CA133" s="405">
        <v>44955805</v>
      </c>
      <c r="CB133" s="405">
        <v>0</v>
      </c>
      <c r="CC133" s="405">
        <v>15225205</v>
      </c>
      <c r="CD133" s="405">
        <v>832187</v>
      </c>
      <c r="CE133" s="405">
        <v>3293847</v>
      </c>
      <c r="CF133" s="405">
        <v>58056704</v>
      </c>
    </row>
    <row r="134" spans="1:84" s="405" customFormat="1" x14ac:dyDescent="0.3">
      <c r="A134" s="405">
        <v>375</v>
      </c>
      <c r="B134" s="406">
        <v>375</v>
      </c>
      <c r="C134" s="405">
        <v>375</v>
      </c>
      <c r="D134" s="405" t="s">
        <v>222</v>
      </c>
      <c r="E134" s="405" t="s">
        <v>451</v>
      </c>
      <c r="F134" s="405">
        <v>219929</v>
      </c>
      <c r="G134" s="405">
        <v>-253857</v>
      </c>
      <c r="H134" s="405">
        <v>0</v>
      </c>
      <c r="I134" s="405">
        <v>586454</v>
      </c>
      <c r="J134" s="405">
        <v>591411</v>
      </c>
      <c r="K134" s="405">
        <v>129146</v>
      </c>
      <c r="L134" s="405">
        <v>0</v>
      </c>
      <c r="M134" s="405">
        <v>247501</v>
      </c>
      <c r="N134" s="405">
        <v>3460753</v>
      </c>
      <c r="O134" s="405">
        <v>0</v>
      </c>
      <c r="P134" s="405">
        <v>0</v>
      </c>
      <c r="Q134" s="405">
        <v>0</v>
      </c>
      <c r="R134" s="405">
        <v>-813</v>
      </c>
      <c r="S134" s="405">
        <v>3211447</v>
      </c>
      <c r="T134" s="405">
        <v>0</v>
      </c>
      <c r="U134" s="405">
        <v>254203</v>
      </c>
      <c r="V134" s="405">
        <v>0</v>
      </c>
      <c r="W134" s="405">
        <v>646730</v>
      </c>
      <c r="X134" s="405">
        <v>5502434</v>
      </c>
      <c r="Y134" s="405">
        <v>0</v>
      </c>
      <c r="Z134" s="405">
        <v>0</v>
      </c>
      <c r="AA134" s="405">
        <v>-80828</v>
      </c>
      <c r="AB134" s="405">
        <v>16981479</v>
      </c>
      <c r="AC134" s="405">
        <v>15869</v>
      </c>
      <c r="AD134" s="405">
        <v>516622</v>
      </c>
      <c r="AE134" s="405">
        <v>0</v>
      </c>
      <c r="AF134" s="405">
        <v>0</v>
      </c>
      <c r="AG134" s="405">
        <v>0</v>
      </c>
      <c r="AH134" s="405">
        <v>16129310</v>
      </c>
      <c r="AI134" s="405">
        <v>427</v>
      </c>
      <c r="AJ134" s="405">
        <v>186685</v>
      </c>
      <c r="AK134" s="405">
        <v>1744700</v>
      </c>
      <c r="AL134" s="405">
        <v>94866</v>
      </c>
      <c r="AM134" s="405">
        <v>-8831</v>
      </c>
      <c r="AN134" s="405">
        <v>0</v>
      </c>
      <c r="AO134" s="405">
        <v>3949912</v>
      </c>
      <c r="AP134" s="405">
        <v>11964686</v>
      </c>
      <c r="AQ134" s="405">
        <v>0</v>
      </c>
      <c r="AR134" s="405">
        <v>2664881</v>
      </c>
      <c r="AS134" s="405">
        <v>0</v>
      </c>
      <c r="AT134" s="405">
        <v>0</v>
      </c>
      <c r="AU134" s="405">
        <v>0</v>
      </c>
      <c r="AV134" s="405">
        <v>139515</v>
      </c>
      <c r="AW134" s="405">
        <v>35497206</v>
      </c>
      <c r="AX134" s="405">
        <v>20542971</v>
      </c>
      <c r="AY134" s="405">
        <v>479147</v>
      </c>
      <c r="AZ134" s="405">
        <v>138784</v>
      </c>
      <c r="BA134" s="405">
        <v>169411</v>
      </c>
      <c r="BB134" s="405">
        <v>-18225</v>
      </c>
      <c r="BC134" s="405">
        <v>0</v>
      </c>
      <c r="BD134" s="405">
        <v>1410250</v>
      </c>
      <c r="BE134" s="405">
        <v>515308</v>
      </c>
      <c r="BF134" s="405">
        <v>0</v>
      </c>
      <c r="BG134" s="405">
        <v>152634</v>
      </c>
      <c r="BH134" s="405">
        <v>8704073</v>
      </c>
      <c r="BI134" s="405">
        <v>0</v>
      </c>
      <c r="BJ134" s="405">
        <v>10174557</v>
      </c>
      <c r="BK134" s="405">
        <v>632913</v>
      </c>
      <c r="BL134" s="405">
        <v>0</v>
      </c>
      <c r="BM134" s="405">
        <v>0</v>
      </c>
      <c r="BN134" s="405">
        <v>27260167</v>
      </c>
      <c r="BO134" s="405">
        <v>10085732</v>
      </c>
      <c r="BP134" s="405">
        <v>0</v>
      </c>
      <c r="BQ134" s="405">
        <v>37522822</v>
      </c>
      <c r="BR134" s="405">
        <v>49983236</v>
      </c>
      <c r="BS134" s="405">
        <v>202458</v>
      </c>
      <c r="BT134" s="405">
        <v>2249362</v>
      </c>
      <c r="BU134" s="405">
        <v>0</v>
      </c>
      <c r="BV134" s="405">
        <v>10385294</v>
      </c>
      <c r="BW134" s="405">
        <v>258783</v>
      </c>
      <c r="BX134" s="405">
        <v>9821</v>
      </c>
      <c r="BY134" s="405">
        <v>2906869</v>
      </c>
      <c r="BZ134" s="405">
        <v>0</v>
      </c>
      <c r="CA134" s="405">
        <v>36731360</v>
      </c>
      <c r="CB134" s="405">
        <v>0</v>
      </c>
      <c r="CC134" s="405">
        <v>0</v>
      </c>
      <c r="CD134" s="405">
        <v>155243</v>
      </c>
      <c r="CE134" s="405">
        <v>0</v>
      </c>
      <c r="CF134" s="405">
        <v>0</v>
      </c>
    </row>
    <row r="135" spans="1:84" s="405" customFormat="1" x14ac:dyDescent="0.3">
      <c r="A135" s="405">
        <v>376</v>
      </c>
      <c r="B135" s="406">
        <v>376</v>
      </c>
      <c r="C135" s="405">
        <v>376</v>
      </c>
      <c r="D135" s="405" t="s">
        <v>108</v>
      </c>
      <c r="E135" s="405" t="s">
        <v>452</v>
      </c>
      <c r="F135" s="405">
        <v>0</v>
      </c>
      <c r="G135" s="405">
        <v>0</v>
      </c>
      <c r="H135" s="405">
        <v>0</v>
      </c>
      <c r="I135" s="405">
        <v>0</v>
      </c>
      <c r="J135" s="405">
        <v>0</v>
      </c>
      <c r="K135" s="405">
        <v>17361</v>
      </c>
      <c r="L135" s="405">
        <v>0</v>
      </c>
      <c r="M135" s="405">
        <v>0</v>
      </c>
      <c r="N135" s="405">
        <v>0</v>
      </c>
      <c r="O135" s="405">
        <v>0</v>
      </c>
      <c r="P135" s="405">
        <v>0</v>
      </c>
      <c r="Q135" s="405">
        <v>0</v>
      </c>
      <c r="R135" s="405">
        <v>0</v>
      </c>
      <c r="S135" s="405">
        <v>0</v>
      </c>
      <c r="T135" s="405">
        <v>0</v>
      </c>
      <c r="U135" s="405">
        <v>0</v>
      </c>
      <c r="V135" s="405">
        <v>0</v>
      </c>
      <c r="W135" s="405">
        <v>0</v>
      </c>
      <c r="X135" s="405">
        <v>0</v>
      </c>
      <c r="Y135" s="405">
        <v>0</v>
      </c>
      <c r="Z135" s="405">
        <v>0</v>
      </c>
      <c r="AA135" s="405">
        <v>-10850</v>
      </c>
      <c r="AB135" s="405">
        <v>0</v>
      </c>
      <c r="AC135" s="405">
        <v>0</v>
      </c>
      <c r="AD135" s="405">
        <v>0</v>
      </c>
      <c r="AE135" s="405">
        <v>0</v>
      </c>
      <c r="AF135" s="405">
        <v>1170</v>
      </c>
      <c r="AG135" s="405">
        <v>0</v>
      </c>
      <c r="AH135" s="405">
        <v>0</v>
      </c>
      <c r="AI135" s="405">
        <v>0</v>
      </c>
      <c r="AJ135" s="405">
        <v>0</v>
      </c>
      <c r="AK135" s="405">
        <v>0</v>
      </c>
      <c r="AL135" s="405">
        <v>0</v>
      </c>
      <c r="AM135" s="405">
        <v>0</v>
      </c>
      <c r="AN135" s="405">
        <v>0</v>
      </c>
      <c r="AO135" s="405">
        <v>0</v>
      </c>
      <c r="AP135" s="405">
        <v>0</v>
      </c>
      <c r="AQ135" s="405">
        <v>0</v>
      </c>
      <c r="AR135" s="405">
        <v>0</v>
      </c>
      <c r="AS135" s="405">
        <v>1</v>
      </c>
      <c r="AT135" s="405">
        <v>0</v>
      </c>
      <c r="AU135" s="405">
        <v>0</v>
      </c>
      <c r="AV135" s="405">
        <v>0</v>
      </c>
      <c r="AW135" s="405">
        <v>0</v>
      </c>
      <c r="AX135" s="405">
        <v>0</v>
      </c>
      <c r="AY135" s="405">
        <v>0</v>
      </c>
      <c r="AZ135" s="405">
        <v>-67621</v>
      </c>
      <c r="BA135" s="405">
        <v>0</v>
      </c>
      <c r="BB135" s="405">
        <v>-1</v>
      </c>
      <c r="BC135" s="405">
        <v>0</v>
      </c>
      <c r="BD135" s="405">
        <v>0</v>
      </c>
      <c r="BE135" s="405">
        <v>0</v>
      </c>
      <c r="BF135" s="405">
        <v>0</v>
      </c>
      <c r="BG135" s="405">
        <v>3</v>
      </c>
      <c r="BH135" s="405">
        <v>0</v>
      </c>
      <c r="BI135" s="405">
        <v>-1</v>
      </c>
      <c r="BJ135" s="405">
        <v>0</v>
      </c>
      <c r="BK135" s="405">
        <v>-4875000</v>
      </c>
      <c r="BL135" s="405">
        <v>0</v>
      </c>
      <c r="BM135" s="405">
        <v>0</v>
      </c>
      <c r="BN135" s="405">
        <v>0</v>
      </c>
      <c r="BO135" s="405">
        <v>0</v>
      </c>
      <c r="BP135" s="405">
        <v>0</v>
      </c>
      <c r="BQ135" s="405">
        <v>0</v>
      </c>
      <c r="BR135" s="405">
        <v>0</v>
      </c>
      <c r="BS135" s="405">
        <v>-1</v>
      </c>
      <c r="BT135" s="405">
        <v>0</v>
      </c>
      <c r="BU135" s="405">
        <v>0</v>
      </c>
      <c r="BV135" s="405">
        <v>-553</v>
      </c>
      <c r="BW135" s="405">
        <v>0</v>
      </c>
      <c r="BX135" s="405">
        <v>0</v>
      </c>
      <c r="BY135" s="405">
        <v>0</v>
      </c>
      <c r="BZ135" s="405">
        <v>2531339</v>
      </c>
      <c r="CA135" s="405">
        <v>-439438</v>
      </c>
      <c r="CB135" s="405">
        <v>0</v>
      </c>
      <c r="CC135" s="405">
        <v>0</v>
      </c>
      <c r="CD135" s="405">
        <v>0</v>
      </c>
      <c r="CE135" s="405">
        <v>0</v>
      </c>
      <c r="CF135" s="405">
        <v>0</v>
      </c>
    </row>
    <row r="136" spans="1:84" s="405" customFormat="1" x14ac:dyDescent="0.3">
      <c r="A136" s="405">
        <v>377</v>
      </c>
      <c r="B136" s="406">
        <v>377</v>
      </c>
      <c r="C136" s="405">
        <v>377</v>
      </c>
      <c r="D136" s="405" t="s">
        <v>109</v>
      </c>
      <c r="E136" s="405" t="s">
        <v>453</v>
      </c>
      <c r="F136" s="405">
        <v>0</v>
      </c>
      <c r="G136" s="405">
        <v>0</v>
      </c>
      <c r="H136" s="405">
        <v>0</v>
      </c>
      <c r="I136" s="405">
        <v>0</v>
      </c>
      <c r="J136" s="405">
        <v>-1</v>
      </c>
      <c r="K136" s="405">
        <v>1</v>
      </c>
      <c r="L136" s="405">
        <v>0</v>
      </c>
      <c r="M136" s="405">
        <v>0</v>
      </c>
      <c r="N136" s="405">
        <v>0</v>
      </c>
      <c r="O136" s="405">
        <v>0</v>
      </c>
      <c r="P136" s="405">
        <v>0</v>
      </c>
      <c r="Q136" s="405">
        <v>0</v>
      </c>
      <c r="R136" s="405">
        <v>0</v>
      </c>
      <c r="S136" s="405">
        <v>0</v>
      </c>
      <c r="T136" s="405">
        <v>0</v>
      </c>
      <c r="U136" s="405">
        <v>0</v>
      </c>
      <c r="V136" s="405">
        <v>0</v>
      </c>
      <c r="W136" s="405">
        <v>0</v>
      </c>
      <c r="X136" s="405">
        <v>0</v>
      </c>
      <c r="Y136" s="405">
        <v>0</v>
      </c>
      <c r="Z136" s="405">
        <v>0</v>
      </c>
      <c r="AA136" s="405">
        <v>-26520</v>
      </c>
      <c r="AB136" s="405">
        <v>0</v>
      </c>
      <c r="AC136" s="405">
        <v>0</v>
      </c>
      <c r="AD136" s="405">
        <v>0</v>
      </c>
      <c r="AE136" s="405">
        <v>0</v>
      </c>
      <c r="AF136" s="405">
        <v>0</v>
      </c>
      <c r="AG136" s="405">
        <v>0</v>
      </c>
      <c r="AH136" s="405">
        <v>0</v>
      </c>
      <c r="AI136" s="405">
        <v>0</v>
      </c>
      <c r="AJ136" s="405">
        <v>0</v>
      </c>
      <c r="AK136" s="405">
        <v>0</v>
      </c>
      <c r="AL136" s="405">
        <v>0</v>
      </c>
      <c r="AM136" s="405">
        <v>0</v>
      </c>
      <c r="AN136" s="405">
        <v>0</v>
      </c>
      <c r="AO136" s="405">
        <v>0</v>
      </c>
      <c r="AP136" s="405">
        <v>0</v>
      </c>
      <c r="AQ136" s="405">
        <v>0</v>
      </c>
      <c r="AR136" s="405">
        <v>0</v>
      </c>
      <c r="AS136" s="405">
        <v>0</v>
      </c>
      <c r="AT136" s="405">
        <v>0</v>
      </c>
      <c r="AU136" s="405">
        <v>0</v>
      </c>
      <c r="AV136" s="405">
        <v>0</v>
      </c>
      <c r="AW136" s="405">
        <v>0</v>
      </c>
      <c r="AX136" s="405">
        <v>0</v>
      </c>
      <c r="AY136" s="405">
        <v>0</v>
      </c>
      <c r="AZ136" s="405">
        <v>56540</v>
      </c>
      <c r="BA136" s="405">
        <v>0</v>
      </c>
      <c r="BB136" s="405">
        <v>0</v>
      </c>
      <c r="BC136" s="405">
        <v>0</v>
      </c>
      <c r="BD136" s="405">
        <v>0</v>
      </c>
      <c r="BE136" s="405">
        <v>2</v>
      </c>
      <c r="BF136" s="405">
        <v>0</v>
      </c>
      <c r="BG136" s="405">
        <v>4</v>
      </c>
      <c r="BH136" s="405">
        <v>0</v>
      </c>
      <c r="BI136" s="405">
        <v>0</v>
      </c>
      <c r="BJ136" s="405">
        <v>0</v>
      </c>
      <c r="BK136" s="405">
        <v>0</v>
      </c>
      <c r="BL136" s="405">
        <v>0</v>
      </c>
      <c r="BM136" s="405">
        <v>0</v>
      </c>
      <c r="BN136" s="405">
        <v>0</v>
      </c>
      <c r="BO136" s="405">
        <v>0</v>
      </c>
      <c r="BP136" s="405">
        <v>0</v>
      </c>
      <c r="BQ136" s="405">
        <v>0</v>
      </c>
      <c r="BR136" s="405">
        <v>0</v>
      </c>
      <c r="BS136" s="405">
        <v>0</v>
      </c>
      <c r="BT136" s="405">
        <v>0</v>
      </c>
      <c r="BU136" s="405">
        <v>0</v>
      </c>
      <c r="BV136" s="405">
        <v>0</v>
      </c>
      <c r="BW136" s="405">
        <v>0</v>
      </c>
      <c r="BX136" s="405">
        <v>0</v>
      </c>
      <c r="BY136" s="405">
        <v>38890</v>
      </c>
      <c r="BZ136" s="405">
        <v>0</v>
      </c>
      <c r="CA136" s="405">
        <v>-80385</v>
      </c>
      <c r="CB136" s="405">
        <v>0</v>
      </c>
      <c r="CC136" s="405">
        <v>0</v>
      </c>
      <c r="CD136" s="405">
        <v>0</v>
      </c>
      <c r="CE136" s="405">
        <v>0</v>
      </c>
      <c r="CF136" s="405">
        <v>0</v>
      </c>
    </row>
    <row r="137" spans="1:84" s="405" customFormat="1" x14ac:dyDescent="0.3">
      <c r="A137" s="405">
        <v>378</v>
      </c>
      <c r="B137" s="406">
        <v>378</v>
      </c>
      <c r="C137" s="405">
        <v>378</v>
      </c>
      <c r="D137" s="405" t="s">
        <v>110</v>
      </c>
      <c r="E137" s="405" t="s">
        <v>454</v>
      </c>
      <c r="F137" s="405">
        <v>0</v>
      </c>
      <c r="G137" s="405">
        <v>0</v>
      </c>
      <c r="H137" s="405">
        <v>0</v>
      </c>
      <c r="I137" s="405">
        <v>0</v>
      </c>
      <c r="J137" s="405">
        <v>0</v>
      </c>
      <c r="K137" s="405">
        <v>0</v>
      </c>
      <c r="L137" s="405">
        <v>0</v>
      </c>
      <c r="M137" s="405">
        <v>0</v>
      </c>
      <c r="N137" s="405">
        <v>0</v>
      </c>
      <c r="O137" s="405">
        <v>0</v>
      </c>
      <c r="P137" s="405">
        <v>0</v>
      </c>
      <c r="Q137" s="405">
        <v>0</v>
      </c>
      <c r="R137" s="405">
        <v>0</v>
      </c>
      <c r="S137" s="405">
        <v>0</v>
      </c>
      <c r="T137" s="405">
        <v>0</v>
      </c>
      <c r="U137" s="405">
        <v>0</v>
      </c>
      <c r="V137" s="405">
        <v>0</v>
      </c>
      <c r="W137" s="405">
        <v>0</v>
      </c>
      <c r="X137" s="405">
        <v>0</v>
      </c>
      <c r="Y137" s="405">
        <v>0</v>
      </c>
      <c r="Z137" s="405">
        <v>0</v>
      </c>
      <c r="AA137" s="405">
        <v>-89202</v>
      </c>
      <c r="AB137" s="405">
        <v>0</v>
      </c>
      <c r="AC137" s="405">
        <v>0</v>
      </c>
      <c r="AD137" s="405">
        <v>0</v>
      </c>
      <c r="AE137" s="405">
        <v>0</v>
      </c>
      <c r="AF137" s="405">
        <v>0</v>
      </c>
      <c r="AG137" s="405">
        <v>0</v>
      </c>
      <c r="AH137" s="405">
        <v>0</v>
      </c>
      <c r="AI137" s="405">
        <v>0</v>
      </c>
      <c r="AJ137" s="405">
        <v>0</v>
      </c>
      <c r="AK137" s="405">
        <v>0</v>
      </c>
      <c r="AL137" s="405">
        <v>0</v>
      </c>
      <c r="AM137" s="405">
        <v>0</v>
      </c>
      <c r="AN137" s="405">
        <v>0</v>
      </c>
      <c r="AO137" s="405">
        <v>0</v>
      </c>
      <c r="AP137" s="405">
        <v>0</v>
      </c>
      <c r="AQ137" s="405">
        <v>0</v>
      </c>
      <c r="AR137" s="405">
        <v>0</v>
      </c>
      <c r="AS137" s="405">
        <v>0</v>
      </c>
      <c r="AT137" s="405">
        <v>0</v>
      </c>
      <c r="AU137" s="405">
        <v>0</v>
      </c>
      <c r="AV137" s="405">
        <v>0</v>
      </c>
      <c r="AW137" s="405">
        <v>0</v>
      </c>
      <c r="AX137" s="405">
        <v>0</v>
      </c>
      <c r="AY137" s="405">
        <v>0</v>
      </c>
      <c r="AZ137" s="405">
        <v>0</v>
      </c>
      <c r="BA137" s="405">
        <v>0</v>
      </c>
      <c r="BB137" s="405">
        <v>0</v>
      </c>
      <c r="BC137" s="405">
        <v>0</v>
      </c>
      <c r="BD137" s="405">
        <v>0</v>
      </c>
      <c r="BE137" s="405">
        <v>0</v>
      </c>
      <c r="BF137" s="405">
        <v>0</v>
      </c>
      <c r="BG137" s="405">
        <v>0</v>
      </c>
      <c r="BH137" s="405">
        <v>0</v>
      </c>
      <c r="BI137" s="405">
        <v>0</v>
      </c>
      <c r="BJ137" s="405">
        <v>0</v>
      </c>
      <c r="BK137" s="405">
        <v>0</v>
      </c>
      <c r="BL137" s="405">
        <v>0</v>
      </c>
      <c r="BM137" s="405">
        <v>0</v>
      </c>
      <c r="BN137" s="405">
        <v>0</v>
      </c>
      <c r="BO137" s="405">
        <v>0</v>
      </c>
      <c r="BP137" s="405">
        <v>0</v>
      </c>
      <c r="BQ137" s="405">
        <v>0</v>
      </c>
      <c r="BR137" s="405">
        <v>0</v>
      </c>
      <c r="BS137" s="405">
        <v>0</v>
      </c>
      <c r="BT137" s="405">
        <v>0</v>
      </c>
      <c r="BU137" s="405">
        <v>0</v>
      </c>
      <c r="BV137" s="405">
        <v>0</v>
      </c>
      <c r="BW137" s="405">
        <v>0</v>
      </c>
      <c r="BX137" s="405">
        <v>0</v>
      </c>
      <c r="BY137" s="405">
        <v>0</v>
      </c>
      <c r="BZ137" s="405">
        <v>0</v>
      </c>
      <c r="CA137" s="405">
        <v>0</v>
      </c>
      <c r="CB137" s="405">
        <v>0</v>
      </c>
      <c r="CC137" s="405">
        <v>0</v>
      </c>
      <c r="CD137" s="405">
        <v>0</v>
      </c>
      <c r="CE137" s="405">
        <v>0</v>
      </c>
      <c r="CF137" s="405">
        <v>0</v>
      </c>
    </row>
    <row r="138" spans="1:84" s="405" customFormat="1" x14ac:dyDescent="0.3">
      <c r="A138" s="405">
        <v>379</v>
      </c>
      <c r="B138" s="406">
        <v>379</v>
      </c>
      <c r="C138" s="405">
        <v>379</v>
      </c>
      <c r="D138" s="405" t="s">
        <v>118</v>
      </c>
      <c r="E138" s="405" t="s">
        <v>455</v>
      </c>
      <c r="F138" s="405">
        <v>1379239</v>
      </c>
      <c r="G138" s="405">
        <v>1357600</v>
      </c>
      <c r="H138" s="405">
        <v>423029</v>
      </c>
      <c r="I138" s="405">
        <v>1210763</v>
      </c>
      <c r="J138" s="405">
        <v>979659</v>
      </c>
      <c r="K138" s="405">
        <v>119764</v>
      </c>
      <c r="L138" s="405">
        <v>132613</v>
      </c>
      <c r="M138" s="405">
        <v>640816</v>
      </c>
      <c r="N138" s="405">
        <v>3811582</v>
      </c>
      <c r="O138" s="405">
        <v>98644714</v>
      </c>
      <c r="P138" s="405">
        <v>2789516</v>
      </c>
      <c r="Q138" s="405">
        <v>5199720</v>
      </c>
      <c r="R138" s="405">
        <v>169825</v>
      </c>
      <c r="S138" s="405">
        <v>6324579</v>
      </c>
      <c r="T138" s="405">
        <v>143247</v>
      </c>
      <c r="U138" s="405">
        <v>604517</v>
      </c>
      <c r="V138" s="405">
        <v>0</v>
      </c>
      <c r="W138" s="405">
        <v>1316984</v>
      </c>
      <c r="X138" s="405">
        <v>4639737</v>
      </c>
      <c r="Y138" s="405">
        <v>778150</v>
      </c>
      <c r="Z138" s="405">
        <v>0</v>
      </c>
      <c r="AA138" s="405">
        <v>524557</v>
      </c>
      <c r="AB138" s="405">
        <v>29131925</v>
      </c>
      <c r="AC138" s="405">
        <v>7380854</v>
      </c>
      <c r="AD138" s="405">
        <v>958838</v>
      </c>
      <c r="AE138" s="405">
        <v>30430760</v>
      </c>
      <c r="AF138" s="405">
        <v>628639</v>
      </c>
      <c r="AG138" s="405">
        <v>504957</v>
      </c>
      <c r="AH138" s="405">
        <v>40709877</v>
      </c>
      <c r="AI138" s="405">
        <v>936764</v>
      </c>
      <c r="AJ138" s="405">
        <v>301850</v>
      </c>
      <c r="AK138" s="405">
        <v>3171536</v>
      </c>
      <c r="AL138" s="405">
        <v>982783</v>
      </c>
      <c r="AM138" s="405">
        <v>152844</v>
      </c>
      <c r="AN138" s="405">
        <v>0</v>
      </c>
      <c r="AO138" s="405">
        <v>682123</v>
      </c>
      <c r="AP138" s="405">
        <v>12930050</v>
      </c>
      <c r="AQ138" s="405">
        <v>45350</v>
      </c>
      <c r="AR138" s="405">
        <v>3846074</v>
      </c>
      <c r="AS138" s="405">
        <v>2191937</v>
      </c>
      <c r="AT138" s="405">
        <v>229028</v>
      </c>
      <c r="AU138" s="405">
        <v>0</v>
      </c>
      <c r="AV138" s="405">
        <v>777313</v>
      </c>
      <c r="AW138" s="405">
        <v>88021451</v>
      </c>
      <c r="AX138" s="405">
        <v>33546319</v>
      </c>
      <c r="AY138" s="405">
        <v>1042429</v>
      </c>
      <c r="AZ138" s="405">
        <v>209999</v>
      </c>
      <c r="BA138" s="405">
        <v>421302</v>
      </c>
      <c r="BB138" s="405">
        <v>200234</v>
      </c>
      <c r="BC138" s="405">
        <v>0</v>
      </c>
      <c r="BD138" s="405">
        <v>3371352</v>
      </c>
      <c r="BE138" s="405">
        <v>1184129</v>
      </c>
      <c r="BF138" s="405">
        <v>266210</v>
      </c>
      <c r="BG138" s="405">
        <v>139763</v>
      </c>
      <c r="BH138" s="405">
        <v>7496426</v>
      </c>
      <c r="BI138" s="405">
        <v>91366</v>
      </c>
      <c r="BJ138" s="405">
        <v>14519365</v>
      </c>
      <c r="BK138" s="405">
        <v>1395766</v>
      </c>
      <c r="BL138" s="405">
        <v>526614</v>
      </c>
      <c r="BM138" s="405">
        <v>518462</v>
      </c>
      <c r="BN138" s="405">
        <v>12730672</v>
      </c>
      <c r="BO138" s="405">
        <v>9948417</v>
      </c>
      <c r="BP138" s="405">
        <v>0</v>
      </c>
      <c r="BQ138" s="405">
        <v>40437529</v>
      </c>
      <c r="BR138" s="405">
        <v>34409699</v>
      </c>
      <c r="BS138" s="405">
        <v>253753</v>
      </c>
      <c r="BT138" s="405">
        <v>4470996</v>
      </c>
      <c r="BU138" s="405">
        <v>2967690</v>
      </c>
      <c r="BV138" s="405">
        <v>9096991</v>
      </c>
      <c r="BW138" s="405">
        <v>370143</v>
      </c>
      <c r="BX138" s="405">
        <v>927364</v>
      </c>
      <c r="BY138" s="405">
        <v>3355984</v>
      </c>
      <c r="BZ138" s="405">
        <v>2414810</v>
      </c>
      <c r="CA138" s="405">
        <v>26610352</v>
      </c>
      <c r="CB138" s="405">
        <v>0</v>
      </c>
      <c r="CC138" s="405">
        <v>7942952</v>
      </c>
      <c r="CD138" s="405">
        <v>612506</v>
      </c>
      <c r="CE138" s="405">
        <v>2097443</v>
      </c>
      <c r="CF138" s="405">
        <v>65202163</v>
      </c>
    </row>
    <row r="139" spans="1:84" s="405" customFormat="1" x14ac:dyDescent="0.3">
      <c r="A139" s="405">
        <v>380</v>
      </c>
      <c r="B139" s="406">
        <v>380</v>
      </c>
      <c r="C139" s="405">
        <v>380</v>
      </c>
      <c r="D139" s="405" t="s">
        <v>121</v>
      </c>
      <c r="E139" s="405" t="s">
        <v>456</v>
      </c>
      <c r="F139" s="405">
        <v>42941</v>
      </c>
      <c r="G139" s="405">
        <v>216645</v>
      </c>
      <c r="H139" s="405">
        <v>1923</v>
      </c>
      <c r="I139" s="405">
        <v>27498</v>
      </c>
      <c r="J139" s="405">
        <v>14619</v>
      </c>
      <c r="K139" s="405">
        <v>1064</v>
      </c>
      <c r="L139" s="405">
        <v>40</v>
      </c>
      <c r="M139" s="405">
        <v>613</v>
      </c>
      <c r="N139" s="405">
        <v>242692</v>
      </c>
      <c r="O139" s="405">
        <v>6487378</v>
      </c>
      <c r="P139" s="405">
        <v>982</v>
      </c>
      <c r="Q139" s="405">
        <v>62378</v>
      </c>
      <c r="R139" s="405">
        <v>583</v>
      </c>
      <c r="S139" s="405">
        <v>106799</v>
      </c>
      <c r="T139" s="405">
        <v>386</v>
      </c>
      <c r="U139" s="405">
        <v>23089</v>
      </c>
      <c r="V139" s="405">
        <v>0</v>
      </c>
      <c r="W139" s="405">
        <v>14741</v>
      </c>
      <c r="X139" s="405">
        <v>140303</v>
      </c>
      <c r="Y139" s="405">
        <v>69386</v>
      </c>
      <c r="Z139" s="405">
        <v>0</v>
      </c>
      <c r="AA139" s="405">
        <v>0</v>
      </c>
      <c r="AB139" s="405">
        <v>99037</v>
      </c>
      <c r="AC139" s="405">
        <v>0</v>
      </c>
      <c r="AD139" s="405">
        <v>24087</v>
      </c>
      <c r="AE139" s="405">
        <v>64022</v>
      </c>
      <c r="AF139" s="405">
        <v>105719</v>
      </c>
      <c r="AG139" s="405">
        <v>120218</v>
      </c>
      <c r="AH139" s="405">
        <v>1768244</v>
      </c>
      <c r="AI139" s="405">
        <v>2472</v>
      </c>
      <c r="AJ139" s="405">
        <v>8784</v>
      </c>
      <c r="AK139" s="405">
        <v>124703</v>
      </c>
      <c r="AL139" s="405">
        <v>6004</v>
      </c>
      <c r="AM139" s="405">
        <v>467</v>
      </c>
      <c r="AN139" s="405">
        <v>0</v>
      </c>
      <c r="AO139" s="405">
        <v>3825</v>
      </c>
      <c r="AP139" s="405">
        <v>234987</v>
      </c>
      <c r="AQ139" s="405">
        <v>0</v>
      </c>
      <c r="AR139" s="405">
        <v>65499</v>
      </c>
      <c r="AS139" s="405">
        <v>38398</v>
      </c>
      <c r="AT139" s="405">
        <v>0</v>
      </c>
      <c r="AU139" s="405">
        <v>0</v>
      </c>
      <c r="AV139" s="405">
        <v>61377</v>
      </c>
      <c r="AW139" s="405">
        <v>4494756</v>
      </c>
      <c r="AX139" s="405">
        <v>3487927</v>
      </c>
      <c r="AY139" s="405">
        <v>60719</v>
      </c>
      <c r="AZ139" s="405">
        <v>4390</v>
      </c>
      <c r="BA139" s="405">
        <v>3480</v>
      </c>
      <c r="BB139" s="405">
        <v>1290</v>
      </c>
      <c r="BC139" s="405">
        <v>0</v>
      </c>
      <c r="BD139" s="405">
        <v>221680</v>
      </c>
      <c r="BE139" s="405">
        <v>1701</v>
      </c>
      <c r="BF139" s="405">
        <v>0</v>
      </c>
      <c r="BG139" s="405">
        <v>2104</v>
      </c>
      <c r="BH139" s="405">
        <v>66183</v>
      </c>
      <c r="BI139" s="405">
        <v>0</v>
      </c>
      <c r="BJ139" s="405">
        <v>746073</v>
      </c>
      <c r="BK139" s="405">
        <v>28839</v>
      </c>
      <c r="BL139" s="405">
        <v>1432</v>
      </c>
      <c r="BM139" s="405">
        <v>0</v>
      </c>
      <c r="BN139" s="405">
        <v>335275</v>
      </c>
      <c r="BO139" s="405">
        <v>249394</v>
      </c>
      <c r="BP139" s="405">
        <v>0</v>
      </c>
      <c r="BQ139" s="405">
        <v>520555</v>
      </c>
      <c r="BR139" s="405">
        <v>1193847</v>
      </c>
      <c r="BS139" s="405">
        <v>13519</v>
      </c>
      <c r="BT139" s="405">
        <v>23725</v>
      </c>
      <c r="BU139" s="405">
        <v>45008</v>
      </c>
      <c r="BV139" s="405">
        <v>153685</v>
      </c>
      <c r="BW139" s="405">
        <v>17701</v>
      </c>
      <c r="BX139" s="405">
        <v>17905</v>
      </c>
      <c r="BY139" s="405">
        <v>94100</v>
      </c>
      <c r="BZ139" s="405">
        <v>49147</v>
      </c>
      <c r="CA139" s="405">
        <v>34691</v>
      </c>
      <c r="CB139" s="405">
        <v>0</v>
      </c>
      <c r="CC139" s="405">
        <v>123916</v>
      </c>
      <c r="CD139" s="405">
        <v>24477</v>
      </c>
      <c r="CE139" s="405">
        <v>97373</v>
      </c>
      <c r="CF139" s="405">
        <v>105991</v>
      </c>
    </row>
    <row r="140" spans="1:84" s="405" customFormat="1" x14ac:dyDescent="0.3">
      <c r="A140" s="405">
        <v>381</v>
      </c>
      <c r="B140" s="406">
        <v>381</v>
      </c>
      <c r="C140" s="405">
        <v>381</v>
      </c>
      <c r="D140" s="405" t="s">
        <v>113</v>
      </c>
      <c r="E140" s="405" t="s">
        <v>457</v>
      </c>
      <c r="F140" s="405">
        <v>8166627</v>
      </c>
      <c r="G140" s="405">
        <v>10023599</v>
      </c>
      <c r="H140" s="405">
        <v>0</v>
      </c>
      <c r="I140" s="405">
        <v>8840021</v>
      </c>
      <c r="J140" s="405">
        <v>5507302</v>
      </c>
      <c r="K140" s="405">
        <v>494687</v>
      </c>
      <c r="L140" s="405">
        <v>0</v>
      </c>
      <c r="M140" s="405">
        <v>4996411</v>
      </c>
      <c r="N140" s="405">
        <v>44961396</v>
      </c>
      <c r="O140" s="405">
        <v>0</v>
      </c>
      <c r="P140" s="405">
        <v>0</v>
      </c>
      <c r="Q140" s="405">
        <v>0</v>
      </c>
      <c r="R140" s="405">
        <v>3332672</v>
      </c>
      <c r="S140" s="405">
        <v>45607373</v>
      </c>
      <c r="T140" s="405">
        <v>0</v>
      </c>
      <c r="U140" s="405">
        <v>3700964</v>
      </c>
      <c r="V140" s="405">
        <v>0</v>
      </c>
      <c r="W140" s="405">
        <v>1865720</v>
      </c>
      <c r="X140" s="405">
        <v>31874828</v>
      </c>
      <c r="Y140" s="405">
        <v>0</v>
      </c>
      <c r="Z140" s="405">
        <v>0</v>
      </c>
      <c r="AA140" s="405">
        <v>10675247</v>
      </c>
      <c r="AB140" s="405">
        <v>141013475</v>
      </c>
      <c r="AC140" s="405">
        <v>1631640</v>
      </c>
      <c r="AD140" s="405">
        <v>3528172</v>
      </c>
      <c r="AE140" s="405">
        <v>0</v>
      </c>
      <c r="AF140" s="405">
        <v>0</v>
      </c>
      <c r="AG140" s="405">
        <v>0</v>
      </c>
      <c r="AH140" s="405">
        <v>283221847</v>
      </c>
      <c r="AI140" s="405">
        <v>2386</v>
      </c>
      <c r="AJ140" s="405">
        <v>1059796</v>
      </c>
      <c r="AK140" s="405">
        <v>6013629</v>
      </c>
      <c r="AL140" s="405">
        <v>1548302</v>
      </c>
      <c r="AM140" s="405">
        <v>266694</v>
      </c>
      <c r="AN140" s="405">
        <v>0</v>
      </c>
      <c r="AO140" s="405">
        <v>7317070</v>
      </c>
      <c r="AP140" s="405">
        <v>57751214</v>
      </c>
      <c r="AQ140" s="405">
        <v>0</v>
      </c>
      <c r="AR140" s="405">
        <v>16532566</v>
      </c>
      <c r="AS140" s="405">
        <v>0</v>
      </c>
      <c r="AT140" s="405">
        <v>0</v>
      </c>
      <c r="AU140" s="405">
        <v>0</v>
      </c>
      <c r="AV140" s="405">
        <v>3693028</v>
      </c>
      <c r="AW140" s="405">
        <v>967730021</v>
      </c>
      <c r="AX140" s="405">
        <v>317415319</v>
      </c>
      <c r="AY140" s="405">
        <v>4228256</v>
      </c>
      <c r="AZ140" s="405">
        <v>2828181</v>
      </c>
      <c r="BA140" s="405">
        <v>1843564</v>
      </c>
      <c r="BB140" s="405">
        <v>3279122</v>
      </c>
      <c r="BC140" s="405">
        <v>0</v>
      </c>
      <c r="BD140" s="405">
        <v>9255576</v>
      </c>
      <c r="BE140" s="405">
        <v>3618323</v>
      </c>
      <c r="BF140" s="405">
        <v>0</v>
      </c>
      <c r="BG140" s="405">
        <v>759608</v>
      </c>
      <c r="BH140" s="405">
        <v>47959062</v>
      </c>
      <c r="BI140" s="405">
        <v>0</v>
      </c>
      <c r="BJ140" s="405">
        <v>35389385</v>
      </c>
      <c r="BK140" s="405">
        <v>5467759</v>
      </c>
      <c r="BL140" s="405">
        <v>0</v>
      </c>
      <c r="BM140" s="405">
        <v>0</v>
      </c>
      <c r="BN140" s="405">
        <v>124477486</v>
      </c>
      <c r="BO140" s="405">
        <v>107331555</v>
      </c>
      <c r="BP140" s="405">
        <v>0</v>
      </c>
      <c r="BQ140" s="405">
        <v>170294964</v>
      </c>
      <c r="BR140" s="405">
        <v>396237876</v>
      </c>
      <c r="BS140" s="405">
        <v>5688897</v>
      </c>
      <c r="BT140" s="405">
        <v>29516198</v>
      </c>
      <c r="BU140" s="405">
        <v>0</v>
      </c>
      <c r="BV140" s="405">
        <v>84410655</v>
      </c>
      <c r="BW140" s="405">
        <v>2722960</v>
      </c>
      <c r="BX140" s="405">
        <v>2862258</v>
      </c>
      <c r="BY140" s="405">
        <v>21359787</v>
      </c>
      <c r="BZ140" s="405">
        <v>0</v>
      </c>
      <c r="CA140" s="405">
        <v>165583645</v>
      </c>
      <c r="CB140" s="405">
        <v>0</v>
      </c>
      <c r="CC140" s="405">
        <v>0</v>
      </c>
      <c r="CD140" s="405">
        <v>1075753</v>
      </c>
      <c r="CE140" s="405">
        <v>0</v>
      </c>
      <c r="CF140" s="405">
        <v>0</v>
      </c>
    </row>
    <row r="141" spans="1:84" s="405" customFormat="1" x14ac:dyDescent="0.3">
      <c r="A141" s="405">
        <v>382</v>
      </c>
      <c r="B141" s="406">
        <v>382</v>
      </c>
      <c r="C141" s="405">
        <v>382</v>
      </c>
      <c r="D141" s="405" t="s">
        <v>114</v>
      </c>
      <c r="E141" s="405" t="s">
        <v>458</v>
      </c>
      <c r="F141" s="405">
        <v>0</v>
      </c>
      <c r="G141" s="405">
        <v>0</v>
      </c>
      <c r="H141" s="405">
        <v>0</v>
      </c>
      <c r="I141" s="405">
        <v>0</v>
      </c>
      <c r="J141" s="405">
        <v>0</v>
      </c>
      <c r="K141" s="405">
        <v>0</v>
      </c>
      <c r="L141" s="405">
        <v>0</v>
      </c>
      <c r="M141" s="405">
        <v>0</v>
      </c>
      <c r="N141" s="405">
        <v>6166635</v>
      </c>
      <c r="O141" s="405">
        <v>0</v>
      </c>
      <c r="P141" s="405">
        <v>0</v>
      </c>
      <c r="Q141" s="405">
        <v>0</v>
      </c>
      <c r="R141" s="405">
        <v>0</v>
      </c>
      <c r="S141" s="405">
        <v>10990579</v>
      </c>
      <c r="T141" s="405">
        <v>0</v>
      </c>
      <c r="U141" s="405">
        <v>1257816</v>
      </c>
      <c r="V141" s="405">
        <v>0</v>
      </c>
      <c r="W141" s="405">
        <v>0</v>
      </c>
      <c r="X141" s="405">
        <v>0</v>
      </c>
      <c r="Y141" s="405">
        <v>0</v>
      </c>
      <c r="Z141" s="405">
        <v>0</v>
      </c>
      <c r="AA141" s="405">
        <v>835103</v>
      </c>
      <c r="AB141" s="405">
        <v>0</v>
      </c>
      <c r="AC141" s="405">
        <v>0</v>
      </c>
      <c r="AD141" s="405">
        <v>0</v>
      </c>
      <c r="AE141" s="405">
        <v>0</v>
      </c>
      <c r="AF141" s="405">
        <v>0</v>
      </c>
      <c r="AG141" s="405">
        <v>0</v>
      </c>
      <c r="AH141" s="405">
        <v>95625906</v>
      </c>
      <c r="AI141" s="405">
        <v>0</v>
      </c>
      <c r="AJ141" s="405">
        <v>0</v>
      </c>
      <c r="AK141" s="405">
        <v>0</v>
      </c>
      <c r="AL141" s="405">
        <v>0</v>
      </c>
      <c r="AM141" s="405">
        <v>0</v>
      </c>
      <c r="AN141" s="405">
        <v>0</v>
      </c>
      <c r="AO141" s="405">
        <v>0</v>
      </c>
      <c r="AP141" s="405">
        <v>0</v>
      </c>
      <c r="AQ141" s="405">
        <v>0</v>
      </c>
      <c r="AR141" s="405">
        <v>9643166</v>
      </c>
      <c r="AS141" s="405">
        <v>0</v>
      </c>
      <c r="AT141" s="405">
        <v>0</v>
      </c>
      <c r="AU141" s="405">
        <v>0</v>
      </c>
      <c r="AV141" s="405">
        <v>0</v>
      </c>
      <c r="AW141" s="405">
        <v>0</v>
      </c>
      <c r="AX141" s="405">
        <v>267736726</v>
      </c>
      <c r="AY141" s="405">
        <v>0</v>
      </c>
      <c r="AZ141" s="405">
        <v>0</v>
      </c>
      <c r="BA141" s="405">
        <v>0</v>
      </c>
      <c r="BB141" s="405">
        <v>0</v>
      </c>
      <c r="BC141" s="405">
        <v>0</v>
      </c>
      <c r="BD141" s="405">
        <v>0</v>
      </c>
      <c r="BE141" s="405">
        <v>0</v>
      </c>
      <c r="BF141" s="405">
        <v>0</v>
      </c>
      <c r="BG141" s="405">
        <v>0</v>
      </c>
      <c r="BH141" s="405">
        <v>0</v>
      </c>
      <c r="BI141" s="405">
        <v>0</v>
      </c>
      <c r="BJ141" s="405">
        <v>0</v>
      </c>
      <c r="BK141" s="405">
        <v>0</v>
      </c>
      <c r="BL141" s="405">
        <v>0</v>
      </c>
      <c r="BM141" s="405">
        <v>0</v>
      </c>
      <c r="BN141" s="405">
        <v>0</v>
      </c>
      <c r="BO141" s="405">
        <v>0</v>
      </c>
      <c r="BP141" s="405">
        <v>0</v>
      </c>
      <c r="BQ141" s="405">
        <v>0</v>
      </c>
      <c r="BR141" s="405">
        <v>168113808</v>
      </c>
      <c r="BS141" s="405">
        <v>0</v>
      </c>
      <c r="BT141" s="405">
        <v>5759045</v>
      </c>
      <c r="BU141" s="405">
        <v>0</v>
      </c>
      <c r="BV141" s="405">
        <v>0</v>
      </c>
      <c r="BW141" s="405">
        <v>509426</v>
      </c>
      <c r="BX141" s="405">
        <v>0</v>
      </c>
      <c r="BY141" s="405">
        <v>0</v>
      </c>
      <c r="BZ141" s="405">
        <v>0</v>
      </c>
      <c r="CA141" s="405">
        <v>0</v>
      </c>
      <c r="CB141" s="405">
        <v>0</v>
      </c>
      <c r="CC141" s="405">
        <v>0</v>
      </c>
      <c r="CD141" s="405">
        <v>0</v>
      </c>
      <c r="CE141" s="405">
        <v>0</v>
      </c>
      <c r="CF141" s="405">
        <v>29443440</v>
      </c>
    </row>
    <row r="142" spans="1:84" s="405" customFormat="1" x14ac:dyDescent="0.3">
      <c r="A142" s="405">
        <v>383</v>
      </c>
      <c r="B142" s="406">
        <v>383</v>
      </c>
      <c r="C142" s="405">
        <v>383</v>
      </c>
      <c r="D142" s="405" t="s">
        <v>221</v>
      </c>
      <c r="E142" s="405" t="s">
        <v>459</v>
      </c>
      <c r="F142" s="405">
        <v>0</v>
      </c>
      <c r="G142" s="405">
        <v>0</v>
      </c>
      <c r="H142" s="405">
        <v>0</v>
      </c>
      <c r="I142" s="405">
        <v>0</v>
      </c>
      <c r="J142" s="405">
        <v>0</v>
      </c>
      <c r="K142" s="405">
        <v>0</v>
      </c>
      <c r="L142" s="405">
        <v>0</v>
      </c>
      <c r="M142" s="405">
        <v>0</v>
      </c>
      <c r="N142" s="405">
        <v>0</v>
      </c>
      <c r="O142" s="405">
        <v>0</v>
      </c>
      <c r="P142" s="405">
        <v>0</v>
      </c>
      <c r="Q142" s="405">
        <v>0</v>
      </c>
      <c r="R142" s="405">
        <v>0</v>
      </c>
      <c r="S142" s="405">
        <v>0</v>
      </c>
      <c r="T142" s="405">
        <v>0</v>
      </c>
      <c r="U142" s="405">
        <v>0</v>
      </c>
      <c r="V142" s="405">
        <v>0</v>
      </c>
      <c r="W142" s="405">
        <v>0</v>
      </c>
      <c r="X142" s="405">
        <v>0</v>
      </c>
      <c r="Y142" s="405">
        <v>0</v>
      </c>
      <c r="Z142" s="405">
        <v>0</v>
      </c>
      <c r="AA142" s="405">
        <v>0</v>
      </c>
      <c r="AB142" s="405">
        <v>0</v>
      </c>
      <c r="AC142" s="405">
        <v>0</v>
      </c>
      <c r="AD142" s="405">
        <v>0</v>
      </c>
      <c r="AE142" s="405">
        <v>0</v>
      </c>
      <c r="AF142" s="405">
        <v>0</v>
      </c>
      <c r="AG142" s="405">
        <v>0</v>
      </c>
      <c r="AH142" s="405">
        <v>105143</v>
      </c>
      <c r="AI142" s="405">
        <v>0</v>
      </c>
      <c r="AJ142" s="405">
        <v>0</v>
      </c>
      <c r="AK142" s="405">
        <v>0</v>
      </c>
      <c r="AL142" s="405">
        <v>0</v>
      </c>
      <c r="AM142" s="405">
        <v>0</v>
      </c>
      <c r="AN142" s="405">
        <v>0</v>
      </c>
      <c r="AO142" s="405">
        <v>0</v>
      </c>
      <c r="AP142" s="405">
        <v>0</v>
      </c>
      <c r="AQ142" s="405">
        <v>0</v>
      </c>
      <c r="AR142" s="405">
        <v>0</v>
      </c>
      <c r="AS142" s="405">
        <v>0</v>
      </c>
      <c r="AT142" s="405">
        <v>0</v>
      </c>
      <c r="AU142" s="405">
        <v>0</v>
      </c>
      <c r="AV142" s="405">
        <v>0</v>
      </c>
      <c r="AW142" s="405">
        <v>0</v>
      </c>
      <c r="AX142" s="405">
        <v>137250</v>
      </c>
      <c r="AY142" s="405">
        <v>0</v>
      </c>
      <c r="AZ142" s="405">
        <v>0</v>
      </c>
      <c r="BA142" s="405">
        <v>960</v>
      </c>
      <c r="BB142" s="405">
        <v>0</v>
      </c>
      <c r="BC142" s="405">
        <v>0</v>
      </c>
      <c r="BD142" s="405">
        <v>0</v>
      </c>
      <c r="BE142" s="405">
        <v>0</v>
      </c>
      <c r="BF142" s="405">
        <v>0</v>
      </c>
      <c r="BG142" s="405">
        <v>1420</v>
      </c>
      <c r="BH142" s="405">
        <v>0</v>
      </c>
      <c r="BI142" s="405">
        <v>0</v>
      </c>
      <c r="BJ142" s="405">
        <v>0</v>
      </c>
      <c r="BK142" s="405">
        <v>0</v>
      </c>
      <c r="BL142" s="405">
        <v>0</v>
      </c>
      <c r="BM142" s="405">
        <v>0</v>
      </c>
      <c r="BN142" s="405">
        <v>0</v>
      </c>
      <c r="BO142" s="405">
        <v>0</v>
      </c>
      <c r="BP142" s="405">
        <v>0</v>
      </c>
      <c r="BQ142" s="405">
        <v>83841</v>
      </c>
      <c r="BR142" s="405">
        <v>0</v>
      </c>
      <c r="BS142" s="405">
        <v>0</v>
      </c>
      <c r="BT142" s="405">
        <v>0</v>
      </c>
      <c r="BU142" s="405">
        <v>0</v>
      </c>
      <c r="BV142" s="405">
        <v>0</v>
      </c>
      <c r="BW142" s="405">
        <v>0</v>
      </c>
      <c r="BX142" s="405">
        <v>0</v>
      </c>
      <c r="BY142" s="405">
        <v>0</v>
      </c>
      <c r="BZ142" s="405">
        <v>0</v>
      </c>
      <c r="CA142" s="405">
        <v>0</v>
      </c>
      <c r="CB142" s="405">
        <v>0</v>
      </c>
      <c r="CC142" s="405">
        <v>0</v>
      </c>
      <c r="CD142" s="405">
        <v>0</v>
      </c>
      <c r="CE142" s="405">
        <v>0</v>
      </c>
      <c r="CF142" s="405">
        <v>0</v>
      </c>
    </row>
    <row r="143" spans="1:84" s="405" customFormat="1" x14ac:dyDescent="0.3">
      <c r="A143" s="405">
        <v>384</v>
      </c>
      <c r="B143" s="406">
        <v>384</v>
      </c>
      <c r="C143" s="405">
        <v>384</v>
      </c>
      <c r="D143" s="405" t="s">
        <v>124</v>
      </c>
      <c r="E143" s="405" t="s">
        <v>460</v>
      </c>
      <c r="F143" s="405">
        <v>0</v>
      </c>
      <c r="G143" s="405">
        <v>0</v>
      </c>
      <c r="H143" s="405">
        <v>0</v>
      </c>
      <c r="I143" s="405">
        <v>0</v>
      </c>
      <c r="J143" s="405">
        <v>0</v>
      </c>
      <c r="K143" s="405">
        <v>0</v>
      </c>
      <c r="L143" s="405">
        <v>0</v>
      </c>
      <c r="M143" s="405">
        <v>0</v>
      </c>
      <c r="N143" s="405">
        <v>0</v>
      </c>
      <c r="O143" s="405">
        <v>0</v>
      </c>
      <c r="P143" s="405">
        <v>0</v>
      </c>
      <c r="Q143" s="405">
        <v>0</v>
      </c>
      <c r="R143" s="405">
        <v>0</v>
      </c>
      <c r="S143" s="405">
        <v>0</v>
      </c>
      <c r="T143" s="405">
        <v>0</v>
      </c>
      <c r="U143" s="405">
        <v>0</v>
      </c>
      <c r="V143" s="405">
        <v>0</v>
      </c>
      <c r="W143" s="405">
        <v>0</v>
      </c>
      <c r="X143" s="405">
        <v>0</v>
      </c>
      <c r="Y143" s="405">
        <v>0</v>
      </c>
      <c r="Z143" s="405">
        <v>0</v>
      </c>
      <c r="AA143" s="405">
        <v>0</v>
      </c>
      <c r="AB143" s="405">
        <v>0</v>
      </c>
      <c r="AC143" s="405">
        <v>0</v>
      </c>
      <c r="AD143" s="405">
        <v>0</v>
      </c>
      <c r="AE143" s="405">
        <v>0</v>
      </c>
      <c r="AF143" s="405">
        <v>0</v>
      </c>
      <c r="AG143" s="405">
        <v>0</v>
      </c>
      <c r="AH143" s="405">
        <v>391053</v>
      </c>
      <c r="AI143" s="405">
        <v>0</v>
      </c>
      <c r="AJ143" s="405">
        <v>0</v>
      </c>
      <c r="AK143" s="405">
        <v>0</v>
      </c>
      <c r="AL143" s="405">
        <v>0</v>
      </c>
      <c r="AM143" s="405">
        <v>0</v>
      </c>
      <c r="AN143" s="405">
        <v>0</v>
      </c>
      <c r="AO143" s="405">
        <v>0</v>
      </c>
      <c r="AP143" s="405">
        <v>0</v>
      </c>
      <c r="AQ143" s="405">
        <v>0</v>
      </c>
      <c r="AR143" s="405">
        <v>0</v>
      </c>
      <c r="AS143" s="405">
        <v>0</v>
      </c>
      <c r="AT143" s="405">
        <v>0</v>
      </c>
      <c r="AU143" s="405">
        <v>0</v>
      </c>
      <c r="AV143" s="405">
        <v>0</v>
      </c>
      <c r="AW143" s="405">
        <v>0</v>
      </c>
      <c r="AX143" s="405">
        <v>0</v>
      </c>
      <c r="AY143" s="405">
        <v>0</v>
      </c>
      <c r="AZ143" s="405">
        <v>0</v>
      </c>
      <c r="BA143" s="405">
        <v>0</v>
      </c>
      <c r="BB143" s="405">
        <v>0</v>
      </c>
      <c r="BC143" s="405">
        <v>0</v>
      </c>
      <c r="BD143" s="405">
        <v>0</v>
      </c>
      <c r="BE143" s="405">
        <v>0</v>
      </c>
      <c r="BF143" s="405">
        <v>0</v>
      </c>
      <c r="BG143" s="405">
        <v>0</v>
      </c>
      <c r="BH143" s="405">
        <v>0</v>
      </c>
      <c r="BI143" s="405">
        <v>0</v>
      </c>
      <c r="BJ143" s="405">
        <v>0</v>
      </c>
      <c r="BK143" s="405">
        <v>0</v>
      </c>
      <c r="BL143" s="405">
        <v>0</v>
      </c>
      <c r="BM143" s="405">
        <v>0</v>
      </c>
      <c r="BN143" s="405">
        <v>0</v>
      </c>
      <c r="BO143" s="405">
        <v>0</v>
      </c>
      <c r="BP143" s="405">
        <v>0</v>
      </c>
      <c r="BQ143" s="405">
        <v>0</v>
      </c>
      <c r="BR143" s="405">
        <v>0</v>
      </c>
      <c r="BS143" s="405">
        <v>0</v>
      </c>
      <c r="BT143" s="405">
        <v>0</v>
      </c>
      <c r="BU143" s="405">
        <v>0</v>
      </c>
      <c r="BV143" s="405">
        <v>0</v>
      </c>
      <c r="BW143" s="405">
        <v>0</v>
      </c>
      <c r="BX143" s="405">
        <v>0</v>
      </c>
      <c r="BY143" s="405">
        <v>0</v>
      </c>
      <c r="BZ143" s="405">
        <v>0</v>
      </c>
      <c r="CA143" s="405">
        <v>0</v>
      </c>
      <c r="CB143" s="405">
        <v>0</v>
      </c>
      <c r="CC143" s="405">
        <v>0</v>
      </c>
      <c r="CD143" s="405">
        <v>0</v>
      </c>
      <c r="CE143" s="405">
        <v>0</v>
      </c>
      <c r="CF143" s="405">
        <v>0</v>
      </c>
    </row>
    <row r="144" spans="1:84" s="405" customFormat="1" x14ac:dyDescent="0.3">
      <c r="A144" s="405">
        <v>385</v>
      </c>
      <c r="B144" s="406">
        <v>385</v>
      </c>
      <c r="C144" s="405">
        <v>385</v>
      </c>
      <c r="D144" s="405" t="s">
        <v>115</v>
      </c>
      <c r="E144" s="405" t="s">
        <v>461</v>
      </c>
      <c r="F144" s="405">
        <v>4003093</v>
      </c>
      <c r="G144" s="405">
        <v>2474444</v>
      </c>
      <c r="H144" s="405">
        <v>2372166</v>
      </c>
      <c r="I144" s="405">
        <v>1874715</v>
      </c>
      <c r="J144" s="405">
        <v>1434071</v>
      </c>
      <c r="K144" s="405">
        <v>680041</v>
      </c>
      <c r="L144" s="405">
        <v>205597</v>
      </c>
      <c r="M144" s="405">
        <v>699208</v>
      </c>
      <c r="N144" s="405">
        <v>17063712</v>
      </c>
      <c r="O144" s="405">
        <v>610485449</v>
      </c>
      <c r="P144" s="405">
        <v>7178336</v>
      </c>
      <c r="Q144" s="405">
        <v>26332197</v>
      </c>
      <c r="R144" s="405">
        <v>945364</v>
      </c>
      <c r="S144" s="405">
        <v>30741826</v>
      </c>
      <c r="T144" s="405">
        <v>328495</v>
      </c>
      <c r="U144" s="405">
        <v>1066452</v>
      </c>
      <c r="V144" s="405">
        <v>0</v>
      </c>
      <c r="W144" s="405">
        <v>2725088</v>
      </c>
      <c r="X144" s="405">
        <v>11583532</v>
      </c>
      <c r="Y144" s="405">
        <v>3305503</v>
      </c>
      <c r="Z144" s="405">
        <v>0</v>
      </c>
      <c r="AA144" s="405">
        <v>1390098</v>
      </c>
      <c r="AB144" s="405">
        <v>190389331</v>
      </c>
      <c r="AC144" s="405">
        <v>9170084</v>
      </c>
      <c r="AD144" s="405">
        <v>1126553</v>
      </c>
      <c r="AE144" s="405">
        <v>143239876</v>
      </c>
      <c r="AF144" s="405">
        <v>1886063</v>
      </c>
      <c r="AG144" s="405">
        <v>1105622</v>
      </c>
      <c r="AH144" s="405">
        <v>260413695</v>
      </c>
      <c r="AI144" s="405">
        <v>1156326</v>
      </c>
      <c r="AJ144" s="405">
        <v>548861</v>
      </c>
      <c r="AK144" s="405">
        <v>10009038</v>
      </c>
      <c r="AL144" s="405">
        <v>1648863</v>
      </c>
      <c r="AM144" s="405">
        <v>862100</v>
      </c>
      <c r="AN144" s="405">
        <v>0</v>
      </c>
      <c r="AO144" s="405">
        <v>1298694</v>
      </c>
      <c r="AP144" s="405">
        <v>36598688</v>
      </c>
      <c r="AQ144" s="405">
        <v>45350</v>
      </c>
      <c r="AR144" s="405">
        <v>10333245</v>
      </c>
      <c r="AS144" s="405">
        <v>6381788</v>
      </c>
      <c r="AT144" s="405">
        <v>706385</v>
      </c>
      <c r="AU144" s="405">
        <v>0</v>
      </c>
      <c r="AV144" s="405">
        <v>956886</v>
      </c>
      <c r="AW144" s="405">
        <v>961781550</v>
      </c>
      <c r="AX144" s="405">
        <v>317813444</v>
      </c>
      <c r="AY144" s="405">
        <v>3112572</v>
      </c>
      <c r="AZ144" s="405">
        <v>651339</v>
      </c>
      <c r="BA144" s="405">
        <v>646916</v>
      </c>
      <c r="BB144" s="405">
        <v>288623</v>
      </c>
      <c r="BC144" s="405">
        <v>0</v>
      </c>
      <c r="BD144" s="405">
        <v>12841589</v>
      </c>
      <c r="BE144" s="405">
        <v>1870862</v>
      </c>
      <c r="BF144" s="405">
        <v>475494</v>
      </c>
      <c r="BG144" s="405">
        <v>165418</v>
      </c>
      <c r="BH144" s="405">
        <v>53518515</v>
      </c>
      <c r="BI144" s="405">
        <v>109765</v>
      </c>
      <c r="BJ144" s="405">
        <v>30626813</v>
      </c>
      <c r="BK144" s="405">
        <v>8678939</v>
      </c>
      <c r="BL144" s="405">
        <v>1220780</v>
      </c>
      <c r="BM144" s="405">
        <v>727448</v>
      </c>
      <c r="BN144" s="405">
        <v>35689249</v>
      </c>
      <c r="BO144" s="405">
        <v>54489915</v>
      </c>
      <c r="BP144" s="405">
        <v>0</v>
      </c>
      <c r="BQ144" s="405">
        <v>162680026</v>
      </c>
      <c r="BR144" s="405">
        <v>377209769</v>
      </c>
      <c r="BS144" s="405">
        <v>1248337</v>
      </c>
      <c r="BT144" s="405">
        <v>25976741</v>
      </c>
      <c r="BU144" s="405">
        <v>5899717</v>
      </c>
      <c r="BV144" s="405">
        <v>34463735</v>
      </c>
      <c r="BW144" s="405">
        <v>1681065</v>
      </c>
      <c r="BX144" s="405">
        <v>1789971</v>
      </c>
      <c r="BY144" s="405">
        <v>20763636</v>
      </c>
      <c r="BZ144" s="405">
        <v>4145402</v>
      </c>
      <c r="CA144" s="405">
        <v>201793150</v>
      </c>
      <c r="CB144" s="405">
        <v>0</v>
      </c>
      <c r="CC144" s="405">
        <v>35022260</v>
      </c>
      <c r="CD144" s="405">
        <v>1238088</v>
      </c>
      <c r="CE144" s="405">
        <v>6845351</v>
      </c>
      <c r="CF144" s="405">
        <v>201625156</v>
      </c>
    </row>
    <row r="145" spans="1:84" s="405" customFormat="1" x14ac:dyDescent="0.3">
      <c r="A145" s="405">
        <v>386</v>
      </c>
      <c r="B145" s="406">
        <v>386</v>
      </c>
      <c r="C145" s="405">
        <v>386</v>
      </c>
      <c r="D145" s="405" t="s">
        <v>194</v>
      </c>
      <c r="E145" s="405" t="s">
        <v>462</v>
      </c>
      <c r="F145" s="405">
        <v>0</v>
      </c>
      <c r="G145" s="405">
        <v>0</v>
      </c>
      <c r="H145" s="405">
        <v>0</v>
      </c>
      <c r="I145" s="405">
        <v>0</v>
      </c>
      <c r="J145" s="405">
        <v>0</v>
      </c>
      <c r="K145" s="405">
        <v>0</v>
      </c>
      <c r="L145" s="405">
        <v>0</v>
      </c>
      <c r="M145" s="405">
        <v>0</v>
      </c>
      <c r="N145" s="405">
        <v>441317</v>
      </c>
      <c r="O145" s="405">
        <v>0</v>
      </c>
      <c r="P145" s="405">
        <v>0</v>
      </c>
      <c r="Q145" s="405">
        <v>0</v>
      </c>
      <c r="R145" s="405">
        <v>0</v>
      </c>
      <c r="S145" s="405">
        <v>3950600</v>
      </c>
      <c r="T145" s="405">
        <v>0</v>
      </c>
      <c r="U145" s="405">
        <v>0</v>
      </c>
      <c r="V145" s="405">
        <v>0</v>
      </c>
      <c r="W145" s="405">
        <v>0</v>
      </c>
      <c r="X145" s="405">
        <v>0</v>
      </c>
      <c r="Y145" s="405">
        <v>0</v>
      </c>
      <c r="Z145" s="405">
        <v>0</v>
      </c>
      <c r="AA145" s="405">
        <v>79072</v>
      </c>
      <c r="AB145" s="405">
        <v>268160</v>
      </c>
      <c r="AC145" s="405">
        <v>0</v>
      </c>
      <c r="AD145" s="405">
        <v>0</v>
      </c>
      <c r="AE145" s="405">
        <v>0</v>
      </c>
      <c r="AF145" s="405">
        <v>0</v>
      </c>
      <c r="AG145" s="405">
        <v>0</v>
      </c>
      <c r="AH145" s="405">
        <v>5562871</v>
      </c>
      <c r="AI145" s="405">
        <v>0</v>
      </c>
      <c r="AJ145" s="405">
        <v>0</v>
      </c>
      <c r="AK145" s="405">
        <v>359500</v>
      </c>
      <c r="AL145" s="405">
        <v>0</v>
      </c>
      <c r="AM145" s="405">
        <v>0</v>
      </c>
      <c r="AN145" s="405">
        <v>0</v>
      </c>
      <c r="AO145" s="405">
        <v>0</v>
      </c>
      <c r="AP145" s="405">
        <v>0</v>
      </c>
      <c r="AQ145" s="405">
        <v>0</v>
      </c>
      <c r="AR145" s="405">
        <v>20825</v>
      </c>
      <c r="AS145" s="405">
        <v>0</v>
      </c>
      <c r="AT145" s="405">
        <v>100</v>
      </c>
      <c r="AU145" s="405">
        <v>0</v>
      </c>
      <c r="AV145" s="405">
        <v>0</v>
      </c>
      <c r="AW145" s="405">
        <v>45831056</v>
      </c>
      <c r="AX145" s="405">
        <v>6114175</v>
      </c>
      <c r="AY145" s="405">
        <v>0</v>
      </c>
      <c r="AZ145" s="405">
        <v>0</v>
      </c>
      <c r="BA145" s="405">
        <v>0</v>
      </c>
      <c r="BB145" s="405">
        <v>0</v>
      </c>
      <c r="BC145" s="405">
        <v>0</v>
      </c>
      <c r="BD145" s="405">
        <v>0</v>
      </c>
      <c r="BE145" s="405">
        <v>0</v>
      </c>
      <c r="BF145" s="405">
        <v>0</v>
      </c>
      <c r="BG145" s="405">
        <v>0</v>
      </c>
      <c r="BH145" s="405">
        <v>0</v>
      </c>
      <c r="BI145" s="405">
        <v>0</v>
      </c>
      <c r="BJ145" s="405">
        <v>0</v>
      </c>
      <c r="BK145" s="405">
        <v>0</v>
      </c>
      <c r="BL145" s="405">
        <v>0</v>
      </c>
      <c r="BM145" s="405">
        <v>0</v>
      </c>
      <c r="BN145" s="405">
        <v>993835</v>
      </c>
      <c r="BO145" s="405">
        <v>30000</v>
      </c>
      <c r="BP145" s="405">
        <v>0</v>
      </c>
      <c r="BQ145" s="405">
        <v>13999327</v>
      </c>
      <c r="BR145" s="405">
        <v>1577163</v>
      </c>
      <c r="BS145" s="405">
        <v>0</v>
      </c>
      <c r="BT145" s="405">
        <v>1484302</v>
      </c>
      <c r="BU145" s="405">
        <v>0</v>
      </c>
      <c r="BV145" s="405">
        <v>197852</v>
      </c>
      <c r="BW145" s="405">
        <v>0</v>
      </c>
      <c r="BX145" s="405">
        <v>0</v>
      </c>
      <c r="BY145" s="405">
        <v>0</v>
      </c>
      <c r="BZ145" s="405">
        <v>0</v>
      </c>
      <c r="CA145" s="405">
        <v>18187134</v>
      </c>
      <c r="CB145" s="405">
        <v>0</v>
      </c>
      <c r="CC145" s="405">
        <v>0</v>
      </c>
      <c r="CD145" s="405">
        <v>0</v>
      </c>
      <c r="CE145" s="405">
        <v>0</v>
      </c>
      <c r="CF145" s="405">
        <v>0</v>
      </c>
    </row>
    <row r="146" spans="1:84" s="405" customFormat="1" x14ac:dyDescent="0.3">
      <c r="A146" s="405">
        <v>387</v>
      </c>
      <c r="B146" s="406">
        <v>387</v>
      </c>
      <c r="C146" s="405">
        <v>387</v>
      </c>
      <c r="D146" s="405" t="s">
        <v>195</v>
      </c>
      <c r="E146" s="405" t="s">
        <v>463</v>
      </c>
      <c r="F146" s="405">
        <v>86885</v>
      </c>
      <c r="G146" s="405">
        <v>0</v>
      </c>
      <c r="H146" s="405">
        <v>0</v>
      </c>
      <c r="I146" s="405">
        <v>0</v>
      </c>
      <c r="J146" s="405">
        <v>0</v>
      </c>
      <c r="K146" s="405">
        <v>0</v>
      </c>
      <c r="L146" s="405">
        <v>0</v>
      </c>
      <c r="M146" s="405">
        <v>0</v>
      </c>
      <c r="N146" s="405">
        <v>0</v>
      </c>
      <c r="O146" s="405">
        <v>3402244</v>
      </c>
      <c r="P146" s="405">
        <v>0</v>
      </c>
      <c r="Q146" s="405">
        <v>0</v>
      </c>
      <c r="R146" s="405">
        <v>0</v>
      </c>
      <c r="S146" s="405">
        <v>0</v>
      </c>
      <c r="T146" s="405">
        <v>0</v>
      </c>
      <c r="U146" s="405">
        <v>0</v>
      </c>
      <c r="V146" s="405">
        <v>0</v>
      </c>
      <c r="W146" s="405">
        <v>0</v>
      </c>
      <c r="X146" s="405">
        <v>0</v>
      </c>
      <c r="Y146" s="405">
        <v>0</v>
      </c>
      <c r="Z146" s="405">
        <v>0</v>
      </c>
      <c r="AA146" s="405">
        <v>0</v>
      </c>
      <c r="AB146" s="405">
        <v>0</v>
      </c>
      <c r="AC146" s="405">
        <v>6507</v>
      </c>
      <c r="AD146" s="405">
        <v>0</v>
      </c>
      <c r="AE146" s="405">
        <v>0</v>
      </c>
      <c r="AF146" s="405">
        <v>0</v>
      </c>
      <c r="AG146" s="405">
        <v>0</v>
      </c>
      <c r="AH146" s="405">
        <v>5877672</v>
      </c>
      <c r="AI146" s="405">
        <v>0</v>
      </c>
      <c r="AJ146" s="405">
        <v>0</v>
      </c>
      <c r="AK146" s="405">
        <v>0</v>
      </c>
      <c r="AL146" s="405">
        <v>2500</v>
      </c>
      <c r="AM146" s="405">
        <v>0</v>
      </c>
      <c r="AN146" s="405">
        <v>0</v>
      </c>
      <c r="AO146" s="405">
        <v>0</v>
      </c>
      <c r="AP146" s="405">
        <v>0</v>
      </c>
      <c r="AQ146" s="405">
        <v>0</v>
      </c>
      <c r="AR146" s="405">
        <v>0</v>
      </c>
      <c r="AS146" s="405">
        <v>0</v>
      </c>
      <c r="AT146" s="405">
        <v>0</v>
      </c>
      <c r="AU146" s="405">
        <v>0</v>
      </c>
      <c r="AV146" s="405">
        <v>0</v>
      </c>
      <c r="AW146" s="405">
        <v>56396095</v>
      </c>
      <c r="AX146" s="405">
        <v>0</v>
      </c>
      <c r="AY146" s="405">
        <v>0</v>
      </c>
      <c r="AZ146" s="405">
        <v>0</v>
      </c>
      <c r="BA146" s="405">
        <v>0</v>
      </c>
      <c r="BB146" s="405">
        <v>0</v>
      </c>
      <c r="BC146" s="405">
        <v>0</v>
      </c>
      <c r="BD146" s="405">
        <v>0</v>
      </c>
      <c r="BE146" s="405">
        <v>0</v>
      </c>
      <c r="BF146" s="405">
        <v>0</v>
      </c>
      <c r="BG146" s="405">
        <v>0</v>
      </c>
      <c r="BH146" s="405">
        <v>0</v>
      </c>
      <c r="BI146" s="405">
        <v>0</v>
      </c>
      <c r="BJ146" s="405">
        <v>191149</v>
      </c>
      <c r="BK146" s="405">
        <v>0</v>
      </c>
      <c r="BL146" s="405">
        <v>0</v>
      </c>
      <c r="BM146" s="405">
        <v>0</v>
      </c>
      <c r="BN146" s="405">
        <v>1068390</v>
      </c>
      <c r="BO146" s="405">
        <v>0</v>
      </c>
      <c r="BP146" s="405">
        <v>0</v>
      </c>
      <c r="BQ146" s="405">
        <v>15965715</v>
      </c>
      <c r="BR146" s="405">
        <v>0</v>
      </c>
      <c r="BS146" s="405">
        <v>0</v>
      </c>
      <c r="BT146" s="405">
        <v>0</v>
      </c>
      <c r="BU146" s="405">
        <v>0</v>
      </c>
      <c r="BV146" s="405">
        <v>0</v>
      </c>
      <c r="BW146" s="405">
        <v>0</v>
      </c>
      <c r="BX146" s="405">
        <v>15518</v>
      </c>
      <c r="BY146" s="405">
        <v>0</v>
      </c>
      <c r="BZ146" s="405">
        <v>0</v>
      </c>
      <c r="CA146" s="405">
        <v>17576158</v>
      </c>
      <c r="CB146" s="405">
        <v>0</v>
      </c>
      <c r="CC146" s="405">
        <v>0</v>
      </c>
      <c r="CD146" s="405">
        <v>0</v>
      </c>
      <c r="CE146" s="405">
        <v>0</v>
      </c>
      <c r="CF146" s="405">
        <v>0</v>
      </c>
    </row>
    <row r="147" spans="1:84" s="405" customFormat="1" x14ac:dyDescent="0.3">
      <c r="A147" s="405">
        <v>388</v>
      </c>
      <c r="B147" s="406">
        <v>388</v>
      </c>
      <c r="C147" s="405">
        <v>388</v>
      </c>
      <c r="D147" s="405" t="s">
        <v>189</v>
      </c>
      <c r="E147" s="405" t="s">
        <v>464</v>
      </c>
      <c r="F147" s="405">
        <v>3592085</v>
      </c>
      <c r="G147" s="405">
        <v>2123700</v>
      </c>
      <c r="H147" s="405">
        <v>408839</v>
      </c>
      <c r="I147" s="405">
        <v>812983</v>
      </c>
      <c r="J147" s="405">
        <v>573334</v>
      </c>
      <c r="K147" s="405">
        <v>165594</v>
      </c>
      <c r="L147" s="405">
        <v>53835</v>
      </c>
      <c r="M147" s="405">
        <v>145606</v>
      </c>
      <c r="N147" s="405">
        <v>5426265</v>
      </c>
      <c r="O147" s="405">
        <v>175832968</v>
      </c>
      <c r="P147" s="405">
        <v>2278579</v>
      </c>
      <c r="Q147" s="405">
        <v>7326508</v>
      </c>
      <c r="R147" s="405">
        <v>129965</v>
      </c>
      <c r="S147" s="405">
        <v>15692004</v>
      </c>
      <c r="T147" s="405">
        <v>98641</v>
      </c>
      <c r="U147" s="405">
        <v>344606</v>
      </c>
      <c r="V147" s="405">
        <v>0</v>
      </c>
      <c r="W147" s="405">
        <v>957278</v>
      </c>
      <c r="X147" s="405">
        <v>4364072</v>
      </c>
      <c r="Y147" s="405">
        <v>1973887</v>
      </c>
      <c r="Z147" s="405">
        <v>0</v>
      </c>
      <c r="AA147" s="405">
        <v>1118686</v>
      </c>
      <c r="AB147" s="405">
        <v>39194777</v>
      </c>
      <c r="AC147" s="405">
        <v>536000</v>
      </c>
      <c r="AD147" s="405">
        <v>573709</v>
      </c>
      <c r="AE147" s="405">
        <v>37105216</v>
      </c>
      <c r="AF147" s="405">
        <v>681311</v>
      </c>
      <c r="AG147" s="405">
        <v>443963</v>
      </c>
      <c r="AH147" s="405">
        <v>78816155</v>
      </c>
      <c r="AI147" s="405">
        <v>140765</v>
      </c>
      <c r="AJ147" s="405">
        <v>302075</v>
      </c>
      <c r="AK147" s="405">
        <v>6561662</v>
      </c>
      <c r="AL147" s="405">
        <v>925800</v>
      </c>
      <c r="AM147" s="405">
        <v>75135</v>
      </c>
      <c r="AN147" s="405">
        <v>0</v>
      </c>
      <c r="AO147" s="405">
        <v>202329</v>
      </c>
      <c r="AP147" s="405">
        <v>14358435</v>
      </c>
      <c r="AQ147" s="405">
        <v>50487</v>
      </c>
      <c r="AR147" s="405">
        <v>3748771</v>
      </c>
      <c r="AS147" s="405">
        <v>2326578</v>
      </c>
      <c r="AT147" s="405">
        <v>60495</v>
      </c>
      <c r="AU147" s="405">
        <v>0</v>
      </c>
      <c r="AV147" s="405">
        <v>267434</v>
      </c>
      <c r="AW147" s="405">
        <v>331521138</v>
      </c>
      <c r="AX147" s="405">
        <v>92319121</v>
      </c>
      <c r="AY147" s="405">
        <v>1775847</v>
      </c>
      <c r="AZ147" s="405">
        <v>296497</v>
      </c>
      <c r="BA147" s="405">
        <v>292206</v>
      </c>
      <c r="BB147" s="405">
        <v>183649</v>
      </c>
      <c r="BC147" s="405">
        <v>0</v>
      </c>
      <c r="BD147" s="405">
        <v>6487173</v>
      </c>
      <c r="BE147" s="405">
        <v>302503</v>
      </c>
      <c r="BF147" s="405">
        <v>130399</v>
      </c>
      <c r="BG147" s="405">
        <v>48210</v>
      </c>
      <c r="BH147" s="405">
        <v>13243544</v>
      </c>
      <c r="BI147" s="405">
        <v>20919</v>
      </c>
      <c r="BJ147" s="405">
        <v>11049144</v>
      </c>
      <c r="BK147" s="405">
        <v>2177972</v>
      </c>
      <c r="BL147" s="405">
        <v>282844</v>
      </c>
      <c r="BM147" s="405">
        <v>70230</v>
      </c>
      <c r="BN147" s="405">
        <v>16257637</v>
      </c>
      <c r="BO147" s="405">
        <v>18898395</v>
      </c>
      <c r="BP147" s="405">
        <v>0</v>
      </c>
      <c r="BQ147" s="405">
        <v>58899095</v>
      </c>
      <c r="BR147" s="405">
        <v>145672680</v>
      </c>
      <c r="BS147" s="405">
        <v>686507</v>
      </c>
      <c r="BT147" s="405">
        <v>5920556</v>
      </c>
      <c r="BU147" s="405">
        <v>894129</v>
      </c>
      <c r="BV147" s="405">
        <v>10890664</v>
      </c>
      <c r="BW147" s="405">
        <v>199751</v>
      </c>
      <c r="BX147" s="405">
        <v>368746</v>
      </c>
      <c r="BY147" s="405">
        <v>4045512</v>
      </c>
      <c r="BZ147" s="405">
        <v>2837660</v>
      </c>
      <c r="CA147" s="405">
        <v>47913121</v>
      </c>
      <c r="CB147" s="405">
        <v>0</v>
      </c>
      <c r="CC147" s="405">
        <v>15680070</v>
      </c>
      <c r="CD147" s="405">
        <v>442443</v>
      </c>
      <c r="CE147" s="405">
        <v>3334069</v>
      </c>
      <c r="CF147" s="405">
        <v>44419351</v>
      </c>
    </row>
    <row r="148" spans="1:84" s="405" customFormat="1" x14ac:dyDescent="0.3">
      <c r="A148" s="405">
        <v>389</v>
      </c>
      <c r="B148" s="406">
        <v>389</v>
      </c>
      <c r="C148" s="405">
        <v>389</v>
      </c>
      <c r="D148" s="405" t="s">
        <v>196</v>
      </c>
      <c r="E148" s="405" t="s">
        <v>465</v>
      </c>
      <c r="F148" s="405">
        <v>0</v>
      </c>
      <c r="G148" s="405">
        <v>0</v>
      </c>
      <c r="H148" s="405">
        <v>0</v>
      </c>
      <c r="I148" s="405">
        <v>0</v>
      </c>
      <c r="J148" s="405">
        <v>0</v>
      </c>
      <c r="K148" s="405">
        <v>0</v>
      </c>
      <c r="L148" s="405">
        <v>0</v>
      </c>
      <c r="M148" s="405">
        <v>0</v>
      </c>
      <c r="N148" s="405">
        <v>0</v>
      </c>
      <c r="O148" s="405">
        <v>0</v>
      </c>
      <c r="P148" s="405">
        <v>0</v>
      </c>
      <c r="Q148" s="405">
        <v>0</v>
      </c>
      <c r="R148" s="405">
        <v>0</v>
      </c>
      <c r="S148" s="405">
        <v>0</v>
      </c>
      <c r="T148" s="405">
        <v>0</v>
      </c>
      <c r="U148" s="405">
        <v>0</v>
      </c>
      <c r="V148" s="405">
        <v>0</v>
      </c>
      <c r="W148" s="405">
        <v>0</v>
      </c>
      <c r="X148" s="405">
        <v>0</v>
      </c>
      <c r="Y148" s="405">
        <v>0</v>
      </c>
      <c r="Z148" s="405">
        <v>0</v>
      </c>
      <c r="AA148" s="405">
        <v>0</v>
      </c>
      <c r="AB148" s="405">
        <v>0</v>
      </c>
      <c r="AC148" s="405">
        <v>0</v>
      </c>
      <c r="AD148" s="405">
        <v>0</v>
      </c>
      <c r="AE148" s="405">
        <v>0</v>
      </c>
      <c r="AF148" s="405">
        <v>0</v>
      </c>
      <c r="AG148" s="405">
        <v>0</v>
      </c>
      <c r="AH148" s="405">
        <v>0</v>
      </c>
      <c r="AI148" s="405">
        <v>0</v>
      </c>
      <c r="AJ148" s="405">
        <v>0</v>
      </c>
      <c r="AK148" s="405">
        <v>0</v>
      </c>
      <c r="AL148" s="405">
        <v>0</v>
      </c>
      <c r="AM148" s="405">
        <v>0</v>
      </c>
      <c r="AN148" s="405">
        <v>0</v>
      </c>
      <c r="AO148" s="405">
        <v>0</v>
      </c>
      <c r="AP148" s="405">
        <v>0</v>
      </c>
      <c r="AQ148" s="405">
        <v>0</v>
      </c>
      <c r="AR148" s="405">
        <v>0</v>
      </c>
      <c r="AS148" s="405">
        <v>0</v>
      </c>
      <c r="AT148" s="405">
        <v>0</v>
      </c>
      <c r="AU148" s="405">
        <v>0</v>
      </c>
      <c r="AV148" s="405">
        <v>0</v>
      </c>
      <c r="AW148" s="405">
        <v>0</v>
      </c>
      <c r="AX148" s="405">
        <v>0</v>
      </c>
      <c r="AY148" s="405">
        <v>0</v>
      </c>
      <c r="AZ148" s="405">
        <v>0</v>
      </c>
      <c r="BA148" s="405">
        <v>0</v>
      </c>
      <c r="BB148" s="405">
        <v>0</v>
      </c>
      <c r="BC148" s="405">
        <v>0</v>
      </c>
      <c r="BD148" s="405">
        <v>0</v>
      </c>
      <c r="BE148" s="405">
        <v>0</v>
      </c>
      <c r="BF148" s="405">
        <v>0</v>
      </c>
      <c r="BG148" s="405">
        <v>0</v>
      </c>
      <c r="BH148" s="405">
        <v>0</v>
      </c>
      <c r="BI148" s="405">
        <v>0</v>
      </c>
      <c r="BJ148" s="405">
        <v>0</v>
      </c>
      <c r="BK148" s="405">
        <v>0</v>
      </c>
      <c r="BL148" s="405">
        <v>0</v>
      </c>
      <c r="BM148" s="405">
        <v>0</v>
      </c>
      <c r="BN148" s="405">
        <v>0</v>
      </c>
      <c r="BO148" s="405">
        <v>0</v>
      </c>
      <c r="BP148" s="405">
        <v>0</v>
      </c>
      <c r="BQ148" s="405">
        <v>0</v>
      </c>
      <c r="BR148" s="405">
        <v>0</v>
      </c>
      <c r="BS148" s="405">
        <v>0</v>
      </c>
      <c r="BT148" s="405">
        <v>0</v>
      </c>
      <c r="BU148" s="405">
        <v>0</v>
      </c>
      <c r="BV148" s="405">
        <v>0</v>
      </c>
      <c r="BW148" s="405">
        <v>0</v>
      </c>
      <c r="BX148" s="405">
        <v>0</v>
      </c>
      <c r="BY148" s="405">
        <v>0</v>
      </c>
      <c r="BZ148" s="405">
        <v>0</v>
      </c>
      <c r="CA148" s="405">
        <v>0</v>
      </c>
      <c r="CB148" s="405">
        <v>0</v>
      </c>
      <c r="CC148" s="405">
        <v>0</v>
      </c>
      <c r="CD148" s="405">
        <v>0</v>
      </c>
      <c r="CE148" s="405">
        <v>0</v>
      </c>
      <c r="CF148" s="405">
        <v>0</v>
      </c>
    </row>
    <row r="149" spans="1:84" s="405" customFormat="1" x14ac:dyDescent="0.3">
      <c r="A149" s="405">
        <v>391</v>
      </c>
      <c r="B149" s="406">
        <v>391</v>
      </c>
      <c r="C149" s="405">
        <v>391</v>
      </c>
      <c r="D149" s="405" t="s">
        <v>201</v>
      </c>
      <c r="E149" s="405" t="s">
        <v>466</v>
      </c>
      <c r="F149" s="405">
        <v>64945</v>
      </c>
      <c r="G149" s="405">
        <v>229571</v>
      </c>
      <c r="H149" s="405">
        <v>35679</v>
      </c>
      <c r="I149" s="405">
        <v>79110</v>
      </c>
      <c r="J149" s="405">
        <v>70658</v>
      </c>
      <c r="K149" s="405">
        <v>26523</v>
      </c>
      <c r="L149" s="405">
        <v>6213</v>
      </c>
      <c r="M149" s="405">
        <v>14042</v>
      </c>
      <c r="N149" s="405">
        <v>437677</v>
      </c>
      <c r="O149" s="405">
        <v>21550479</v>
      </c>
      <c r="P149" s="405">
        <v>127613</v>
      </c>
      <c r="Q149" s="405">
        <v>775330</v>
      </c>
      <c r="R149" s="405">
        <v>50090</v>
      </c>
      <c r="S149" s="405">
        <v>1217306</v>
      </c>
      <c r="T149" s="405">
        <v>8817</v>
      </c>
      <c r="U149" s="405">
        <v>16860</v>
      </c>
      <c r="V149" s="405">
        <v>0</v>
      </c>
      <c r="W149" s="405">
        <v>98661</v>
      </c>
      <c r="X149" s="405">
        <v>447677</v>
      </c>
      <c r="Y149" s="405">
        <v>164889</v>
      </c>
      <c r="Z149" s="405">
        <v>0</v>
      </c>
      <c r="AA149" s="405">
        <v>68455</v>
      </c>
      <c r="AB149" s="405">
        <v>2359718</v>
      </c>
      <c r="AC149" s="405">
        <v>184080</v>
      </c>
      <c r="AD149" s="405">
        <v>73930</v>
      </c>
      <c r="AE149" s="405">
        <v>4181675</v>
      </c>
      <c r="AF149" s="405">
        <v>48740</v>
      </c>
      <c r="AG149" s="405">
        <v>61981</v>
      </c>
      <c r="AH149" s="405">
        <v>9713254</v>
      </c>
      <c r="AI149" s="405">
        <v>62192</v>
      </c>
      <c r="AJ149" s="405">
        <v>32015</v>
      </c>
      <c r="AK149" s="405">
        <v>494019</v>
      </c>
      <c r="AL149" s="405">
        <v>81364</v>
      </c>
      <c r="AM149" s="405">
        <v>85365</v>
      </c>
      <c r="AN149" s="405">
        <v>0</v>
      </c>
      <c r="AO149" s="405">
        <v>14259</v>
      </c>
      <c r="AP149" s="405">
        <v>1862854</v>
      </c>
      <c r="AQ149" s="405">
        <v>1544</v>
      </c>
      <c r="AR149" s="405">
        <v>290898</v>
      </c>
      <c r="AS149" s="405">
        <v>344512</v>
      </c>
      <c r="AT149" s="405">
        <v>7465</v>
      </c>
      <c r="AU149" s="405">
        <v>0</v>
      </c>
      <c r="AV149" s="405">
        <v>28459</v>
      </c>
      <c r="AW149" s="405">
        <v>32262485</v>
      </c>
      <c r="AX149" s="405">
        <v>6036240</v>
      </c>
      <c r="AY149" s="405">
        <v>113368</v>
      </c>
      <c r="AZ149" s="405">
        <v>21561</v>
      </c>
      <c r="BA149" s="405">
        <v>19609</v>
      </c>
      <c r="BB149" s="405">
        <v>12933</v>
      </c>
      <c r="BC149" s="405">
        <v>0</v>
      </c>
      <c r="BD149" s="405">
        <v>570758</v>
      </c>
      <c r="BE149" s="405">
        <v>35270</v>
      </c>
      <c r="BF149" s="405">
        <v>13136</v>
      </c>
      <c r="BG149" s="405">
        <v>8463</v>
      </c>
      <c r="BH149" s="405">
        <v>1796340</v>
      </c>
      <c r="BI149" s="405">
        <v>1112</v>
      </c>
      <c r="BJ149" s="405">
        <v>2022663</v>
      </c>
      <c r="BK149" s="405">
        <v>245448</v>
      </c>
      <c r="BL149" s="405">
        <v>18226</v>
      </c>
      <c r="BM149" s="405">
        <v>17562</v>
      </c>
      <c r="BN149" s="405">
        <v>1530877</v>
      </c>
      <c r="BO149" s="405">
        <v>2499480</v>
      </c>
      <c r="BP149" s="405">
        <v>0</v>
      </c>
      <c r="BQ149" s="405">
        <v>7876142</v>
      </c>
      <c r="BR149" s="405">
        <v>12338428</v>
      </c>
      <c r="BS149" s="405">
        <v>21991</v>
      </c>
      <c r="BT149" s="405">
        <v>327877</v>
      </c>
      <c r="BU149" s="405">
        <v>78370</v>
      </c>
      <c r="BV149" s="405">
        <v>1082156</v>
      </c>
      <c r="BW149" s="405">
        <v>14123</v>
      </c>
      <c r="BX149" s="405">
        <v>12249</v>
      </c>
      <c r="BY149" s="405">
        <v>127269</v>
      </c>
      <c r="BZ149" s="405">
        <v>222291</v>
      </c>
      <c r="CA149" s="405">
        <v>4684384</v>
      </c>
      <c r="CB149" s="405">
        <v>0</v>
      </c>
      <c r="CC149" s="405">
        <v>1827445</v>
      </c>
      <c r="CD149" s="405">
        <v>81884</v>
      </c>
      <c r="CE149" s="405">
        <v>264632</v>
      </c>
      <c r="CF149" s="405">
        <v>13343758</v>
      </c>
    </row>
    <row r="150" spans="1:84" s="405" customFormat="1" x14ac:dyDescent="0.3">
      <c r="A150" s="405">
        <v>500</v>
      </c>
      <c r="B150" s="406">
        <v>500</v>
      </c>
      <c r="C150" s="405">
        <v>500</v>
      </c>
      <c r="D150" s="405" t="s">
        <v>183</v>
      </c>
      <c r="E150" s="405" t="s">
        <v>467</v>
      </c>
      <c r="F150" s="405">
        <v>737360</v>
      </c>
      <c r="G150" s="405">
        <v>187320</v>
      </c>
      <c r="H150" s="405">
        <v>0</v>
      </c>
      <c r="I150" s="405">
        <v>9176</v>
      </c>
      <c r="J150" s="405">
        <v>151789</v>
      </c>
      <c r="K150" s="405">
        <v>25948</v>
      </c>
      <c r="L150" s="405">
        <v>22735</v>
      </c>
      <c r="M150" s="405">
        <v>150191</v>
      </c>
      <c r="N150" s="405">
        <v>3087579</v>
      </c>
      <c r="O150" s="405">
        <v>21042225</v>
      </c>
      <c r="P150" s="405">
        <v>0</v>
      </c>
      <c r="Q150" s="405">
        <v>568923</v>
      </c>
      <c r="R150" s="405">
        <v>30239</v>
      </c>
      <c r="S150" s="405">
        <v>1382069</v>
      </c>
      <c r="T150" s="405">
        <v>0</v>
      </c>
      <c r="U150" s="405">
        <v>37097</v>
      </c>
      <c r="V150" s="405">
        <v>0</v>
      </c>
      <c r="W150" s="405">
        <v>0</v>
      </c>
      <c r="X150" s="405">
        <v>622743</v>
      </c>
      <c r="Y150" s="405">
        <v>40310</v>
      </c>
      <c r="Z150" s="405">
        <v>0</v>
      </c>
      <c r="AA150" s="405">
        <v>145483</v>
      </c>
      <c r="AB150" s="405">
        <v>7697625</v>
      </c>
      <c r="AC150" s="405">
        <v>3082716</v>
      </c>
      <c r="AD150" s="405">
        <v>19348</v>
      </c>
      <c r="AE150" s="405">
        <v>0</v>
      </c>
      <c r="AF150" s="405">
        <v>83661</v>
      </c>
      <c r="AG150" s="405">
        <v>0</v>
      </c>
      <c r="AH150" s="405">
        <v>27716835</v>
      </c>
      <c r="AI150" s="405">
        <v>24869</v>
      </c>
      <c r="AJ150" s="405">
        <v>25216</v>
      </c>
      <c r="AK150" s="405">
        <v>470303</v>
      </c>
      <c r="AL150" s="405">
        <v>57207</v>
      </c>
      <c r="AM150" s="405">
        <v>24589</v>
      </c>
      <c r="AN150" s="405">
        <v>0</v>
      </c>
      <c r="AO150" s="405">
        <v>66171</v>
      </c>
      <c r="AP150" s="405">
        <v>333552</v>
      </c>
      <c r="AQ150" s="405">
        <v>0</v>
      </c>
      <c r="AR150" s="405">
        <v>15288</v>
      </c>
      <c r="AS150" s="405">
        <v>133695</v>
      </c>
      <c r="AT150" s="405">
        <v>0</v>
      </c>
      <c r="AU150" s="405">
        <v>0</v>
      </c>
      <c r="AV150" s="405">
        <v>77336</v>
      </c>
      <c r="AW150" s="405">
        <v>114572283</v>
      </c>
      <c r="AX150" s="405">
        <v>15546566</v>
      </c>
      <c r="AY150" s="405">
        <v>3290</v>
      </c>
      <c r="AZ150" s="405">
        <v>3592</v>
      </c>
      <c r="BA150" s="405">
        <v>80174</v>
      </c>
      <c r="BB150" s="405">
        <v>90724</v>
      </c>
      <c r="BC150" s="405">
        <v>0</v>
      </c>
      <c r="BD150" s="405">
        <v>73742</v>
      </c>
      <c r="BE150" s="405">
        <v>0</v>
      </c>
      <c r="BF150" s="405">
        <v>41390</v>
      </c>
      <c r="BG150" s="405">
        <v>15563</v>
      </c>
      <c r="BH150" s="405">
        <v>3595976</v>
      </c>
      <c r="BI150" s="405">
        <v>14883</v>
      </c>
      <c r="BJ150" s="405">
        <v>669417</v>
      </c>
      <c r="BK150" s="405">
        <v>790621</v>
      </c>
      <c r="BL150" s="405">
        <v>69355</v>
      </c>
      <c r="BM150" s="405">
        <v>0</v>
      </c>
      <c r="BN150" s="405">
        <v>1561855</v>
      </c>
      <c r="BO150" s="405">
        <v>9955417</v>
      </c>
      <c r="BP150" s="405">
        <v>0</v>
      </c>
      <c r="BQ150" s="405">
        <v>13191631</v>
      </c>
      <c r="BR150" s="405">
        <v>21611214</v>
      </c>
      <c r="BS150" s="405">
        <v>24858</v>
      </c>
      <c r="BT150" s="405">
        <v>1895564</v>
      </c>
      <c r="BU150" s="405">
        <v>276960</v>
      </c>
      <c r="BV150" s="405">
        <v>502319</v>
      </c>
      <c r="BW150" s="405">
        <v>64402</v>
      </c>
      <c r="BX150" s="405">
        <v>130623</v>
      </c>
      <c r="BY150" s="405">
        <v>4305825</v>
      </c>
      <c r="BZ150" s="405">
        <v>77207</v>
      </c>
      <c r="CA150" s="405">
        <v>5409075</v>
      </c>
      <c r="CB150" s="405">
        <v>0</v>
      </c>
      <c r="CC150" s="405">
        <v>0</v>
      </c>
      <c r="CD150" s="405">
        <v>60955</v>
      </c>
      <c r="CE150" s="405">
        <v>83710</v>
      </c>
      <c r="CF150" s="405">
        <v>29985757</v>
      </c>
    </row>
    <row r="151" spans="1:84" s="405" customFormat="1" x14ac:dyDescent="0.3">
      <c r="A151" s="405">
        <v>501</v>
      </c>
      <c r="B151" s="406"/>
      <c r="C151" s="405">
        <v>501</v>
      </c>
      <c r="D151" s="405" t="s">
        <v>185</v>
      </c>
      <c r="E151" s="405" t="s">
        <v>468</v>
      </c>
      <c r="F151" s="405">
        <v>0</v>
      </c>
      <c r="G151" s="405">
        <v>0</v>
      </c>
      <c r="H151" s="405">
        <v>0</v>
      </c>
      <c r="I151" s="405">
        <v>0</v>
      </c>
      <c r="J151" s="405">
        <v>0</v>
      </c>
      <c r="K151" s="405">
        <v>0</v>
      </c>
      <c r="L151" s="405">
        <v>0</v>
      </c>
      <c r="M151" s="405">
        <v>0</v>
      </c>
      <c r="N151" s="405">
        <v>0</v>
      </c>
      <c r="O151" s="405">
        <v>0</v>
      </c>
      <c r="P151" s="405">
        <v>0</v>
      </c>
      <c r="Q151" s="405">
        <v>0</v>
      </c>
      <c r="R151" s="405">
        <v>0</v>
      </c>
      <c r="S151" s="405">
        <v>0</v>
      </c>
      <c r="T151" s="405">
        <v>0</v>
      </c>
      <c r="U151" s="405">
        <v>0</v>
      </c>
      <c r="V151" s="405">
        <v>0</v>
      </c>
      <c r="W151" s="405">
        <v>0</v>
      </c>
      <c r="X151" s="405">
        <v>0</v>
      </c>
      <c r="Y151" s="405">
        <v>0</v>
      </c>
      <c r="Z151" s="405">
        <v>0</v>
      </c>
      <c r="AA151" s="405">
        <v>0</v>
      </c>
      <c r="AB151" s="405">
        <v>0</v>
      </c>
      <c r="AC151" s="405">
        <v>0</v>
      </c>
      <c r="AD151" s="405">
        <v>0</v>
      </c>
      <c r="AE151" s="405">
        <v>0</v>
      </c>
      <c r="AF151" s="405">
        <v>0</v>
      </c>
      <c r="AG151" s="405">
        <v>0</v>
      </c>
      <c r="AH151" s="405">
        <v>0</v>
      </c>
      <c r="AI151" s="405">
        <v>0</v>
      </c>
      <c r="AJ151" s="405">
        <v>0</v>
      </c>
      <c r="AK151" s="405">
        <v>0</v>
      </c>
      <c r="AL151" s="405">
        <v>0</v>
      </c>
      <c r="AM151" s="405">
        <v>0</v>
      </c>
      <c r="AN151" s="405">
        <v>0</v>
      </c>
      <c r="AO151" s="405">
        <v>0</v>
      </c>
      <c r="AP151" s="405">
        <v>0</v>
      </c>
      <c r="AQ151" s="405">
        <v>0</v>
      </c>
      <c r="AR151" s="405">
        <v>0</v>
      </c>
      <c r="AS151" s="405">
        <v>0</v>
      </c>
      <c r="AT151" s="405">
        <v>0</v>
      </c>
      <c r="AU151" s="405">
        <v>0</v>
      </c>
      <c r="AV151" s="405">
        <v>0</v>
      </c>
      <c r="AW151" s="405">
        <v>0</v>
      </c>
      <c r="AX151" s="405">
        <v>0</v>
      </c>
      <c r="AY151" s="405">
        <v>0</v>
      </c>
      <c r="AZ151" s="405">
        <v>0</v>
      </c>
      <c r="BA151" s="405">
        <v>0</v>
      </c>
      <c r="BB151" s="405">
        <v>0</v>
      </c>
      <c r="BC151" s="405">
        <v>0</v>
      </c>
      <c r="BD151" s="405">
        <v>0</v>
      </c>
      <c r="BE151" s="405">
        <v>0</v>
      </c>
      <c r="BF151" s="405">
        <v>0</v>
      </c>
      <c r="BG151" s="405">
        <v>0</v>
      </c>
      <c r="BH151" s="405">
        <v>0</v>
      </c>
      <c r="BI151" s="405">
        <v>0</v>
      </c>
      <c r="BJ151" s="405">
        <v>0</v>
      </c>
      <c r="BK151" s="405">
        <v>0</v>
      </c>
      <c r="BL151" s="405">
        <v>0</v>
      </c>
      <c r="BM151" s="405">
        <v>0</v>
      </c>
      <c r="BN151" s="405">
        <v>0</v>
      </c>
      <c r="BO151" s="405">
        <v>0</v>
      </c>
      <c r="BP151" s="405">
        <v>0</v>
      </c>
      <c r="BQ151" s="405">
        <v>0</v>
      </c>
      <c r="BR151" s="405">
        <v>0</v>
      </c>
      <c r="BS151" s="405">
        <v>0</v>
      </c>
      <c r="BT151" s="405">
        <v>0</v>
      </c>
      <c r="BU151" s="405">
        <v>0</v>
      </c>
      <c r="BV151" s="405">
        <v>0</v>
      </c>
      <c r="BW151" s="405">
        <v>0</v>
      </c>
      <c r="BX151" s="405">
        <v>0</v>
      </c>
      <c r="BY151" s="405">
        <v>0</v>
      </c>
      <c r="BZ151" s="405">
        <v>0</v>
      </c>
      <c r="CA151" s="405">
        <v>0</v>
      </c>
      <c r="CB151" s="405">
        <v>0</v>
      </c>
      <c r="CC151" s="405">
        <v>0</v>
      </c>
      <c r="CD151" s="405">
        <v>0</v>
      </c>
      <c r="CE151" s="405">
        <v>0</v>
      </c>
      <c r="CF151" s="405">
        <v>0</v>
      </c>
    </row>
    <row r="152" spans="1:84" s="405" customFormat="1" x14ac:dyDescent="0.3">
      <c r="A152" s="405">
        <v>502</v>
      </c>
      <c r="B152" s="406">
        <v>502</v>
      </c>
      <c r="C152" s="405">
        <v>502</v>
      </c>
      <c r="D152" s="405" t="s">
        <v>186</v>
      </c>
      <c r="E152" s="405" t="s">
        <v>469</v>
      </c>
      <c r="F152" s="405">
        <v>184368</v>
      </c>
      <c r="G152" s="405">
        <v>269251</v>
      </c>
      <c r="H152" s="405">
        <v>0</v>
      </c>
      <c r="I152" s="405">
        <v>866308</v>
      </c>
      <c r="J152" s="405">
        <v>496536</v>
      </c>
      <c r="K152" s="405">
        <v>128111</v>
      </c>
      <c r="L152" s="405">
        <v>0</v>
      </c>
      <c r="M152" s="405">
        <v>175082</v>
      </c>
      <c r="N152" s="405">
        <v>3689026</v>
      </c>
      <c r="O152" s="405">
        <v>33496331</v>
      </c>
      <c r="P152" s="405">
        <v>0</v>
      </c>
      <c r="Q152" s="405">
        <v>0</v>
      </c>
      <c r="R152" s="405">
        <v>1453</v>
      </c>
      <c r="S152" s="405">
        <v>11449519</v>
      </c>
      <c r="T152" s="405">
        <v>0</v>
      </c>
      <c r="U152" s="405">
        <v>1238854</v>
      </c>
      <c r="V152" s="405">
        <v>0</v>
      </c>
      <c r="W152" s="405">
        <v>925194</v>
      </c>
      <c r="X152" s="405">
        <v>5887679</v>
      </c>
      <c r="Y152" s="405">
        <v>0</v>
      </c>
      <c r="Z152" s="405">
        <v>0</v>
      </c>
      <c r="AA152" s="405">
        <v>264722</v>
      </c>
      <c r="AB152" s="405">
        <v>26654766</v>
      </c>
      <c r="AC152" s="405">
        <v>1037</v>
      </c>
      <c r="AD152" s="405">
        <v>492357</v>
      </c>
      <c r="AE152" s="405">
        <v>0</v>
      </c>
      <c r="AF152" s="405">
        <v>0</v>
      </c>
      <c r="AG152" s="405">
        <v>0</v>
      </c>
      <c r="AH152" s="405">
        <v>58229393</v>
      </c>
      <c r="AI152" s="405">
        <v>0</v>
      </c>
      <c r="AJ152" s="405">
        <v>169174</v>
      </c>
      <c r="AK152" s="405">
        <v>1862849</v>
      </c>
      <c r="AL152" s="405">
        <v>89511</v>
      </c>
      <c r="AM152" s="405">
        <v>77247</v>
      </c>
      <c r="AN152" s="405">
        <v>0</v>
      </c>
      <c r="AO152" s="405">
        <v>288539</v>
      </c>
      <c r="AP152" s="405">
        <v>11246434</v>
      </c>
      <c r="AQ152" s="405">
        <v>0</v>
      </c>
      <c r="AR152" s="405">
        <v>6610044</v>
      </c>
      <c r="AS152" s="405">
        <v>0</v>
      </c>
      <c r="AT152" s="405">
        <v>0</v>
      </c>
      <c r="AU152" s="405">
        <v>0</v>
      </c>
      <c r="AV152" s="405">
        <v>116203</v>
      </c>
      <c r="AW152" s="405">
        <v>88120252</v>
      </c>
      <c r="AX152" s="405">
        <v>158984751</v>
      </c>
      <c r="AY152" s="405">
        <v>501522</v>
      </c>
      <c r="AZ152" s="405">
        <v>116316</v>
      </c>
      <c r="BA152" s="405">
        <v>143286</v>
      </c>
      <c r="BB152" s="405">
        <v>0</v>
      </c>
      <c r="BC152" s="405">
        <v>0</v>
      </c>
      <c r="BD152" s="405">
        <v>3842165</v>
      </c>
      <c r="BE152" s="405">
        <v>502244</v>
      </c>
      <c r="BF152" s="405">
        <v>0</v>
      </c>
      <c r="BG152" s="405">
        <v>40108</v>
      </c>
      <c r="BH152" s="405">
        <v>10951876</v>
      </c>
      <c r="BI152" s="405">
        <v>0</v>
      </c>
      <c r="BJ152" s="405">
        <v>11259243</v>
      </c>
      <c r="BK152" s="405">
        <v>778222</v>
      </c>
      <c r="BL152" s="405">
        <v>0</v>
      </c>
      <c r="BM152" s="405">
        <v>0</v>
      </c>
      <c r="BN152" s="405">
        <v>30338762</v>
      </c>
      <c r="BO152" s="405">
        <v>9826874</v>
      </c>
      <c r="BP152" s="405">
        <v>0</v>
      </c>
      <c r="BQ152" s="405">
        <v>45526661</v>
      </c>
      <c r="BR152" s="405">
        <v>187672879</v>
      </c>
      <c r="BS152" s="405">
        <v>189732</v>
      </c>
      <c r="BT152" s="405">
        <v>5425931</v>
      </c>
      <c r="BU152" s="405">
        <v>0</v>
      </c>
      <c r="BV152" s="405">
        <v>12173396</v>
      </c>
      <c r="BW152" s="405">
        <v>617035</v>
      </c>
      <c r="BX152" s="405">
        <v>13596</v>
      </c>
      <c r="BY152" s="405">
        <v>2536252</v>
      </c>
      <c r="BZ152" s="405">
        <v>0</v>
      </c>
      <c r="CA152" s="405">
        <v>44694874</v>
      </c>
      <c r="CB152" s="405">
        <v>0</v>
      </c>
      <c r="CC152" s="405">
        <v>0</v>
      </c>
      <c r="CD152" s="405">
        <v>112348</v>
      </c>
      <c r="CE152" s="405">
        <v>0</v>
      </c>
      <c r="CF152" s="405">
        <v>4060428</v>
      </c>
    </row>
    <row r="153" spans="1:84" s="405" customFormat="1" x14ac:dyDescent="0.3">
      <c r="A153" s="405">
        <v>503</v>
      </c>
      <c r="B153" s="406">
        <v>503</v>
      </c>
      <c r="C153" s="405">
        <v>503</v>
      </c>
      <c r="D153" s="405" t="s">
        <v>187</v>
      </c>
      <c r="E153" s="405" t="s">
        <v>470</v>
      </c>
      <c r="F153" s="405">
        <v>95028</v>
      </c>
      <c r="G153" s="405">
        <v>0</v>
      </c>
      <c r="H153" s="405">
        <v>0</v>
      </c>
      <c r="I153" s="405">
        <v>42716</v>
      </c>
      <c r="J153" s="405">
        <v>81810</v>
      </c>
      <c r="K153" s="405">
        <v>18727</v>
      </c>
      <c r="L153" s="405">
        <v>0</v>
      </c>
      <c r="M153" s="405">
        <v>47344</v>
      </c>
      <c r="N153" s="405">
        <v>748496</v>
      </c>
      <c r="O153" s="405">
        <v>4253649</v>
      </c>
      <c r="P153" s="405">
        <v>0</v>
      </c>
      <c r="Q153" s="405">
        <v>0</v>
      </c>
      <c r="R153" s="405">
        <v>800</v>
      </c>
      <c r="S153" s="405">
        <v>379758</v>
      </c>
      <c r="T153" s="405">
        <v>0</v>
      </c>
      <c r="U153" s="405">
        <v>54980</v>
      </c>
      <c r="V153" s="405">
        <v>0</v>
      </c>
      <c r="W153" s="405">
        <v>0</v>
      </c>
      <c r="X153" s="405">
        <v>41280</v>
      </c>
      <c r="Y153" s="405">
        <v>0</v>
      </c>
      <c r="Z153" s="405">
        <v>0</v>
      </c>
      <c r="AA153" s="405">
        <v>135695</v>
      </c>
      <c r="AB153" s="405">
        <v>5025299</v>
      </c>
      <c r="AC153" s="405">
        <v>0</v>
      </c>
      <c r="AD153" s="405">
        <v>42984</v>
      </c>
      <c r="AE153" s="405">
        <v>0</v>
      </c>
      <c r="AF153" s="405">
        <v>0</v>
      </c>
      <c r="AG153" s="405">
        <v>0</v>
      </c>
      <c r="AH153" s="405">
        <v>4172234</v>
      </c>
      <c r="AI153" s="405">
        <v>0</v>
      </c>
      <c r="AJ153" s="405">
        <v>16786</v>
      </c>
      <c r="AK153" s="405">
        <v>223134</v>
      </c>
      <c r="AL153" s="405">
        <v>0</v>
      </c>
      <c r="AM153" s="405">
        <v>6200</v>
      </c>
      <c r="AN153" s="405">
        <v>0</v>
      </c>
      <c r="AO153" s="405">
        <v>0</v>
      </c>
      <c r="AP153" s="405">
        <v>796016</v>
      </c>
      <c r="AQ153" s="405">
        <v>0</v>
      </c>
      <c r="AR153" s="405">
        <v>414226</v>
      </c>
      <c r="AS153" s="405">
        <v>0</v>
      </c>
      <c r="AT153" s="405">
        <v>0</v>
      </c>
      <c r="AU153" s="405">
        <v>0</v>
      </c>
      <c r="AV153" s="405">
        <v>20820</v>
      </c>
      <c r="AW153" s="405">
        <v>105403768</v>
      </c>
      <c r="AX153" s="405">
        <v>23630694</v>
      </c>
      <c r="AY153" s="405">
        <v>192578</v>
      </c>
      <c r="AZ153" s="405">
        <v>26048</v>
      </c>
      <c r="BA153" s="405">
        <v>35295</v>
      </c>
      <c r="BB153" s="405">
        <v>0</v>
      </c>
      <c r="BC153" s="405">
        <v>0</v>
      </c>
      <c r="BD153" s="405">
        <v>0</v>
      </c>
      <c r="BE153" s="405">
        <v>18217</v>
      </c>
      <c r="BF153" s="405">
        <v>0</v>
      </c>
      <c r="BG153" s="405">
        <v>0</v>
      </c>
      <c r="BH153" s="405">
        <v>2323764</v>
      </c>
      <c r="BI153" s="405">
        <v>0</v>
      </c>
      <c r="BJ153" s="405">
        <v>424099</v>
      </c>
      <c r="BK153" s="405">
        <v>95787</v>
      </c>
      <c r="BL153" s="405">
        <v>0</v>
      </c>
      <c r="BM153" s="405">
        <v>0</v>
      </c>
      <c r="BN153" s="405">
        <v>179224</v>
      </c>
      <c r="BO153" s="405">
        <v>5440727</v>
      </c>
      <c r="BP153" s="405">
        <v>0</v>
      </c>
      <c r="BQ153" s="405">
        <v>712027</v>
      </c>
      <c r="BR153" s="405">
        <v>4158238</v>
      </c>
      <c r="BS153" s="405">
        <v>18950</v>
      </c>
      <c r="BT153" s="405">
        <v>53626</v>
      </c>
      <c r="BU153" s="405">
        <v>0</v>
      </c>
      <c r="BV153" s="405">
        <v>10332567</v>
      </c>
      <c r="BW153" s="405">
        <v>59145</v>
      </c>
      <c r="BX153" s="405">
        <v>0</v>
      </c>
      <c r="BY153" s="405">
        <v>34670</v>
      </c>
      <c r="BZ153" s="405">
        <v>0</v>
      </c>
      <c r="CA153" s="405">
        <v>2544362</v>
      </c>
      <c r="CB153" s="405">
        <v>0</v>
      </c>
      <c r="CC153" s="405">
        <v>0</v>
      </c>
      <c r="CD153" s="405">
        <v>9290</v>
      </c>
      <c r="CE153" s="405">
        <v>0</v>
      </c>
      <c r="CF153" s="405">
        <v>287499</v>
      </c>
    </row>
    <row r="154" spans="1:84" s="405" customFormat="1" x14ac:dyDescent="0.3">
      <c r="A154" s="405">
        <v>504</v>
      </c>
      <c r="B154" s="406">
        <v>504</v>
      </c>
      <c r="C154" s="405">
        <v>504</v>
      </c>
      <c r="D154" s="405" t="s">
        <v>191</v>
      </c>
      <c r="E154" s="405" t="s">
        <v>471</v>
      </c>
      <c r="F154" s="405">
        <v>2725095</v>
      </c>
      <c r="G154" s="405">
        <v>114502</v>
      </c>
      <c r="H154" s="405">
        <v>3195</v>
      </c>
      <c r="I154" s="405">
        <v>37692</v>
      </c>
      <c r="J154" s="405">
        <v>36622</v>
      </c>
      <c r="K154" s="405">
        <v>11779</v>
      </c>
      <c r="L154" s="405">
        <v>2187</v>
      </c>
      <c r="M154" s="405">
        <v>25318</v>
      </c>
      <c r="N154" s="405">
        <v>179752</v>
      </c>
      <c r="O154" s="405">
        <v>15047573</v>
      </c>
      <c r="P154" s="405">
        <v>0</v>
      </c>
      <c r="Q154" s="405">
        <v>246618</v>
      </c>
      <c r="R154" s="405">
        <v>6603</v>
      </c>
      <c r="S154" s="405">
        <v>49304</v>
      </c>
      <c r="T154" s="405">
        <v>13582</v>
      </c>
      <c r="U154" s="405">
        <v>14573</v>
      </c>
      <c r="V154" s="405">
        <v>0</v>
      </c>
      <c r="W154" s="405">
        <v>47</v>
      </c>
      <c r="X154" s="405">
        <v>58084</v>
      </c>
      <c r="Y154" s="405">
        <v>130598</v>
      </c>
      <c r="Z154" s="405">
        <v>0</v>
      </c>
      <c r="AA154" s="405">
        <v>142967</v>
      </c>
      <c r="AB154" s="405">
        <v>2905984</v>
      </c>
      <c r="AC154" s="405">
        <v>0</v>
      </c>
      <c r="AD154" s="405">
        <v>63561</v>
      </c>
      <c r="AE154" s="405">
        <v>992323</v>
      </c>
      <c r="AF154" s="405">
        <v>33536</v>
      </c>
      <c r="AG154" s="405">
        <v>38729</v>
      </c>
      <c r="AH154" s="405">
        <v>4527774</v>
      </c>
      <c r="AI154" s="405">
        <v>8874</v>
      </c>
      <c r="AJ154" s="405">
        <v>17179</v>
      </c>
      <c r="AK154" s="405">
        <v>310930</v>
      </c>
      <c r="AL154" s="405">
        <v>43725</v>
      </c>
      <c r="AM154" s="405">
        <v>4143</v>
      </c>
      <c r="AN154" s="405">
        <v>0</v>
      </c>
      <c r="AO154" s="405">
        <v>11475</v>
      </c>
      <c r="AP154" s="405">
        <v>1060233</v>
      </c>
      <c r="AQ154" s="405">
        <v>0</v>
      </c>
      <c r="AR154" s="405">
        <v>33987</v>
      </c>
      <c r="AS154" s="405">
        <v>184855</v>
      </c>
      <c r="AT154" s="405">
        <v>0</v>
      </c>
      <c r="AU154" s="405">
        <v>0</v>
      </c>
      <c r="AV154" s="405">
        <v>18207</v>
      </c>
      <c r="AW154" s="405">
        <v>23541113</v>
      </c>
      <c r="AX154" s="405">
        <v>4905153</v>
      </c>
      <c r="AY154" s="405">
        <v>131749</v>
      </c>
      <c r="AZ154" s="405">
        <v>12954</v>
      </c>
      <c r="BA154" s="405">
        <v>30113</v>
      </c>
      <c r="BB154" s="405">
        <v>10790</v>
      </c>
      <c r="BC154" s="405">
        <v>0</v>
      </c>
      <c r="BD154" s="405">
        <v>15576</v>
      </c>
      <c r="BE154" s="405">
        <v>14880</v>
      </c>
      <c r="BF154" s="405">
        <v>12082</v>
      </c>
      <c r="BG154" s="405">
        <v>2849</v>
      </c>
      <c r="BH154" s="405">
        <v>1773157</v>
      </c>
      <c r="BI154" s="405">
        <v>4279</v>
      </c>
      <c r="BJ154" s="405">
        <v>1956694</v>
      </c>
      <c r="BK154" s="405">
        <v>80283</v>
      </c>
      <c r="BL154" s="405">
        <v>16205</v>
      </c>
      <c r="BM154" s="405">
        <v>0</v>
      </c>
      <c r="BN154" s="405">
        <v>582120</v>
      </c>
      <c r="BO154" s="405">
        <v>1272272</v>
      </c>
      <c r="BP154" s="405">
        <v>0</v>
      </c>
      <c r="BQ154" s="405">
        <v>4456558</v>
      </c>
      <c r="BR154" s="405">
        <v>10281664</v>
      </c>
      <c r="BS154" s="405">
        <v>442588</v>
      </c>
      <c r="BT154" s="405">
        <v>1517993</v>
      </c>
      <c r="BU154" s="405">
        <v>46798</v>
      </c>
      <c r="BV154" s="405">
        <v>267790</v>
      </c>
      <c r="BW154" s="405">
        <v>14215</v>
      </c>
      <c r="BX154" s="405">
        <v>30671</v>
      </c>
      <c r="BY154" s="405">
        <v>373553</v>
      </c>
      <c r="BZ154" s="405">
        <v>61648</v>
      </c>
      <c r="CA154" s="405">
        <v>700191</v>
      </c>
      <c r="CB154" s="405">
        <v>0</v>
      </c>
      <c r="CC154" s="405">
        <v>529523</v>
      </c>
      <c r="CD154" s="405">
        <v>22716</v>
      </c>
      <c r="CE154" s="405">
        <v>210691</v>
      </c>
      <c r="CF154" s="405">
        <v>2718722</v>
      </c>
    </row>
    <row r="155" spans="1:84" s="405" customFormat="1" x14ac:dyDescent="0.3">
      <c r="A155" s="405">
        <v>505</v>
      </c>
      <c r="B155" s="406">
        <v>505</v>
      </c>
      <c r="C155" s="405">
        <v>505</v>
      </c>
      <c r="D155" s="405" t="s">
        <v>192</v>
      </c>
      <c r="E155" s="405" t="s">
        <v>472</v>
      </c>
      <c r="F155" s="405">
        <v>0</v>
      </c>
      <c r="G155" s="405">
        <v>0</v>
      </c>
      <c r="H155" s="405">
        <v>0</v>
      </c>
      <c r="I155" s="405">
        <v>0</v>
      </c>
      <c r="J155" s="405">
        <v>0</v>
      </c>
      <c r="K155" s="405">
        <v>27696</v>
      </c>
      <c r="L155" s="405">
        <v>0</v>
      </c>
      <c r="M155" s="405">
        <v>0</v>
      </c>
      <c r="N155" s="405">
        <v>319902</v>
      </c>
      <c r="O155" s="405">
        <v>9418995</v>
      </c>
      <c r="P155" s="405">
        <v>64363</v>
      </c>
      <c r="Q155" s="405">
        <v>274071</v>
      </c>
      <c r="R155" s="405">
        <v>0</v>
      </c>
      <c r="S155" s="405">
        <v>236597</v>
      </c>
      <c r="T155" s="405">
        <v>0</v>
      </c>
      <c r="U155" s="405">
        <v>298667</v>
      </c>
      <c r="V155" s="405">
        <v>0</v>
      </c>
      <c r="W155" s="405">
        <v>66651</v>
      </c>
      <c r="X155" s="405">
        <v>123261</v>
      </c>
      <c r="Y155" s="405">
        <v>0</v>
      </c>
      <c r="Z155" s="405">
        <v>0</v>
      </c>
      <c r="AA155" s="405">
        <v>156000</v>
      </c>
      <c r="AB155" s="405">
        <v>21946382</v>
      </c>
      <c r="AC155" s="405">
        <v>0</v>
      </c>
      <c r="AD155" s="405">
        <v>0</v>
      </c>
      <c r="AE155" s="405">
        <v>439688</v>
      </c>
      <c r="AF155" s="405">
        <v>0</v>
      </c>
      <c r="AG155" s="405">
        <v>0</v>
      </c>
      <c r="AH155" s="405">
        <v>505363</v>
      </c>
      <c r="AI155" s="405">
        <v>12600</v>
      </c>
      <c r="AJ155" s="405">
        <v>0</v>
      </c>
      <c r="AK155" s="405">
        <v>98932</v>
      </c>
      <c r="AL155" s="405">
        <v>0</v>
      </c>
      <c r="AM155" s="405">
        <v>0</v>
      </c>
      <c r="AN155" s="405">
        <v>0</v>
      </c>
      <c r="AO155" s="405">
        <v>0</v>
      </c>
      <c r="AP155" s="405">
        <v>252128</v>
      </c>
      <c r="AQ155" s="405">
        <v>0</v>
      </c>
      <c r="AR155" s="405">
        <v>145142</v>
      </c>
      <c r="AS155" s="405">
        <v>94800</v>
      </c>
      <c r="AT155" s="405">
        <v>92508</v>
      </c>
      <c r="AU155" s="405">
        <v>0</v>
      </c>
      <c r="AV155" s="405">
        <v>0</v>
      </c>
      <c r="AW155" s="405">
        <v>19737378</v>
      </c>
      <c r="AX155" s="405">
        <v>10347775</v>
      </c>
      <c r="AY155" s="405">
        <v>50000</v>
      </c>
      <c r="AZ155" s="405">
        <v>0</v>
      </c>
      <c r="BA155" s="405">
        <v>0</v>
      </c>
      <c r="BB155" s="405">
        <v>0</v>
      </c>
      <c r="BC155" s="405">
        <v>0</v>
      </c>
      <c r="BD155" s="405">
        <v>229771</v>
      </c>
      <c r="BE155" s="405">
        <v>0</v>
      </c>
      <c r="BF155" s="405">
        <v>0</v>
      </c>
      <c r="BG155" s="405">
        <v>0</v>
      </c>
      <c r="BH155" s="405">
        <v>1367320</v>
      </c>
      <c r="BI155" s="405">
        <v>0</v>
      </c>
      <c r="BJ155" s="405">
        <v>1056485</v>
      </c>
      <c r="BK155" s="405">
        <v>55553</v>
      </c>
      <c r="BL155" s="405">
        <v>0</v>
      </c>
      <c r="BM155" s="405">
        <v>0</v>
      </c>
      <c r="BN155" s="405">
        <v>0</v>
      </c>
      <c r="BO155" s="405">
        <v>0</v>
      </c>
      <c r="BP155" s="405">
        <v>0</v>
      </c>
      <c r="BQ155" s="405">
        <v>8921931</v>
      </c>
      <c r="BR155" s="405">
        <v>3252267</v>
      </c>
      <c r="BS155" s="405">
        <v>0</v>
      </c>
      <c r="BT155" s="405">
        <v>784628</v>
      </c>
      <c r="BU155" s="405">
        <v>0</v>
      </c>
      <c r="BV155" s="405">
        <v>236211</v>
      </c>
      <c r="BW155" s="405">
        <v>0</v>
      </c>
      <c r="BX155" s="405">
        <v>27026</v>
      </c>
      <c r="BY155" s="405">
        <v>0</v>
      </c>
      <c r="BZ155" s="405">
        <v>0</v>
      </c>
      <c r="CA155" s="405">
        <v>1436550</v>
      </c>
      <c r="CB155" s="405">
        <v>0</v>
      </c>
      <c r="CC155" s="405">
        <v>0</v>
      </c>
      <c r="CD155" s="405">
        <v>42500</v>
      </c>
      <c r="CE155" s="405">
        <v>716174</v>
      </c>
      <c r="CF155" s="405">
        <v>33869</v>
      </c>
    </row>
    <row r="156" spans="1:84" s="405" customFormat="1" x14ac:dyDescent="0.3">
      <c r="A156" s="405">
        <v>506</v>
      </c>
      <c r="B156" s="406">
        <v>506</v>
      </c>
      <c r="C156" s="405">
        <v>506</v>
      </c>
      <c r="D156" s="405" t="s">
        <v>198</v>
      </c>
      <c r="E156" s="405" t="s">
        <v>473</v>
      </c>
      <c r="F156" s="405">
        <v>1165670</v>
      </c>
      <c r="G156" s="405">
        <v>780066</v>
      </c>
      <c r="H156" s="405">
        <v>384265</v>
      </c>
      <c r="I156" s="405">
        <v>1094979</v>
      </c>
      <c r="J156" s="405">
        <v>738562</v>
      </c>
      <c r="K156" s="405">
        <v>84956</v>
      </c>
      <c r="L156" s="405">
        <v>101190</v>
      </c>
      <c r="M156" s="405">
        <v>469675</v>
      </c>
      <c r="N156" s="405">
        <v>2393828</v>
      </c>
      <c r="O156" s="405">
        <v>67752524</v>
      </c>
      <c r="P156" s="405">
        <v>2660921</v>
      </c>
      <c r="Q156" s="405">
        <v>3763576</v>
      </c>
      <c r="R156" s="405">
        <v>95523</v>
      </c>
      <c r="S156" s="405">
        <v>3606659</v>
      </c>
      <c r="T156" s="405">
        <v>134044</v>
      </c>
      <c r="U156" s="405">
        <v>520238</v>
      </c>
      <c r="V156" s="405">
        <v>0</v>
      </c>
      <c r="W156" s="405">
        <v>1201082</v>
      </c>
      <c r="X156" s="405">
        <v>3429014</v>
      </c>
      <c r="Y156" s="405">
        <v>468873</v>
      </c>
      <c r="Z156" s="405">
        <v>0</v>
      </c>
      <c r="AA156" s="405">
        <v>292626</v>
      </c>
      <c r="AB156" s="405">
        <v>24692260</v>
      </c>
      <c r="AC156" s="405">
        <v>4114058</v>
      </c>
      <c r="AD156" s="405">
        <v>841473</v>
      </c>
      <c r="AE156" s="405">
        <v>27334895</v>
      </c>
      <c r="AF156" s="405">
        <v>390519</v>
      </c>
      <c r="AG156" s="405">
        <v>322758</v>
      </c>
      <c r="AH156" s="405">
        <v>27659572</v>
      </c>
      <c r="AI156" s="405">
        <v>869127</v>
      </c>
      <c r="AJ156" s="405">
        <v>234040</v>
      </c>
      <c r="AK156" s="405">
        <v>2057617</v>
      </c>
      <c r="AL156" s="405">
        <v>838208</v>
      </c>
      <c r="AM156" s="405">
        <v>42423</v>
      </c>
      <c r="AN156" s="405">
        <v>0</v>
      </c>
      <c r="AO156" s="405">
        <v>597868</v>
      </c>
      <c r="AP156" s="405">
        <v>10498656</v>
      </c>
      <c r="AQ156" s="405">
        <v>43806</v>
      </c>
      <c r="AR156" s="405">
        <v>3474389</v>
      </c>
      <c r="AS156" s="405">
        <v>1704485</v>
      </c>
      <c r="AT156" s="405">
        <v>217761</v>
      </c>
      <c r="AU156" s="405">
        <v>0</v>
      </c>
      <c r="AV156" s="405">
        <v>610141</v>
      </c>
      <c r="AW156" s="405">
        <v>52813437</v>
      </c>
      <c r="AX156" s="405">
        <v>23622359</v>
      </c>
      <c r="AY156" s="405">
        <v>832311</v>
      </c>
      <c r="AZ156" s="405">
        <v>180456</v>
      </c>
      <c r="BA156" s="405">
        <v>310649</v>
      </c>
      <c r="BB156" s="405">
        <v>95287</v>
      </c>
      <c r="BC156" s="405">
        <v>0</v>
      </c>
      <c r="BD156" s="405">
        <v>2500148</v>
      </c>
      <c r="BE156" s="405">
        <v>1135762</v>
      </c>
      <c r="BF156" s="405">
        <v>208716</v>
      </c>
      <c r="BG156" s="405">
        <v>113633</v>
      </c>
      <c r="BH156" s="405">
        <v>5709493</v>
      </c>
      <c r="BI156" s="405">
        <v>71622</v>
      </c>
      <c r="BJ156" s="405">
        <v>11973588</v>
      </c>
      <c r="BK156" s="405">
        <v>457463</v>
      </c>
      <c r="BL156" s="405">
        <v>437601</v>
      </c>
      <c r="BM156" s="405">
        <v>500900</v>
      </c>
      <c r="BN156" s="405">
        <v>9389197</v>
      </c>
      <c r="BO156" s="405">
        <v>7095521</v>
      </c>
      <c r="BP156" s="405">
        <v>0</v>
      </c>
      <c r="BQ156" s="405">
        <v>31724646</v>
      </c>
      <c r="BR156" s="405">
        <v>23110415</v>
      </c>
      <c r="BS156" s="405">
        <v>193385</v>
      </c>
      <c r="BT156" s="405">
        <v>3975281</v>
      </c>
      <c r="BU156" s="405">
        <v>2611352</v>
      </c>
      <c r="BV156" s="405">
        <v>7698625</v>
      </c>
      <c r="BW156" s="405">
        <v>273917</v>
      </c>
      <c r="BX156" s="405">
        <v>766587</v>
      </c>
      <c r="BY156" s="405">
        <v>3134615</v>
      </c>
      <c r="BZ156" s="405">
        <v>2066165</v>
      </c>
      <c r="CA156" s="405">
        <v>18025251</v>
      </c>
      <c r="CB156" s="405">
        <v>0</v>
      </c>
      <c r="CC156" s="405">
        <v>6033939</v>
      </c>
      <c r="CD156" s="405">
        <v>438348</v>
      </c>
      <c r="CE156" s="405">
        <v>1618024</v>
      </c>
      <c r="CF156" s="405">
        <v>45081827</v>
      </c>
    </row>
    <row r="157" spans="1:84" s="405" customFormat="1" x14ac:dyDescent="0.3">
      <c r="A157" s="405">
        <v>507</v>
      </c>
      <c r="B157" s="406">
        <v>507</v>
      </c>
      <c r="C157" s="405">
        <v>507</v>
      </c>
      <c r="D157" s="405" t="s">
        <v>216</v>
      </c>
      <c r="E157" s="405" t="s">
        <v>474</v>
      </c>
      <c r="F157" s="405">
        <v>0</v>
      </c>
      <c r="G157" s="405">
        <v>0</v>
      </c>
      <c r="H157" s="405">
        <v>0</v>
      </c>
      <c r="I157" s="405">
        <v>0</v>
      </c>
      <c r="J157" s="405">
        <v>0</v>
      </c>
      <c r="K157" s="405">
        <v>17362</v>
      </c>
      <c r="L157" s="405">
        <v>0</v>
      </c>
      <c r="M157" s="405">
        <v>0</v>
      </c>
      <c r="N157" s="405">
        <v>0</v>
      </c>
      <c r="O157" s="405">
        <v>0</v>
      </c>
      <c r="P157" s="405">
        <v>0</v>
      </c>
      <c r="Q157" s="405">
        <v>0</v>
      </c>
      <c r="R157" s="405">
        <v>0</v>
      </c>
      <c r="S157" s="405">
        <v>106341</v>
      </c>
      <c r="T157" s="405">
        <v>0</v>
      </c>
      <c r="U157" s="405">
        <v>0</v>
      </c>
      <c r="V157" s="405">
        <v>0</v>
      </c>
      <c r="W157" s="405">
        <v>0</v>
      </c>
      <c r="X157" s="405">
        <v>0</v>
      </c>
      <c r="Y157" s="405">
        <v>0</v>
      </c>
      <c r="Z157" s="405">
        <v>0</v>
      </c>
      <c r="AA157" s="405">
        <v>-10850</v>
      </c>
      <c r="AB157" s="405">
        <v>0</v>
      </c>
      <c r="AC157" s="405">
        <v>0</v>
      </c>
      <c r="AD157" s="405">
        <v>0</v>
      </c>
      <c r="AE157" s="405">
        <v>0</v>
      </c>
      <c r="AF157" s="405">
        <v>0</v>
      </c>
      <c r="AG157" s="405">
        <v>0</v>
      </c>
      <c r="AH157" s="405">
        <v>22080</v>
      </c>
      <c r="AI157" s="405">
        <v>0</v>
      </c>
      <c r="AJ157" s="405">
        <v>0</v>
      </c>
      <c r="AK157" s="405">
        <v>0</v>
      </c>
      <c r="AL157" s="405">
        <v>0</v>
      </c>
      <c r="AM157" s="405">
        <v>0</v>
      </c>
      <c r="AN157" s="405">
        <v>0</v>
      </c>
      <c r="AO157" s="405">
        <v>0</v>
      </c>
      <c r="AP157" s="405">
        <v>0</v>
      </c>
      <c r="AQ157" s="405">
        <v>0</v>
      </c>
      <c r="AR157" s="405">
        <v>0</v>
      </c>
      <c r="AS157" s="405">
        <v>-1</v>
      </c>
      <c r="AT157" s="405">
        <v>0</v>
      </c>
      <c r="AU157" s="405">
        <v>0</v>
      </c>
      <c r="AV157" s="405">
        <v>0</v>
      </c>
      <c r="AW157" s="405">
        <v>0</v>
      </c>
      <c r="AX157" s="405">
        <v>0</v>
      </c>
      <c r="AY157" s="405">
        <v>0</v>
      </c>
      <c r="AZ157" s="405">
        <v>-67621</v>
      </c>
      <c r="BA157" s="405">
        <v>0</v>
      </c>
      <c r="BB157" s="405">
        <v>0</v>
      </c>
      <c r="BC157" s="405">
        <v>0</v>
      </c>
      <c r="BD157" s="405">
        <v>0</v>
      </c>
      <c r="BE157" s="405">
        <v>-2</v>
      </c>
      <c r="BF157" s="405">
        <v>0</v>
      </c>
      <c r="BG157" s="405">
        <v>0</v>
      </c>
      <c r="BH157" s="405">
        <v>0</v>
      </c>
      <c r="BI157" s="405">
        <v>0</v>
      </c>
      <c r="BJ157" s="405">
        <v>0</v>
      </c>
      <c r="BK157" s="405">
        <v>0</v>
      </c>
      <c r="BL157" s="405">
        <v>0</v>
      </c>
      <c r="BM157" s="405">
        <v>0</v>
      </c>
      <c r="BN157" s="405">
        <v>0</v>
      </c>
      <c r="BO157" s="405">
        <v>0</v>
      </c>
      <c r="BP157" s="405">
        <v>0</v>
      </c>
      <c r="BQ157" s="405">
        <v>0</v>
      </c>
      <c r="BR157" s="405">
        <v>0</v>
      </c>
      <c r="BS157" s="405">
        <v>0</v>
      </c>
      <c r="BT157" s="405">
        <v>0</v>
      </c>
      <c r="BU157" s="405">
        <v>0</v>
      </c>
      <c r="BV157" s="405">
        <v>0</v>
      </c>
      <c r="BW157" s="405">
        <v>0</v>
      </c>
      <c r="BX157" s="405">
        <v>0</v>
      </c>
      <c r="BY157" s="405">
        <v>0</v>
      </c>
      <c r="BZ157" s="405">
        <v>2068076</v>
      </c>
      <c r="CA157" s="405">
        <v>0</v>
      </c>
      <c r="CB157" s="405">
        <v>0</v>
      </c>
      <c r="CC157" s="405">
        <v>0</v>
      </c>
      <c r="CD157" s="405">
        <v>0</v>
      </c>
      <c r="CE157" s="405">
        <v>-3</v>
      </c>
      <c r="CF157" s="405">
        <v>0</v>
      </c>
    </row>
    <row r="158" spans="1:84" s="405" customFormat="1" x14ac:dyDescent="0.3">
      <c r="A158" s="405">
        <v>508</v>
      </c>
      <c r="B158" s="406">
        <v>508</v>
      </c>
      <c r="C158" s="405">
        <v>508</v>
      </c>
      <c r="D158" s="405" t="s">
        <v>213</v>
      </c>
      <c r="E158" s="405" t="s">
        <v>475</v>
      </c>
      <c r="F158" s="405">
        <v>0</v>
      </c>
      <c r="G158" s="405">
        <v>0</v>
      </c>
      <c r="H158" s="405">
        <v>0</v>
      </c>
      <c r="I158" s="405">
        <v>0</v>
      </c>
      <c r="J158" s="405">
        <v>0</v>
      </c>
      <c r="K158" s="405">
        <v>0</v>
      </c>
      <c r="L158" s="405">
        <v>0</v>
      </c>
      <c r="M158" s="405">
        <v>0</v>
      </c>
      <c r="N158" s="405">
        <v>0</v>
      </c>
      <c r="O158" s="405">
        <v>0</v>
      </c>
      <c r="P158" s="405">
        <v>0</v>
      </c>
      <c r="Q158" s="405">
        <v>0</v>
      </c>
      <c r="R158" s="405">
        <v>0</v>
      </c>
      <c r="S158" s="405">
        <v>0</v>
      </c>
      <c r="T158" s="405">
        <v>0</v>
      </c>
      <c r="U158" s="405">
        <v>0</v>
      </c>
      <c r="V158" s="405">
        <v>0</v>
      </c>
      <c r="W158" s="405">
        <v>0</v>
      </c>
      <c r="X158" s="405">
        <v>0</v>
      </c>
      <c r="Y158" s="405">
        <v>0</v>
      </c>
      <c r="Z158" s="405">
        <v>0</v>
      </c>
      <c r="AA158" s="405">
        <v>0</v>
      </c>
      <c r="AB158" s="405">
        <v>0</v>
      </c>
      <c r="AC158" s="405">
        <v>0</v>
      </c>
      <c r="AD158" s="405">
        <v>0</v>
      </c>
      <c r="AE158" s="405">
        <v>0</v>
      </c>
      <c r="AF158" s="405">
        <v>0</v>
      </c>
      <c r="AG158" s="405">
        <v>0</v>
      </c>
      <c r="AH158" s="405">
        <v>0</v>
      </c>
      <c r="AI158" s="405">
        <v>0</v>
      </c>
      <c r="AJ158" s="405">
        <v>0</v>
      </c>
      <c r="AK158" s="405">
        <v>0</v>
      </c>
      <c r="AL158" s="405">
        <v>0</v>
      </c>
      <c r="AM158" s="405">
        <v>0</v>
      </c>
      <c r="AN158" s="405">
        <v>0</v>
      </c>
      <c r="AO158" s="405">
        <v>0</v>
      </c>
      <c r="AP158" s="405">
        <v>0</v>
      </c>
      <c r="AQ158" s="405">
        <v>0</v>
      </c>
      <c r="AR158" s="405">
        <v>0</v>
      </c>
      <c r="AS158" s="405">
        <v>0</v>
      </c>
      <c r="AT158" s="405">
        <v>0</v>
      </c>
      <c r="AU158" s="405">
        <v>0</v>
      </c>
      <c r="AV158" s="405">
        <v>0</v>
      </c>
      <c r="AW158" s="405">
        <v>0</v>
      </c>
      <c r="AX158" s="405">
        <v>0</v>
      </c>
      <c r="AY158" s="405">
        <v>0</v>
      </c>
      <c r="AZ158" s="405">
        <v>0</v>
      </c>
      <c r="BA158" s="405">
        <v>0</v>
      </c>
      <c r="BB158" s="405">
        <v>0</v>
      </c>
      <c r="BC158" s="405">
        <v>0</v>
      </c>
      <c r="BD158" s="405">
        <v>0</v>
      </c>
      <c r="BE158" s="405">
        <v>0</v>
      </c>
      <c r="BF158" s="405">
        <v>0</v>
      </c>
      <c r="BG158" s="405">
        <v>0</v>
      </c>
      <c r="BH158" s="405">
        <v>0</v>
      </c>
      <c r="BI158" s="405">
        <v>0</v>
      </c>
      <c r="BJ158" s="405">
        <v>0</v>
      </c>
      <c r="BK158" s="405">
        <v>0</v>
      </c>
      <c r="BL158" s="405">
        <v>0</v>
      </c>
      <c r="BM158" s="405">
        <v>0</v>
      </c>
      <c r="BN158" s="405">
        <v>0</v>
      </c>
      <c r="BO158" s="405">
        <v>0</v>
      </c>
      <c r="BP158" s="405">
        <v>0</v>
      </c>
      <c r="BQ158" s="405">
        <v>0</v>
      </c>
      <c r="BR158" s="405">
        <v>0</v>
      </c>
      <c r="BS158" s="405">
        <v>0</v>
      </c>
      <c r="BT158" s="405">
        <v>0</v>
      </c>
      <c r="BU158" s="405">
        <v>0</v>
      </c>
      <c r="BV158" s="405">
        <v>0</v>
      </c>
      <c r="BW158" s="405">
        <v>0</v>
      </c>
      <c r="BX158" s="405">
        <v>0</v>
      </c>
      <c r="BY158" s="405">
        <v>0</v>
      </c>
      <c r="BZ158" s="405">
        <v>0</v>
      </c>
      <c r="CA158" s="405">
        <v>0</v>
      </c>
      <c r="CB158" s="405">
        <v>0</v>
      </c>
      <c r="CC158" s="405">
        <v>0</v>
      </c>
      <c r="CD158" s="405">
        <v>0</v>
      </c>
      <c r="CE158" s="405">
        <v>0</v>
      </c>
      <c r="CF158" s="405">
        <v>0</v>
      </c>
    </row>
    <row r="159" spans="1:84" s="405" customFormat="1" x14ac:dyDescent="0.3">
      <c r="A159" s="405">
        <v>509</v>
      </c>
      <c r="B159" s="406">
        <v>509</v>
      </c>
      <c r="C159" s="405">
        <v>509</v>
      </c>
      <c r="D159" s="405" t="s">
        <v>214</v>
      </c>
      <c r="E159" s="405" t="s">
        <v>476</v>
      </c>
      <c r="F159" s="405">
        <v>0</v>
      </c>
      <c r="G159" s="405">
        <v>0</v>
      </c>
      <c r="H159" s="405">
        <v>0</v>
      </c>
      <c r="I159" s="405">
        <v>0</v>
      </c>
      <c r="J159" s="405">
        <v>0</v>
      </c>
      <c r="K159" s="405">
        <v>0</v>
      </c>
      <c r="L159" s="405">
        <v>0</v>
      </c>
      <c r="M159" s="405">
        <v>0</v>
      </c>
      <c r="N159" s="405">
        <v>0</v>
      </c>
      <c r="O159" s="405">
        <v>0</v>
      </c>
      <c r="P159" s="405">
        <v>0</v>
      </c>
      <c r="Q159" s="405">
        <v>0</v>
      </c>
      <c r="R159" s="405">
        <v>0</v>
      </c>
      <c r="S159" s="405">
        <v>0</v>
      </c>
      <c r="T159" s="405">
        <v>0</v>
      </c>
      <c r="U159" s="405">
        <v>0</v>
      </c>
      <c r="V159" s="405">
        <v>0</v>
      </c>
      <c r="W159" s="405">
        <v>0</v>
      </c>
      <c r="X159" s="405">
        <v>0</v>
      </c>
      <c r="Y159" s="405">
        <v>0</v>
      </c>
      <c r="Z159" s="405">
        <v>0</v>
      </c>
      <c r="AA159" s="405">
        <v>0</v>
      </c>
      <c r="AB159" s="405">
        <v>0</v>
      </c>
      <c r="AC159" s="405">
        <v>0</v>
      </c>
      <c r="AD159" s="405">
        <v>0</v>
      </c>
      <c r="AE159" s="405">
        <v>0</v>
      </c>
      <c r="AF159" s="405">
        <v>0</v>
      </c>
      <c r="AG159" s="405">
        <v>0</v>
      </c>
      <c r="AH159" s="405">
        <v>0</v>
      </c>
      <c r="AI159" s="405">
        <v>0</v>
      </c>
      <c r="AJ159" s="405">
        <v>0</v>
      </c>
      <c r="AK159" s="405">
        <v>0</v>
      </c>
      <c r="AL159" s="405">
        <v>0</v>
      </c>
      <c r="AM159" s="405">
        <v>0</v>
      </c>
      <c r="AN159" s="405">
        <v>0</v>
      </c>
      <c r="AO159" s="405">
        <v>0</v>
      </c>
      <c r="AP159" s="405">
        <v>0</v>
      </c>
      <c r="AQ159" s="405">
        <v>0</v>
      </c>
      <c r="AR159" s="405">
        <v>0</v>
      </c>
      <c r="AS159" s="405">
        <v>0</v>
      </c>
      <c r="AT159" s="405">
        <v>0</v>
      </c>
      <c r="AU159" s="405">
        <v>0</v>
      </c>
      <c r="AV159" s="405">
        <v>0</v>
      </c>
      <c r="AW159" s="405">
        <v>0</v>
      </c>
      <c r="AX159" s="405">
        <v>0</v>
      </c>
      <c r="AY159" s="405">
        <v>0</v>
      </c>
      <c r="AZ159" s="405">
        <v>0</v>
      </c>
      <c r="BA159" s="405">
        <v>0</v>
      </c>
      <c r="BB159" s="405">
        <v>0</v>
      </c>
      <c r="BC159" s="405">
        <v>0</v>
      </c>
      <c r="BD159" s="405">
        <v>0</v>
      </c>
      <c r="BE159" s="405">
        <v>0</v>
      </c>
      <c r="BF159" s="405">
        <v>0</v>
      </c>
      <c r="BG159" s="405">
        <v>0</v>
      </c>
      <c r="BH159" s="405">
        <v>0</v>
      </c>
      <c r="BI159" s="405">
        <v>0</v>
      </c>
      <c r="BJ159" s="405">
        <v>0</v>
      </c>
      <c r="BK159" s="405">
        <v>0</v>
      </c>
      <c r="BL159" s="405">
        <v>0</v>
      </c>
      <c r="BM159" s="405">
        <v>0</v>
      </c>
      <c r="BN159" s="405">
        <v>0</v>
      </c>
      <c r="BO159" s="405">
        <v>0</v>
      </c>
      <c r="BP159" s="405">
        <v>0</v>
      </c>
      <c r="BQ159" s="405">
        <v>0</v>
      </c>
      <c r="BR159" s="405">
        <v>0</v>
      </c>
      <c r="BS159" s="405">
        <v>0</v>
      </c>
      <c r="BT159" s="405">
        <v>0</v>
      </c>
      <c r="BU159" s="405">
        <v>0</v>
      </c>
      <c r="BV159" s="405">
        <v>0</v>
      </c>
      <c r="BW159" s="405">
        <v>0</v>
      </c>
      <c r="BX159" s="405">
        <v>0</v>
      </c>
      <c r="BY159" s="405">
        <v>0</v>
      </c>
      <c r="BZ159" s="405">
        <v>0</v>
      </c>
      <c r="CA159" s="405">
        <v>0</v>
      </c>
      <c r="CB159" s="405">
        <v>0</v>
      </c>
      <c r="CC159" s="405">
        <v>0</v>
      </c>
      <c r="CD159" s="405">
        <v>0</v>
      </c>
      <c r="CE159" s="405">
        <v>0</v>
      </c>
      <c r="CF159" s="405">
        <v>0</v>
      </c>
    </row>
    <row r="160" spans="1:84" s="405" customFormat="1" x14ac:dyDescent="0.3">
      <c r="A160" s="405">
        <v>510</v>
      </c>
      <c r="B160" s="406">
        <v>510</v>
      </c>
      <c r="C160" s="405">
        <v>510</v>
      </c>
      <c r="D160" s="405" t="s">
        <v>220</v>
      </c>
      <c r="E160" s="405" t="s">
        <v>477</v>
      </c>
      <c r="F160" s="405">
        <v>0</v>
      </c>
      <c r="G160" s="405">
        <v>64323</v>
      </c>
      <c r="H160" s="405">
        <v>0</v>
      </c>
      <c r="I160" s="405">
        <v>0</v>
      </c>
      <c r="J160" s="405">
        <v>0</v>
      </c>
      <c r="K160" s="405">
        <v>0</v>
      </c>
      <c r="L160" s="405">
        <v>0</v>
      </c>
      <c r="M160" s="405">
        <v>390</v>
      </c>
      <c r="N160" s="405">
        <v>58329</v>
      </c>
      <c r="O160" s="405">
        <v>0</v>
      </c>
      <c r="P160" s="405">
        <v>0</v>
      </c>
      <c r="Q160" s="405">
        <v>0</v>
      </c>
      <c r="R160" s="405">
        <v>0</v>
      </c>
      <c r="S160" s="405">
        <v>0</v>
      </c>
      <c r="T160" s="405">
        <v>0</v>
      </c>
      <c r="U160" s="405">
        <v>5377</v>
      </c>
      <c r="V160" s="405">
        <v>0</v>
      </c>
      <c r="W160" s="405">
        <v>0</v>
      </c>
      <c r="X160" s="405">
        <v>111644</v>
      </c>
      <c r="Y160" s="405">
        <v>0</v>
      </c>
      <c r="Z160" s="405">
        <v>0</v>
      </c>
      <c r="AA160" s="405">
        <v>412</v>
      </c>
      <c r="AB160" s="405">
        <v>0</v>
      </c>
      <c r="AC160" s="405">
        <v>0</v>
      </c>
      <c r="AD160" s="405">
        <v>4500</v>
      </c>
      <c r="AE160" s="405">
        <v>0</v>
      </c>
      <c r="AF160" s="405">
        <v>0</v>
      </c>
      <c r="AG160" s="405">
        <v>0</v>
      </c>
      <c r="AH160" s="405">
        <v>180523</v>
      </c>
      <c r="AI160" s="405">
        <v>0</v>
      </c>
      <c r="AJ160" s="405">
        <v>0</v>
      </c>
      <c r="AK160" s="405">
        <v>3518</v>
      </c>
      <c r="AL160" s="405">
        <v>0</v>
      </c>
      <c r="AM160" s="405">
        <v>0</v>
      </c>
      <c r="AN160" s="405">
        <v>0</v>
      </c>
      <c r="AO160" s="405">
        <v>0</v>
      </c>
      <c r="AP160" s="405">
        <v>0</v>
      </c>
      <c r="AQ160" s="405">
        <v>0</v>
      </c>
      <c r="AR160" s="405">
        <v>181284</v>
      </c>
      <c r="AS160" s="405">
        <v>0</v>
      </c>
      <c r="AT160" s="405">
        <v>0</v>
      </c>
      <c r="AU160" s="405">
        <v>0</v>
      </c>
      <c r="AV160" s="405">
        <v>0</v>
      </c>
      <c r="AW160" s="405">
        <v>5055568</v>
      </c>
      <c r="AX160" s="405">
        <v>1135259</v>
      </c>
      <c r="AY160" s="405">
        <v>0</v>
      </c>
      <c r="AZ160" s="405">
        <v>0</v>
      </c>
      <c r="BA160" s="405">
        <v>0</v>
      </c>
      <c r="BB160" s="405">
        <v>0</v>
      </c>
      <c r="BC160" s="405">
        <v>0</v>
      </c>
      <c r="BD160" s="405">
        <v>49776</v>
      </c>
      <c r="BE160" s="405">
        <v>0</v>
      </c>
      <c r="BF160" s="405">
        <v>0</v>
      </c>
      <c r="BG160" s="405">
        <v>0</v>
      </c>
      <c r="BH160" s="405">
        <v>198</v>
      </c>
      <c r="BI160" s="405">
        <v>0</v>
      </c>
      <c r="BJ160" s="405">
        <v>28841</v>
      </c>
      <c r="BK160" s="405">
        <v>0</v>
      </c>
      <c r="BL160" s="405">
        <v>0</v>
      </c>
      <c r="BM160" s="405">
        <v>0</v>
      </c>
      <c r="BN160" s="405">
        <v>107868</v>
      </c>
      <c r="BO160" s="405">
        <v>1233720</v>
      </c>
      <c r="BP160" s="405">
        <v>0</v>
      </c>
      <c r="BQ160" s="405">
        <v>501523</v>
      </c>
      <c r="BR160" s="405">
        <v>0</v>
      </c>
      <c r="BS160" s="405">
        <v>0</v>
      </c>
      <c r="BT160" s="405">
        <v>173701</v>
      </c>
      <c r="BU160" s="405">
        <v>0</v>
      </c>
      <c r="BV160" s="405">
        <v>215</v>
      </c>
      <c r="BW160" s="405">
        <v>0</v>
      </c>
      <c r="BX160" s="405">
        <v>0</v>
      </c>
      <c r="BY160" s="405">
        <v>177965</v>
      </c>
      <c r="BZ160" s="405">
        <v>0</v>
      </c>
      <c r="CA160" s="405">
        <v>23737</v>
      </c>
      <c r="CB160" s="405">
        <v>0</v>
      </c>
      <c r="CC160" s="405">
        <v>0</v>
      </c>
      <c r="CD160" s="405">
        <v>0</v>
      </c>
      <c r="CE160" s="405">
        <v>0</v>
      </c>
      <c r="CF160" s="405">
        <v>0</v>
      </c>
    </row>
    <row r="161" spans="1:84" s="405" customFormat="1" x14ac:dyDescent="0.3">
      <c r="A161" s="405">
        <v>511</v>
      </c>
      <c r="B161" s="406">
        <v>511</v>
      </c>
      <c r="C161" s="405">
        <v>511</v>
      </c>
      <c r="D161" s="405" t="s">
        <v>225</v>
      </c>
      <c r="E161" s="405" t="s">
        <v>478</v>
      </c>
      <c r="F161" s="405">
        <v>0</v>
      </c>
      <c r="G161" s="405">
        <v>0</v>
      </c>
      <c r="H161" s="405">
        <v>0</v>
      </c>
      <c r="I161" s="405">
        <v>0</v>
      </c>
      <c r="J161" s="405">
        <v>0</v>
      </c>
      <c r="K161" s="405">
        <v>0</v>
      </c>
      <c r="L161" s="405">
        <v>0</v>
      </c>
      <c r="M161" s="405">
        <v>0</v>
      </c>
      <c r="N161" s="405">
        <v>178545</v>
      </c>
      <c r="O161" s="405">
        <v>0</v>
      </c>
      <c r="P161" s="405">
        <v>0</v>
      </c>
      <c r="Q161" s="405">
        <v>0</v>
      </c>
      <c r="R161" s="405">
        <v>0</v>
      </c>
      <c r="S161" s="405">
        <v>0</v>
      </c>
      <c r="T161" s="405">
        <v>0</v>
      </c>
      <c r="U161" s="405">
        <v>17555</v>
      </c>
      <c r="V161" s="405">
        <v>0</v>
      </c>
      <c r="W161" s="405">
        <v>0</v>
      </c>
      <c r="X161" s="405">
        <v>0</v>
      </c>
      <c r="Y161" s="405">
        <v>0</v>
      </c>
      <c r="Z161" s="405">
        <v>0</v>
      </c>
      <c r="AA161" s="405">
        <v>0</v>
      </c>
      <c r="AB161" s="405">
        <v>0</v>
      </c>
      <c r="AC161" s="405">
        <v>0</v>
      </c>
      <c r="AD161" s="405">
        <v>0</v>
      </c>
      <c r="AE161" s="405">
        <v>0</v>
      </c>
      <c r="AF161" s="405">
        <v>0</v>
      </c>
      <c r="AG161" s="405">
        <v>0</v>
      </c>
      <c r="AH161" s="405">
        <v>1511294</v>
      </c>
      <c r="AI161" s="405">
        <v>0</v>
      </c>
      <c r="AJ161" s="405">
        <v>0</v>
      </c>
      <c r="AK161" s="405">
        <v>0</v>
      </c>
      <c r="AL161" s="405">
        <v>0</v>
      </c>
      <c r="AM161" s="405">
        <v>0</v>
      </c>
      <c r="AN161" s="405">
        <v>0</v>
      </c>
      <c r="AO161" s="405">
        <v>0</v>
      </c>
      <c r="AP161" s="405">
        <v>0</v>
      </c>
      <c r="AQ161" s="405">
        <v>0</v>
      </c>
      <c r="AR161" s="405">
        <v>561998</v>
      </c>
      <c r="AS161" s="405">
        <v>0</v>
      </c>
      <c r="AT161" s="405">
        <v>0</v>
      </c>
      <c r="AU161" s="405">
        <v>0</v>
      </c>
      <c r="AV161" s="405">
        <v>0</v>
      </c>
      <c r="AW161" s="405">
        <v>0</v>
      </c>
      <c r="AX161" s="405">
        <v>6436428</v>
      </c>
      <c r="AY161" s="405">
        <v>0</v>
      </c>
      <c r="AZ161" s="405">
        <v>0</v>
      </c>
      <c r="BA161" s="405">
        <v>0</v>
      </c>
      <c r="BB161" s="405">
        <v>0</v>
      </c>
      <c r="BC161" s="405">
        <v>0</v>
      </c>
      <c r="BD161" s="405">
        <v>0</v>
      </c>
      <c r="BE161" s="405">
        <v>0</v>
      </c>
      <c r="BF161" s="405">
        <v>0</v>
      </c>
      <c r="BG161" s="405">
        <v>0</v>
      </c>
      <c r="BH161" s="405">
        <v>0</v>
      </c>
      <c r="BI161" s="405">
        <v>0</v>
      </c>
      <c r="BJ161" s="405">
        <v>0</v>
      </c>
      <c r="BK161" s="405">
        <v>0</v>
      </c>
      <c r="BL161" s="405">
        <v>0</v>
      </c>
      <c r="BM161" s="405">
        <v>0</v>
      </c>
      <c r="BN161" s="405">
        <v>0</v>
      </c>
      <c r="BO161" s="405">
        <v>0</v>
      </c>
      <c r="BP161" s="405">
        <v>0</v>
      </c>
      <c r="BQ161" s="405">
        <v>0</v>
      </c>
      <c r="BR161" s="405">
        <v>7265919</v>
      </c>
      <c r="BS161" s="405">
        <v>0</v>
      </c>
      <c r="BT161" s="405">
        <v>423617</v>
      </c>
      <c r="BU161" s="405">
        <v>0</v>
      </c>
      <c r="BV161" s="405">
        <v>0</v>
      </c>
      <c r="BW161" s="405">
        <v>0</v>
      </c>
      <c r="BX161" s="405">
        <v>0</v>
      </c>
      <c r="BY161" s="405">
        <v>0</v>
      </c>
      <c r="BZ161" s="405">
        <v>0</v>
      </c>
      <c r="CA161" s="405">
        <v>0</v>
      </c>
      <c r="CB161" s="405">
        <v>0</v>
      </c>
      <c r="CC161" s="405">
        <v>0</v>
      </c>
      <c r="CD161" s="405">
        <v>0</v>
      </c>
      <c r="CE161" s="405">
        <v>0</v>
      </c>
      <c r="CF161" s="405">
        <v>179611</v>
      </c>
    </row>
    <row r="162" spans="1:84" s="405" customFormat="1" x14ac:dyDescent="0.3">
      <c r="A162" s="405">
        <v>512</v>
      </c>
      <c r="B162" s="406">
        <v>512</v>
      </c>
      <c r="C162" s="405">
        <v>512</v>
      </c>
      <c r="D162" s="405" t="s">
        <v>252</v>
      </c>
      <c r="E162" s="405" t="s">
        <v>479</v>
      </c>
      <c r="F162" s="405">
        <v>0</v>
      </c>
      <c r="G162" s="405">
        <v>0</v>
      </c>
      <c r="H162" s="405">
        <v>0</v>
      </c>
      <c r="I162" s="405">
        <v>0</v>
      </c>
      <c r="J162" s="405">
        <v>0</v>
      </c>
      <c r="K162" s="405">
        <v>0</v>
      </c>
      <c r="L162" s="405">
        <v>0</v>
      </c>
      <c r="M162" s="405">
        <v>0</v>
      </c>
      <c r="N162" s="405">
        <v>25617</v>
      </c>
      <c r="O162" s="405">
        <v>1615544</v>
      </c>
      <c r="P162" s="405">
        <v>0</v>
      </c>
      <c r="Q162" s="405">
        <v>0</v>
      </c>
      <c r="R162" s="405">
        <v>0</v>
      </c>
      <c r="S162" s="405">
        <v>0</v>
      </c>
      <c r="T162" s="405">
        <v>0</v>
      </c>
      <c r="U162" s="405">
        <v>0</v>
      </c>
      <c r="V162" s="405">
        <v>0</v>
      </c>
      <c r="W162" s="405">
        <v>0</v>
      </c>
      <c r="X162" s="405">
        <v>0</v>
      </c>
      <c r="Y162" s="405">
        <v>0</v>
      </c>
      <c r="Z162" s="405">
        <v>0</v>
      </c>
      <c r="AA162" s="405">
        <v>0</v>
      </c>
      <c r="AB162" s="405">
        <v>0</v>
      </c>
      <c r="AC162" s="405">
        <v>0</v>
      </c>
      <c r="AD162" s="405">
        <v>0</v>
      </c>
      <c r="AE162" s="405">
        <v>0</v>
      </c>
      <c r="AF162" s="405">
        <v>0</v>
      </c>
      <c r="AG162" s="405">
        <v>0</v>
      </c>
      <c r="AH162" s="405">
        <v>35674</v>
      </c>
      <c r="AI162" s="405">
        <v>0</v>
      </c>
      <c r="AJ162" s="405">
        <v>0</v>
      </c>
      <c r="AK162" s="405">
        <v>25946</v>
      </c>
      <c r="AL162" s="405">
        <v>0</v>
      </c>
      <c r="AM162" s="405">
        <v>0</v>
      </c>
      <c r="AN162" s="405">
        <v>0</v>
      </c>
      <c r="AO162" s="405">
        <v>0</v>
      </c>
      <c r="AP162" s="405">
        <v>0</v>
      </c>
      <c r="AQ162" s="405">
        <v>0</v>
      </c>
      <c r="AR162" s="405">
        <v>0</v>
      </c>
      <c r="AS162" s="405">
        <v>0</v>
      </c>
      <c r="AT162" s="405">
        <v>0</v>
      </c>
      <c r="AU162" s="405">
        <v>0</v>
      </c>
      <c r="AV162" s="405">
        <v>0</v>
      </c>
      <c r="AW162" s="405">
        <v>33844027</v>
      </c>
      <c r="AX162" s="405">
        <v>11720764</v>
      </c>
      <c r="AY162" s="405">
        <v>0</v>
      </c>
      <c r="AZ162" s="405">
        <v>0</v>
      </c>
      <c r="BA162" s="405">
        <v>0</v>
      </c>
      <c r="BB162" s="405">
        <v>0</v>
      </c>
      <c r="BC162" s="405">
        <v>0</v>
      </c>
      <c r="BD162" s="405">
        <v>0</v>
      </c>
      <c r="BE162" s="405">
        <v>0</v>
      </c>
      <c r="BF162" s="405">
        <v>0</v>
      </c>
      <c r="BG162" s="405">
        <v>0</v>
      </c>
      <c r="BH162" s="405">
        <v>0</v>
      </c>
      <c r="BI162" s="405">
        <v>0</v>
      </c>
      <c r="BJ162" s="405">
        <v>0</v>
      </c>
      <c r="BK162" s="405">
        <v>0</v>
      </c>
      <c r="BL162" s="405">
        <v>0</v>
      </c>
      <c r="BM162" s="405">
        <v>0</v>
      </c>
      <c r="BN162" s="405">
        <v>0</v>
      </c>
      <c r="BO162" s="405">
        <v>0</v>
      </c>
      <c r="BP162" s="405">
        <v>0</v>
      </c>
      <c r="BQ162" s="405">
        <v>0</v>
      </c>
      <c r="BR162" s="405">
        <v>372839</v>
      </c>
      <c r="BS162" s="405">
        <v>0</v>
      </c>
      <c r="BT162" s="405">
        <v>1168812</v>
      </c>
      <c r="BU162" s="405">
        <v>0</v>
      </c>
      <c r="BV162" s="405">
        <v>0</v>
      </c>
      <c r="BW162" s="405">
        <v>0</v>
      </c>
      <c r="BX162" s="405">
        <v>0</v>
      </c>
      <c r="BY162" s="405">
        <v>0</v>
      </c>
      <c r="BZ162" s="405">
        <v>0</v>
      </c>
      <c r="CA162" s="405">
        <v>622089</v>
      </c>
      <c r="CB162" s="405">
        <v>0</v>
      </c>
      <c r="CC162" s="405">
        <v>0</v>
      </c>
      <c r="CD162" s="405">
        <v>0</v>
      </c>
      <c r="CE162" s="405">
        <v>0</v>
      </c>
      <c r="CF162" s="405">
        <v>0</v>
      </c>
    </row>
    <row r="163" spans="1:84" s="405" customFormat="1" x14ac:dyDescent="0.3">
      <c r="A163" s="405">
        <v>513</v>
      </c>
      <c r="B163" s="406">
        <v>513</v>
      </c>
      <c r="C163" s="405">
        <v>513</v>
      </c>
      <c r="D163" s="405" t="s">
        <v>263</v>
      </c>
      <c r="E163" s="405" t="s">
        <v>480</v>
      </c>
      <c r="F163" s="405">
        <v>0</v>
      </c>
      <c r="G163" s="405">
        <v>0</v>
      </c>
      <c r="H163" s="405">
        <v>0</v>
      </c>
      <c r="I163" s="405">
        <v>0</v>
      </c>
      <c r="J163" s="405">
        <v>0</v>
      </c>
      <c r="K163" s="405">
        <v>0</v>
      </c>
      <c r="L163" s="405">
        <v>0</v>
      </c>
      <c r="M163" s="405">
        <v>0</v>
      </c>
      <c r="N163" s="405">
        <v>0</v>
      </c>
      <c r="O163" s="405">
        <v>0</v>
      </c>
      <c r="P163" s="405">
        <v>0</v>
      </c>
      <c r="Q163" s="405">
        <v>0</v>
      </c>
      <c r="R163" s="405">
        <v>0</v>
      </c>
      <c r="S163" s="405">
        <v>0</v>
      </c>
      <c r="T163" s="405">
        <v>0</v>
      </c>
      <c r="U163" s="405">
        <v>0</v>
      </c>
      <c r="V163" s="405">
        <v>0</v>
      </c>
      <c r="W163" s="405">
        <v>0</v>
      </c>
      <c r="X163" s="405">
        <v>0</v>
      </c>
      <c r="Y163" s="405">
        <v>0</v>
      </c>
      <c r="Z163" s="405">
        <v>0</v>
      </c>
      <c r="AA163" s="405">
        <v>0</v>
      </c>
      <c r="AB163" s="405">
        <v>0</v>
      </c>
      <c r="AC163" s="405">
        <v>0</v>
      </c>
      <c r="AD163" s="405">
        <v>0</v>
      </c>
      <c r="AE163" s="405">
        <v>0</v>
      </c>
      <c r="AF163" s="405">
        <v>0</v>
      </c>
      <c r="AG163" s="405">
        <v>0</v>
      </c>
      <c r="AH163" s="405">
        <v>0</v>
      </c>
      <c r="AI163" s="405">
        <v>0</v>
      </c>
      <c r="AJ163" s="405">
        <v>0</v>
      </c>
      <c r="AK163" s="405">
        <v>0</v>
      </c>
      <c r="AL163" s="405">
        <v>0</v>
      </c>
      <c r="AM163" s="405">
        <v>0</v>
      </c>
      <c r="AN163" s="405">
        <v>0</v>
      </c>
      <c r="AO163" s="405">
        <v>0</v>
      </c>
      <c r="AP163" s="405">
        <v>0</v>
      </c>
      <c r="AQ163" s="405">
        <v>0</v>
      </c>
      <c r="AR163" s="405">
        <v>0</v>
      </c>
      <c r="AS163" s="405">
        <v>0</v>
      </c>
      <c r="AT163" s="405">
        <v>0</v>
      </c>
      <c r="AU163" s="405">
        <v>0</v>
      </c>
      <c r="AV163" s="405">
        <v>0</v>
      </c>
      <c r="AW163" s="405">
        <v>0</v>
      </c>
      <c r="AX163" s="405">
        <v>0</v>
      </c>
      <c r="AY163" s="405">
        <v>0</v>
      </c>
      <c r="AZ163" s="405">
        <v>0</v>
      </c>
      <c r="BA163" s="405">
        <v>0</v>
      </c>
      <c r="BB163" s="405">
        <v>0</v>
      </c>
      <c r="BC163" s="405">
        <v>0</v>
      </c>
      <c r="BD163" s="405">
        <v>0</v>
      </c>
      <c r="BE163" s="405">
        <v>0</v>
      </c>
      <c r="BF163" s="405">
        <v>0</v>
      </c>
      <c r="BG163" s="405">
        <v>0</v>
      </c>
      <c r="BH163" s="405">
        <v>0</v>
      </c>
      <c r="BI163" s="405">
        <v>0</v>
      </c>
      <c r="BJ163" s="405">
        <v>0</v>
      </c>
      <c r="BK163" s="405">
        <v>0</v>
      </c>
      <c r="BL163" s="405">
        <v>0</v>
      </c>
      <c r="BM163" s="405">
        <v>0</v>
      </c>
      <c r="BN163" s="405">
        <v>0</v>
      </c>
      <c r="BO163" s="405">
        <v>0</v>
      </c>
      <c r="BP163" s="405">
        <v>0</v>
      </c>
      <c r="BQ163" s="405">
        <v>0</v>
      </c>
      <c r="BR163" s="405">
        <v>0</v>
      </c>
      <c r="BS163" s="405">
        <v>0</v>
      </c>
      <c r="BT163" s="405">
        <v>0</v>
      </c>
      <c r="BU163" s="405">
        <v>0</v>
      </c>
      <c r="BV163" s="405">
        <v>0</v>
      </c>
      <c r="BW163" s="405">
        <v>0</v>
      </c>
      <c r="BX163" s="405">
        <v>0</v>
      </c>
      <c r="BY163" s="405">
        <v>0</v>
      </c>
      <c r="BZ163" s="405">
        <v>0</v>
      </c>
      <c r="CA163" s="405">
        <v>0</v>
      </c>
      <c r="CB163" s="405">
        <v>0</v>
      </c>
      <c r="CC163" s="405">
        <v>0</v>
      </c>
      <c r="CD163" s="405">
        <v>0</v>
      </c>
      <c r="CE163" s="405">
        <v>0</v>
      </c>
      <c r="CF163" s="405">
        <v>0</v>
      </c>
    </row>
    <row r="164" spans="1:84" s="405" customFormat="1" x14ac:dyDescent="0.3">
      <c r="A164" s="405">
        <v>514</v>
      </c>
      <c r="B164" s="406">
        <v>514</v>
      </c>
      <c r="C164" s="405">
        <v>514</v>
      </c>
      <c r="D164" s="405" t="s">
        <v>264</v>
      </c>
      <c r="E164" s="405" t="s">
        <v>481</v>
      </c>
      <c r="F164" s="405">
        <v>0</v>
      </c>
      <c r="G164" s="405">
        <v>0</v>
      </c>
      <c r="H164" s="405">
        <v>0</v>
      </c>
      <c r="I164" s="405">
        <v>0</v>
      </c>
      <c r="J164" s="405">
        <v>0</v>
      </c>
      <c r="K164" s="405">
        <v>0</v>
      </c>
      <c r="L164" s="405">
        <v>0</v>
      </c>
      <c r="M164" s="405">
        <v>0</v>
      </c>
      <c r="N164" s="405">
        <v>356844</v>
      </c>
      <c r="O164" s="405">
        <v>0</v>
      </c>
      <c r="P164" s="405">
        <v>0</v>
      </c>
      <c r="Q164" s="405">
        <v>0</v>
      </c>
      <c r="R164" s="405">
        <v>0</v>
      </c>
      <c r="S164" s="405">
        <v>3950600</v>
      </c>
      <c r="T164" s="405">
        <v>0</v>
      </c>
      <c r="U164" s="405">
        <v>0</v>
      </c>
      <c r="V164" s="405">
        <v>0</v>
      </c>
      <c r="W164" s="405">
        <v>0</v>
      </c>
      <c r="X164" s="405">
        <v>0</v>
      </c>
      <c r="Y164" s="405">
        <v>0</v>
      </c>
      <c r="Z164" s="405">
        <v>0</v>
      </c>
      <c r="AA164" s="405">
        <v>61300</v>
      </c>
      <c r="AB164" s="405">
        <v>0</v>
      </c>
      <c r="AC164" s="405">
        <v>0</v>
      </c>
      <c r="AD164" s="405">
        <v>0</v>
      </c>
      <c r="AE164" s="405">
        <v>0</v>
      </c>
      <c r="AF164" s="405">
        <v>0</v>
      </c>
      <c r="AG164" s="405">
        <v>0</v>
      </c>
      <c r="AH164" s="405">
        <v>2000000</v>
      </c>
      <c r="AI164" s="405">
        <v>0</v>
      </c>
      <c r="AJ164" s="405">
        <v>0</v>
      </c>
      <c r="AK164" s="405">
        <v>0</v>
      </c>
      <c r="AL164" s="405">
        <v>0</v>
      </c>
      <c r="AM164" s="405">
        <v>0</v>
      </c>
      <c r="AN164" s="405">
        <v>0</v>
      </c>
      <c r="AO164" s="405">
        <v>0</v>
      </c>
      <c r="AP164" s="405">
        <v>0</v>
      </c>
      <c r="AQ164" s="405">
        <v>0</v>
      </c>
      <c r="AR164" s="405">
        <v>0</v>
      </c>
      <c r="AS164" s="405">
        <v>0</v>
      </c>
      <c r="AT164" s="405">
        <v>0</v>
      </c>
      <c r="AU164" s="405">
        <v>0</v>
      </c>
      <c r="AV164" s="405">
        <v>0</v>
      </c>
      <c r="AW164" s="405">
        <v>0</v>
      </c>
      <c r="AX164" s="405">
        <v>4939838</v>
      </c>
      <c r="AY164" s="405">
        <v>0</v>
      </c>
      <c r="AZ164" s="405">
        <v>0</v>
      </c>
      <c r="BA164" s="405">
        <v>0</v>
      </c>
      <c r="BB164" s="405">
        <v>0</v>
      </c>
      <c r="BC164" s="405">
        <v>0</v>
      </c>
      <c r="BD164" s="405">
        <v>0</v>
      </c>
      <c r="BE164" s="405">
        <v>0</v>
      </c>
      <c r="BF164" s="405">
        <v>0</v>
      </c>
      <c r="BG164" s="405">
        <v>0</v>
      </c>
      <c r="BH164" s="405">
        <v>0</v>
      </c>
      <c r="BI164" s="405">
        <v>0</v>
      </c>
      <c r="BJ164" s="405">
        <v>0</v>
      </c>
      <c r="BK164" s="405">
        <v>0</v>
      </c>
      <c r="BL164" s="405">
        <v>0</v>
      </c>
      <c r="BM164" s="405">
        <v>0</v>
      </c>
      <c r="BN164" s="405">
        <v>0</v>
      </c>
      <c r="BO164" s="405">
        <v>0</v>
      </c>
      <c r="BP164" s="405">
        <v>0</v>
      </c>
      <c r="BQ164" s="405">
        <v>0</v>
      </c>
      <c r="BR164" s="405">
        <v>2025892</v>
      </c>
      <c r="BS164" s="405">
        <v>0</v>
      </c>
      <c r="BT164" s="405">
        <v>0</v>
      </c>
      <c r="BU164" s="405">
        <v>0</v>
      </c>
      <c r="BV164" s="405">
        <v>0</v>
      </c>
      <c r="BW164" s="405">
        <v>0</v>
      </c>
      <c r="BX164" s="405">
        <v>0</v>
      </c>
      <c r="BY164" s="405">
        <v>0</v>
      </c>
      <c r="BZ164" s="405">
        <v>0</v>
      </c>
      <c r="CA164" s="405">
        <v>0</v>
      </c>
      <c r="CB164" s="405">
        <v>0</v>
      </c>
      <c r="CC164" s="405">
        <v>0</v>
      </c>
      <c r="CD164" s="405">
        <v>0</v>
      </c>
      <c r="CE164" s="405">
        <v>0</v>
      </c>
      <c r="CF164" s="405">
        <v>0</v>
      </c>
    </row>
    <row r="165" spans="1:84" s="405" customFormat="1" x14ac:dyDescent="0.3">
      <c r="A165" s="405">
        <v>515</v>
      </c>
      <c r="B165" s="406">
        <v>515</v>
      </c>
      <c r="C165" s="405">
        <v>515</v>
      </c>
      <c r="D165" s="405" t="s">
        <v>277</v>
      </c>
      <c r="E165" s="405" t="s">
        <v>482</v>
      </c>
      <c r="F165" s="405">
        <v>204424</v>
      </c>
      <c r="G165" s="405">
        <v>12755</v>
      </c>
      <c r="H165" s="405">
        <v>0</v>
      </c>
      <c r="I165" s="405">
        <v>542317</v>
      </c>
      <c r="J165" s="405">
        <v>0</v>
      </c>
      <c r="K165" s="405">
        <v>0</v>
      </c>
      <c r="L165" s="405">
        <v>0</v>
      </c>
      <c r="M165" s="405">
        <v>0</v>
      </c>
      <c r="N165" s="405">
        <v>0</v>
      </c>
      <c r="O165" s="405">
        <v>0</v>
      </c>
      <c r="P165" s="405">
        <v>0</v>
      </c>
      <c r="Q165" s="405">
        <v>0</v>
      </c>
      <c r="R165" s="405">
        <v>0</v>
      </c>
      <c r="S165" s="405">
        <v>0</v>
      </c>
      <c r="T165" s="405">
        <v>0</v>
      </c>
      <c r="U165" s="405">
        <v>0</v>
      </c>
      <c r="V165" s="405">
        <v>0</v>
      </c>
      <c r="W165" s="405">
        <v>0</v>
      </c>
      <c r="X165" s="405">
        <v>1336485</v>
      </c>
      <c r="Y165" s="405">
        <v>0</v>
      </c>
      <c r="Z165" s="405">
        <v>0</v>
      </c>
      <c r="AA165" s="405">
        <v>0</v>
      </c>
      <c r="AB165" s="405">
        <v>30686</v>
      </c>
      <c r="AC165" s="405">
        <v>0</v>
      </c>
      <c r="AD165" s="405">
        <v>0</v>
      </c>
      <c r="AE165" s="405">
        <v>0</v>
      </c>
      <c r="AF165" s="405">
        <v>0</v>
      </c>
      <c r="AG165" s="405">
        <v>0</v>
      </c>
      <c r="AH165" s="405">
        <v>69659203</v>
      </c>
      <c r="AI165" s="405">
        <v>0</v>
      </c>
      <c r="AJ165" s="405">
        <v>0</v>
      </c>
      <c r="AK165" s="405">
        <v>129875</v>
      </c>
      <c r="AL165" s="405">
        <v>0</v>
      </c>
      <c r="AM165" s="405">
        <v>0</v>
      </c>
      <c r="AN165" s="405">
        <v>0</v>
      </c>
      <c r="AO165" s="405">
        <v>0</v>
      </c>
      <c r="AP165" s="405">
        <v>17696444</v>
      </c>
      <c r="AQ165" s="405">
        <v>0</v>
      </c>
      <c r="AR165" s="405">
        <v>0</v>
      </c>
      <c r="AS165" s="405">
        <v>0</v>
      </c>
      <c r="AT165" s="405">
        <v>0</v>
      </c>
      <c r="AU165" s="405">
        <v>0</v>
      </c>
      <c r="AV165" s="405">
        <v>371872</v>
      </c>
      <c r="AW165" s="405">
        <v>247017831</v>
      </c>
      <c r="AX165" s="405">
        <v>4835753</v>
      </c>
      <c r="AY165" s="405">
        <v>0</v>
      </c>
      <c r="AZ165" s="405">
        <v>4696454</v>
      </c>
      <c r="BA165" s="405">
        <v>977796</v>
      </c>
      <c r="BB165" s="405">
        <v>0</v>
      </c>
      <c r="BC165" s="405">
        <v>0</v>
      </c>
      <c r="BD165" s="405">
        <v>89132</v>
      </c>
      <c r="BE165" s="405">
        <v>0</v>
      </c>
      <c r="BF165" s="405">
        <v>0</v>
      </c>
      <c r="BG165" s="405">
        <v>0</v>
      </c>
      <c r="BH165" s="405">
        <v>7540422</v>
      </c>
      <c r="BI165" s="405">
        <v>0</v>
      </c>
      <c r="BJ165" s="405">
        <v>0</v>
      </c>
      <c r="BK165" s="405">
        <v>0</v>
      </c>
      <c r="BL165" s="405">
        <v>0</v>
      </c>
      <c r="BM165" s="405">
        <v>0</v>
      </c>
      <c r="BN165" s="405">
        <v>32865339</v>
      </c>
      <c r="BO165" s="405">
        <v>1589658</v>
      </c>
      <c r="BP165" s="405">
        <v>0</v>
      </c>
      <c r="BQ165" s="405">
        <v>47151009</v>
      </c>
      <c r="BR165" s="405">
        <v>74541190</v>
      </c>
      <c r="BS165" s="405">
        <v>1057</v>
      </c>
      <c r="BT165" s="405">
        <v>0</v>
      </c>
      <c r="BU165" s="405">
        <v>0</v>
      </c>
      <c r="BV165" s="405">
        <v>27927519</v>
      </c>
      <c r="BW165" s="405">
        <v>0</v>
      </c>
      <c r="BX165" s="405">
        <v>0</v>
      </c>
      <c r="BY165" s="405">
        <v>0</v>
      </c>
      <c r="BZ165" s="405">
        <v>0</v>
      </c>
      <c r="CA165" s="405">
        <v>204461</v>
      </c>
      <c r="CB165" s="405">
        <v>0</v>
      </c>
      <c r="CC165" s="405">
        <v>0</v>
      </c>
      <c r="CD165" s="405">
        <v>118409</v>
      </c>
      <c r="CE165" s="405">
        <v>0</v>
      </c>
      <c r="CF165" s="405">
        <v>0</v>
      </c>
    </row>
    <row r="166" spans="1:84" s="405" customFormat="1" x14ac:dyDescent="0.3">
      <c r="A166" s="405">
        <v>516</v>
      </c>
      <c r="B166" s="406">
        <v>516</v>
      </c>
      <c r="C166" s="405">
        <v>516</v>
      </c>
      <c r="D166" s="405" t="s">
        <v>278</v>
      </c>
      <c r="E166" s="405" t="s">
        <v>483</v>
      </c>
      <c r="F166" s="405">
        <v>8359807</v>
      </c>
      <c r="G166" s="405">
        <v>15725530</v>
      </c>
      <c r="H166" s="405">
        <v>0</v>
      </c>
      <c r="I166" s="405">
        <v>12487757</v>
      </c>
      <c r="J166" s="405">
        <v>8079066</v>
      </c>
      <c r="K166" s="405">
        <v>1077125</v>
      </c>
      <c r="L166" s="405">
        <v>0</v>
      </c>
      <c r="M166" s="405">
        <v>6170091</v>
      </c>
      <c r="N166" s="405">
        <v>55187192</v>
      </c>
      <c r="O166" s="405">
        <v>0</v>
      </c>
      <c r="P166" s="405">
        <v>0</v>
      </c>
      <c r="Q166" s="405">
        <v>0</v>
      </c>
      <c r="R166" s="405">
        <v>3493512</v>
      </c>
      <c r="S166" s="405">
        <v>61195204</v>
      </c>
      <c r="T166" s="405">
        <v>0</v>
      </c>
      <c r="U166" s="405">
        <v>6365159</v>
      </c>
      <c r="V166" s="405">
        <v>0</v>
      </c>
      <c r="W166" s="405">
        <v>1848051</v>
      </c>
      <c r="X166" s="405">
        <v>33638364</v>
      </c>
      <c r="Y166" s="405">
        <v>0</v>
      </c>
      <c r="Z166" s="405">
        <v>0</v>
      </c>
      <c r="AA166" s="405">
        <v>14448082</v>
      </c>
      <c r="AB166" s="405">
        <v>52961432</v>
      </c>
      <c r="AC166" s="405">
        <v>2780186</v>
      </c>
      <c r="AD166" s="405">
        <v>3202988</v>
      </c>
      <c r="AE166" s="405">
        <v>0</v>
      </c>
      <c r="AF166" s="405">
        <v>0</v>
      </c>
      <c r="AG166" s="405">
        <v>0</v>
      </c>
      <c r="AH166" s="405">
        <v>202040504</v>
      </c>
      <c r="AI166" s="405">
        <v>0</v>
      </c>
      <c r="AJ166" s="405">
        <v>2337098</v>
      </c>
      <c r="AK166" s="405">
        <v>2930890</v>
      </c>
      <c r="AL166" s="405">
        <v>2871297</v>
      </c>
      <c r="AM166" s="405">
        <v>268756</v>
      </c>
      <c r="AN166" s="405">
        <v>0</v>
      </c>
      <c r="AO166" s="405">
        <v>0</v>
      </c>
      <c r="AP166" s="405">
        <v>23463499</v>
      </c>
      <c r="AQ166" s="405">
        <v>0</v>
      </c>
      <c r="AR166" s="405">
        <v>25922235</v>
      </c>
      <c r="AS166" s="405">
        <v>0</v>
      </c>
      <c r="AT166" s="405">
        <v>0</v>
      </c>
      <c r="AU166" s="405">
        <v>0</v>
      </c>
      <c r="AV166" s="405">
        <v>4058459</v>
      </c>
      <c r="AW166" s="405">
        <v>64555515</v>
      </c>
      <c r="AX166" s="405">
        <v>378632677</v>
      </c>
      <c r="AY166" s="405">
        <v>6759698</v>
      </c>
      <c r="AZ166" s="405">
        <v>0</v>
      </c>
      <c r="BA166" s="405">
        <v>2158042</v>
      </c>
      <c r="BB166" s="405">
        <v>4476992</v>
      </c>
      <c r="BC166" s="405">
        <v>0</v>
      </c>
      <c r="BD166" s="405">
        <v>18317091</v>
      </c>
      <c r="BE166" s="405">
        <v>4216086</v>
      </c>
      <c r="BF166" s="405">
        <v>0</v>
      </c>
      <c r="BG166" s="405">
        <v>1540777</v>
      </c>
      <c r="BH166" s="405">
        <v>34650648</v>
      </c>
      <c r="BI166" s="405">
        <v>0</v>
      </c>
      <c r="BJ166" s="405">
        <v>45133230</v>
      </c>
      <c r="BK166" s="405">
        <v>9286867</v>
      </c>
      <c r="BL166" s="405">
        <v>0</v>
      </c>
      <c r="BM166" s="405">
        <v>0</v>
      </c>
      <c r="BN166" s="405">
        <v>85120810</v>
      </c>
      <c r="BO166" s="405">
        <v>112591653</v>
      </c>
      <c r="BP166" s="405">
        <v>0</v>
      </c>
      <c r="BQ166" s="405">
        <v>37813328</v>
      </c>
      <c r="BR166" s="405">
        <v>0</v>
      </c>
      <c r="BS166" s="405">
        <v>4659784</v>
      </c>
      <c r="BT166" s="405">
        <v>35976834</v>
      </c>
      <c r="BU166" s="405">
        <v>0</v>
      </c>
      <c r="BV166" s="405">
        <v>35835150</v>
      </c>
      <c r="BW166" s="405">
        <v>4775036</v>
      </c>
      <c r="BX166" s="405">
        <v>0</v>
      </c>
      <c r="BY166" s="405">
        <v>23947017</v>
      </c>
      <c r="BZ166" s="405">
        <v>0</v>
      </c>
      <c r="CA166" s="405">
        <v>146210249</v>
      </c>
      <c r="CB166" s="405">
        <v>0</v>
      </c>
      <c r="CC166" s="405">
        <v>0</v>
      </c>
      <c r="CD166" s="405">
        <v>2049524</v>
      </c>
      <c r="CE166" s="405">
        <v>0</v>
      </c>
      <c r="CF166" s="405">
        <v>0</v>
      </c>
    </row>
    <row r="167" spans="1:84" s="405" customFormat="1" x14ac:dyDescent="0.3">
      <c r="A167" s="405">
        <v>517</v>
      </c>
      <c r="B167" s="406">
        <v>517</v>
      </c>
      <c r="C167" s="405">
        <v>517</v>
      </c>
      <c r="D167" s="405" t="s">
        <v>279</v>
      </c>
      <c r="E167" s="405" t="s">
        <v>484</v>
      </c>
      <c r="F167" s="405">
        <v>0</v>
      </c>
      <c r="G167" s="405">
        <v>0</v>
      </c>
      <c r="H167" s="405">
        <v>0</v>
      </c>
      <c r="I167" s="405">
        <v>0</v>
      </c>
      <c r="J167" s="405">
        <v>0</v>
      </c>
      <c r="K167" s="405">
        <v>0</v>
      </c>
      <c r="L167" s="405">
        <v>0</v>
      </c>
      <c r="M167" s="405">
        <v>0</v>
      </c>
      <c r="N167" s="405">
        <v>0</v>
      </c>
      <c r="O167" s="405">
        <v>0</v>
      </c>
      <c r="P167" s="405">
        <v>0</v>
      </c>
      <c r="Q167" s="405">
        <v>0</v>
      </c>
      <c r="R167" s="405">
        <v>0</v>
      </c>
      <c r="S167" s="405">
        <v>0</v>
      </c>
      <c r="T167" s="405">
        <v>0</v>
      </c>
      <c r="U167" s="405">
        <v>0</v>
      </c>
      <c r="V167" s="405">
        <v>0</v>
      </c>
      <c r="W167" s="405">
        <v>0</v>
      </c>
      <c r="X167" s="405">
        <v>0</v>
      </c>
      <c r="Y167" s="405">
        <v>0</v>
      </c>
      <c r="Z167" s="405">
        <v>0</v>
      </c>
      <c r="AA167" s="405">
        <v>0</v>
      </c>
      <c r="AB167" s="405">
        <v>92292073</v>
      </c>
      <c r="AC167" s="405">
        <v>0</v>
      </c>
      <c r="AD167" s="405">
        <v>0</v>
      </c>
      <c r="AE167" s="405">
        <v>0</v>
      </c>
      <c r="AF167" s="405">
        <v>0</v>
      </c>
      <c r="AG167" s="405">
        <v>0</v>
      </c>
      <c r="AH167" s="405">
        <v>0</v>
      </c>
      <c r="AI167" s="405">
        <v>0</v>
      </c>
      <c r="AJ167" s="405">
        <v>0</v>
      </c>
      <c r="AK167" s="405">
        <v>0</v>
      </c>
      <c r="AL167" s="405">
        <v>0</v>
      </c>
      <c r="AM167" s="405">
        <v>0</v>
      </c>
      <c r="AN167" s="405">
        <v>0</v>
      </c>
      <c r="AO167" s="405">
        <v>7639707</v>
      </c>
      <c r="AP167" s="405">
        <v>16702448</v>
      </c>
      <c r="AQ167" s="405">
        <v>0</v>
      </c>
      <c r="AR167" s="405">
        <v>0</v>
      </c>
      <c r="AS167" s="405">
        <v>0</v>
      </c>
      <c r="AT167" s="405">
        <v>0</v>
      </c>
      <c r="AU167" s="405">
        <v>0</v>
      </c>
      <c r="AV167" s="405">
        <v>0</v>
      </c>
      <c r="AW167" s="405">
        <v>656214308</v>
      </c>
      <c r="AX167" s="405">
        <v>0</v>
      </c>
      <c r="AY167" s="405">
        <v>0</v>
      </c>
      <c r="AZ167" s="405">
        <v>0</v>
      </c>
      <c r="BA167" s="405">
        <v>0</v>
      </c>
      <c r="BB167" s="405">
        <v>0</v>
      </c>
      <c r="BC167" s="405">
        <v>0</v>
      </c>
      <c r="BD167" s="405">
        <v>0</v>
      </c>
      <c r="BE167" s="405">
        <v>0</v>
      </c>
      <c r="BF167" s="405">
        <v>0</v>
      </c>
      <c r="BG167" s="405">
        <v>0</v>
      </c>
      <c r="BH167" s="405">
        <v>0</v>
      </c>
      <c r="BI167" s="405">
        <v>0</v>
      </c>
      <c r="BJ167" s="405">
        <v>0</v>
      </c>
      <c r="BK167" s="405">
        <v>0</v>
      </c>
      <c r="BL167" s="405">
        <v>0</v>
      </c>
      <c r="BM167" s="405">
        <v>0</v>
      </c>
      <c r="BN167" s="405">
        <v>0</v>
      </c>
      <c r="BO167" s="405">
        <v>0</v>
      </c>
      <c r="BP167" s="405">
        <v>0</v>
      </c>
      <c r="BQ167" s="405">
        <v>102010802</v>
      </c>
      <c r="BR167" s="405">
        <v>388101688</v>
      </c>
      <c r="BS167" s="405">
        <v>0</v>
      </c>
      <c r="BT167" s="405">
        <v>0</v>
      </c>
      <c r="BU167" s="405">
        <v>0</v>
      </c>
      <c r="BV167" s="405">
        <v>2873050</v>
      </c>
      <c r="BW167" s="405">
        <v>0</v>
      </c>
      <c r="BX167" s="405">
        <v>0</v>
      </c>
      <c r="BY167" s="405">
        <v>184026</v>
      </c>
      <c r="BZ167" s="405">
        <v>0</v>
      </c>
      <c r="CA167" s="405">
        <v>0</v>
      </c>
      <c r="CB167" s="405">
        <v>0</v>
      </c>
      <c r="CC167" s="405">
        <v>0</v>
      </c>
      <c r="CD167" s="405">
        <v>0</v>
      </c>
      <c r="CE167" s="405">
        <v>0</v>
      </c>
      <c r="CF167" s="405">
        <v>0</v>
      </c>
    </row>
    <row r="168" spans="1:84" s="405" customFormat="1" x14ac:dyDescent="0.3">
      <c r="A168" s="405">
        <v>518</v>
      </c>
      <c r="B168" s="406">
        <v>518</v>
      </c>
      <c r="C168" s="405">
        <v>518</v>
      </c>
      <c r="D168" s="405" t="s">
        <v>280</v>
      </c>
      <c r="E168" s="405" t="s">
        <v>485</v>
      </c>
      <c r="F168" s="405">
        <v>188865</v>
      </c>
      <c r="G168" s="405">
        <v>757400</v>
      </c>
      <c r="H168" s="405">
        <v>0</v>
      </c>
      <c r="I168" s="405">
        <v>572916</v>
      </c>
      <c r="J168" s="405">
        <v>43672</v>
      </c>
      <c r="K168" s="405">
        <v>0</v>
      </c>
      <c r="L168" s="405">
        <v>0</v>
      </c>
      <c r="M168" s="405">
        <v>0</v>
      </c>
      <c r="N168" s="405">
        <v>2324711</v>
      </c>
      <c r="O168" s="405">
        <v>0</v>
      </c>
      <c r="P168" s="405">
        <v>0</v>
      </c>
      <c r="Q168" s="405">
        <v>0</v>
      </c>
      <c r="R168" s="405">
        <v>12393</v>
      </c>
      <c r="S168" s="405">
        <v>5714411</v>
      </c>
      <c r="T168" s="405">
        <v>0</v>
      </c>
      <c r="U168" s="405">
        <v>110299</v>
      </c>
      <c r="V168" s="405">
        <v>0</v>
      </c>
      <c r="W168" s="405">
        <v>189184</v>
      </c>
      <c r="X168" s="405">
        <v>1587435</v>
      </c>
      <c r="Y168" s="405">
        <v>0</v>
      </c>
      <c r="Z168" s="405">
        <v>0</v>
      </c>
      <c r="AA168" s="405">
        <v>321392</v>
      </c>
      <c r="AB168" s="405">
        <v>2355117</v>
      </c>
      <c r="AC168" s="405">
        <v>0</v>
      </c>
      <c r="AD168" s="405">
        <v>422538</v>
      </c>
      <c r="AE168" s="405">
        <v>0</v>
      </c>
      <c r="AF168" s="405">
        <v>0</v>
      </c>
      <c r="AG168" s="405">
        <v>0</v>
      </c>
      <c r="AH168" s="405">
        <v>20220583</v>
      </c>
      <c r="AI168" s="405">
        <v>0</v>
      </c>
      <c r="AJ168" s="405">
        <v>81308</v>
      </c>
      <c r="AK168" s="405">
        <v>555125</v>
      </c>
      <c r="AL168" s="405">
        <v>0</v>
      </c>
      <c r="AM168" s="405">
        <v>3358</v>
      </c>
      <c r="AN168" s="405">
        <v>0</v>
      </c>
      <c r="AO168" s="405">
        <v>0</v>
      </c>
      <c r="AP168" s="405">
        <v>3017339</v>
      </c>
      <c r="AQ168" s="405">
        <v>0</v>
      </c>
      <c r="AR168" s="405">
        <v>2309484</v>
      </c>
      <c r="AS168" s="405">
        <v>0</v>
      </c>
      <c r="AT168" s="405">
        <v>0</v>
      </c>
      <c r="AU168" s="405">
        <v>0</v>
      </c>
      <c r="AV168" s="405">
        <v>15297</v>
      </c>
      <c r="AW168" s="405">
        <v>132578450</v>
      </c>
      <c r="AX168" s="405">
        <v>25411468</v>
      </c>
      <c r="AY168" s="405">
        <v>310583</v>
      </c>
      <c r="AZ168" s="405">
        <v>200176</v>
      </c>
      <c r="BA168" s="405">
        <v>256189</v>
      </c>
      <c r="BB168" s="405">
        <v>199604</v>
      </c>
      <c r="BC168" s="405">
        <v>0</v>
      </c>
      <c r="BD168" s="405">
        <v>1949129</v>
      </c>
      <c r="BE168" s="405">
        <v>6338</v>
      </c>
      <c r="BF168" s="405">
        <v>0</v>
      </c>
      <c r="BG168" s="405">
        <v>38161</v>
      </c>
      <c r="BH168" s="405">
        <v>3246128</v>
      </c>
      <c r="BI168" s="405">
        <v>0</v>
      </c>
      <c r="BJ168" s="405">
        <v>2872184</v>
      </c>
      <c r="BK168" s="405">
        <v>290213</v>
      </c>
      <c r="BL168" s="405">
        <v>0</v>
      </c>
      <c r="BM168" s="405">
        <v>0</v>
      </c>
      <c r="BN168" s="405">
        <v>5336401</v>
      </c>
      <c r="BO168" s="405">
        <v>19878122</v>
      </c>
      <c r="BP168" s="405">
        <v>0</v>
      </c>
      <c r="BQ168" s="405">
        <v>12599361</v>
      </c>
      <c r="BR168" s="405">
        <v>12934959</v>
      </c>
      <c r="BS168" s="405">
        <v>58883</v>
      </c>
      <c r="BT168" s="405">
        <v>1491555</v>
      </c>
      <c r="BU168" s="405">
        <v>0</v>
      </c>
      <c r="BV168" s="405">
        <v>2950427</v>
      </c>
      <c r="BW168" s="405">
        <v>143491</v>
      </c>
      <c r="BX168" s="405">
        <v>0</v>
      </c>
      <c r="BY168" s="405">
        <v>945725</v>
      </c>
      <c r="BZ168" s="405">
        <v>0</v>
      </c>
      <c r="CA168" s="405">
        <v>11257641</v>
      </c>
      <c r="CB168" s="405">
        <v>0</v>
      </c>
      <c r="CC168" s="405">
        <v>0</v>
      </c>
      <c r="CD168" s="405">
        <v>29283</v>
      </c>
      <c r="CE168" s="405">
        <v>0</v>
      </c>
      <c r="CF168" s="405">
        <v>0</v>
      </c>
    </row>
    <row r="169" spans="1:84" s="405" customFormat="1" x14ac:dyDescent="0.3">
      <c r="A169" s="405">
        <v>519</v>
      </c>
      <c r="B169" s="406">
        <v>519</v>
      </c>
      <c r="C169" s="405">
        <v>519</v>
      </c>
      <c r="D169" s="405" t="s">
        <v>281</v>
      </c>
      <c r="E169" s="405" t="s">
        <v>486</v>
      </c>
      <c r="F169" s="405">
        <v>4088</v>
      </c>
      <c r="G169" s="405">
        <v>0</v>
      </c>
      <c r="H169" s="405">
        <v>0</v>
      </c>
      <c r="I169" s="405">
        <v>11227</v>
      </c>
      <c r="J169" s="405">
        <v>0</v>
      </c>
      <c r="K169" s="405">
        <v>0</v>
      </c>
      <c r="L169" s="405">
        <v>0</v>
      </c>
      <c r="M169" s="405">
        <v>0</v>
      </c>
      <c r="N169" s="405">
        <v>0</v>
      </c>
      <c r="O169" s="405">
        <v>0</v>
      </c>
      <c r="P169" s="405">
        <v>0</v>
      </c>
      <c r="Q169" s="405">
        <v>0</v>
      </c>
      <c r="R169" s="405">
        <v>0</v>
      </c>
      <c r="S169" s="405">
        <v>0</v>
      </c>
      <c r="T169" s="405">
        <v>0</v>
      </c>
      <c r="U169" s="405">
        <v>0</v>
      </c>
      <c r="V169" s="405">
        <v>0</v>
      </c>
      <c r="W169" s="405">
        <v>0</v>
      </c>
      <c r="X169" s="405">
        <v>30472</v>
      </c>
      <c r="Y169" s="405">
        <v>0</v>
      </c>
      <c r="Z169" s="405">
        <v>0</v>
      </c>
      <c r="AA169" s="405">
        <v>0</v>
      </c>
      <c r="AB169" s="405">
        <v>979</v>
      </c>
      <c r="AC169" s="405">
        <v>0</v>
      </c>
      <c r="AD169" s="405">
        <v>0</v>
      </c>
      <c r="AE169" s="405">
        <v>0</v>
      </c>
      <c r="AF169" s="405">
        <v>0</v>
      </c>
      <c r="AG169" s="405">
        <v>0</v>
      </c>
      <c r="AH169" s="405">
        <v>1318330</v>
      </c>
      <c r="AI169" s="405">
        <v>0</v>
      </c>
      <c r="AJ169" s="405">
        <v>0</v>
      </c>
      <c r="AK169" s="405">
        <v>2550</v>
      </c>
      <c r="AL169" s="405">
        <v>0</v>
      </c>
      <c r="AM169" s="405">
        <v>0</v>
      </c>
      <c r="AN169" s="405">
        <v>0</v>
      </c>
      <c r="AO169" s="405">
        <v>0</v>
      </c>
      <c r="AP169" s="405">
        <v>235201</v>
      </c>
      <c r="AQ169" s="405">
        <v>0</v>
      </c>
      <c r="AR169" s="405">
        <v>0</v>
      </c>
      <c r="AS169" s="405">
        <v>0</v>
      </c>
      <c r="AT169" s="405">
        <v>0</v>
      </c>
      <c r="AU169" s="405">
        <v>0</v>
      </c>
      <c r="AV169" s="405">
        <v>115</v>
      </c>
      <c r="AW169" s="405">
        <v>7626962</v>
      </c>
      <c r="AX169" s="405">
        <v>147168</v>
      </c>
      <c r="AY169" s="405">
        <v>0</v>
      </c>
      <c r="AZ169" s="405">
        <v>156435</v>
      </c>
      <c r="BA169" s="405">
        <v>19556</v>
      </c>
      <c r="BB169" s="405">
        <v>0</v>
      </c>
      <c r="BC169" s="405">
        <v>0</v>
      </c>
      <c r="BD169" s="405">
        <v>2765</v>
      </c>
      <c r="BE169" s="405">
        <v>0</v>
      </c>
      <c r="BF169" s="405">
        <v>0</v>
      </c>
      <c r="BG169" s="405">
        <v>0</v>
      </c>
      <c r="BH169" s="405">
        <v>155845</v>
      </c>
      <c r="BI169" s="405">
        <v>0</v>
      </c>
      <c r="BJ169" s="405">
        <v>0</v>
      </c>
      <c r="BK169" s="405">
        <v>0</v>
      </c>
      <c r="BL169" s="405">
        <v>0</v>
      </c>
      <c r="BM169" s="405">
        <v>0</v>
      </c>
      <c r="BN169" s="405">
        <v>605771</v>
      </c>
      <c r="BO169" s="405">
        <v>52580</v>
      </c>
      <c r="BP169" s="405">
        <v>0</v>
      </c>
      <c r="BQ169" s="405">
        <v>1369852</v>
      </c>
      <c r="BR169" s="405">
        <v>1531183</v>
      </c>
      <c r="BS169" s="405">
        <v>0</v>
      </c>
      <c r="BT169" s="405">
        <v>0</v>
      </c>
      <c r="BU169" s="405">
        <v>0</v>
      </c>
      <c r="BV169" s="405">
        <v>810285</v>
      </c>
      <c r="BW169" s="405">
        <v>0</v>
      </c>
      <c r="BX169" s="405">
        <v>0</v>
      </c>
      <c r="BY169" s="405">
        <v>0</v>
      </c>
      <c r="BZ169" s="405">
        <v>0</v>
      </c>
      <c r="CA169" s="405">
        <v>5112</v>
      </c>
      <c r="CB169" s="405">
        <v>0</v>
      </c>
      <c r="CC169" s="405">
        <v>0</v>
      </c>
      <c r="CD169" s="405">
        <v>95</v>
      </c>
      <c r="CE169" s="405">
        <v>0</v>
      </c>
      <c r="CF169" s="405">
        <v>0</v>
      </c>
    </row>
    <row r="170" spans="1:84" s="405" customFormat="1" x14ac:dyDescent="0.3">
      <c r="A170" s="405">
        <v>520</v>
      </c>
      <c r="B170" s="406">
        <v>520</v>
      </c>
      <c r="C170" s="405">
        <v>520</v>
      </c>
      <c r="D170" s="405" t="s">
        <v>282</v>
      </c>
      <c r="E170" s="405" t="s">
        <v>487</v>
      </c>
      <c r="F170" s="405">
        <v>149440</v>
      </c>
      <c r="G170" s="405">
        <v>292917</v>
      </c>
      <c r="H170" s="405">
        <v>0</v>
      </c>
      <c r="I170" s="405">
        <v>333133</v>
      </c>
      <c r="J170" s="405">
        <v>196062</v>
      </c>
      <c r="K170" s="405">
        <v>15975</v>
      </c>
      <c r="L170" s="405">
        <v>0</v>
      </c>
      <c r="M170" s="405">
        <v>114122</v>
      </c>
      <c r="N170" s="405">
        <v>932329</v>
      </c>
      <c r="O170" s="405">
        <v>0</v>
      </c>
      <c r="P170" s="405">
        <v>0</v>
      </c>
      <c r="Q170" s="405">
        <v>0</v>
      </c>
      <c r="R170" s="405">
        <v>104793</v>
      </c>
      <c r="S170" s="405">
        <v>1165630</v>
      </c>
      <c r="T170" s="405">
        <v>0</v>
      </c>
      <c r="U170" s="405">
        <v>117553</v>
      </c>
      <c r="V170" s="405">
        <v>0</v>
      </c>
      <c r="W170" s="405">
        <v>43797</v>
      </c>
      <c r="X170" s="405">
        <v>594112</v>
      </c>
      <c r="Y170" s="405">
        <v>0</v>
      </c>
      <c r="Z170" s="405">
        <v>0</v>
      </c>
      <c r="AA170" s="405">
        <v>281121</v>
      </c>
      <c r="AB170" s="405">
        <v>1273647</v>
      </c>
      <c r="AC170" s="405">
        <v>69505</v>
      </c>
      <c r="AD170" s="405">
        <v>53800</v>
      </c>
      <c r="AE170" s="405">
        <v>0</v>
      </c>
      <c r="AF170" s="405">
        <v>0</v>
      </c>
      <c r="AG170" s="405">
        <v>0</v>
      </c>
      <c r="AH170" s="405">
        <v>2962633</v>
      </c>
      <c r="AI170" s="405">
        <v>0</v>
      </c>
      <c r="AJ170" s="405">
        <v>43497</v>
      </c>
      <c r="AK170" s="405">
        <v>43908</v>
      </c>
      <c r="AL170" s="405">
        <v>71782</v>
      </c>
      <c r="AM170" s="405">
        <v>5375</v>
      </c>
      <c r="AN170" s="405">
        <v>0</v>
      </c>
      <c r="AO170" s="405">
        <v>0</v>
      </c>
      <c r="AP170" s="405">
        <v>355431</v>
      </c>
      <c r="AQ170" s="405">
        <v>0</v>
      </c>
      <c r="AR170" s="405">
        <v>555046</v>
      </c>
      <c r="AS170" s="405">
        <v>0</v>
      </c>
      <c r="AT170" s="405">
        <v>0</v>
      </c>
      <c r="AU170" s="405">
        <v>0</v>
      </c>
      <c r="AV170" s="405">
        <v>102454</v>
      </c>
      <c r="AW170" s="405">
        <v>3543794</v>
      </c>
      <c r="AX170" s="405">
        <v>9168476</v>
      </c>
      <c r="AY170" s="405">
        <v>124405</v>
      </c>
      <c r="AZ170" s="405">
        <v>0</v>
      </c>
      <c r="BA170" s="405">
        <v>50311</v>
      </c>
      <c r="BB170" s="405">
        <v>90736</v>
      </c>
      <c r="BC170" s="405">
        <v>0</v>
      </c>
      <c r="BD170" s="405">
        <v>485660</v>
      </c>
      <c r="BE170" s="405">
        <v>140536</v>
      </c>
      <c r="BF170" s="405">
        <v>0</v>
      </c>
      <c r="BG170" s="405">
        <v>40141</v>
      </c>
      <c r="BH170" s="405">
        <v>1138757</v>
      </c>
      <c r="BI170" s="405">
        <v>0</v>
      </c>
      <c r="BJ170" s="405">
        <v>1004800</v>
      </c>
      <c r="BK170" s="405">
        <v>188619</v>
      </c>
      <c r="BL170" s="405">
        <v>0</v>
      </c>
      <c r="BM170" s="405">
        <v>0</v>
      </c>
      <c r="BN170" s="405">
        <v>1352900</v>
      </c>
      <c r="BO170" s="405">
        <v>2533527</v>
      </c>
      <c r="BP170" s="405">
        <v>0</v>
      </c>
      <c r="BQ170" s="405">
        <v>572756</v>
      </c>
      <c r="BR170" s="405">
        <v>0</v>
      </c>
      <c r="BS170" s="405">
        <v>91856</v>
      </c>
      <c r="BT170" s="405">
        <v>785182</v>
      </c>
      <c r="BU170" s="405">
        <v>0</v>
      </c>
      <c r="BV170" s="405">
        <v>651053</v>
      </c>
      <c r="BW170" s="405">
        <v>136277</v>
      </c>
      <c r="BX170" s="405">
        <v>0</v>
      </c>
      <c r="BY170" s="405">
        <v>478940</v>
      </c>
      <c r="BZ170" s="405">
        <v>0</v>
      </c>
      <c r="CA170" s="405">
        <v>3669095</v>
      </c>
      <c r="CB170" s="405">
        <v>0</v>
      </c>
      <c r="CC170" s="405">
        <v>0</v>
      </c>
      <c r="CD170" s="405">
        <v>43621</v>
      </c>
      <c r="CE170" s="405">
        <v>0</v>
      </c>
      <c r="CF170" s="405">
        <v>0</v>
      </c>
    </row>
    <row r="171" spans="1:84" s="405" customFormat="1" x14ac:dyDescent="0.3">
      <c r="A171" s="405">
        <v>521</v>
      </c>
      <c r="B171" s="406">
        <v>521</v>
      </c>
      <c r="C171" s="405">
        <v>521</v>
      </c>
      <c r="D171" s="405" t="s">
        <v>283</v>
      </c>
      <c r="E171" s="405" t="s">
        <v>488</v>
      </c>
      <c r="F171" s="405">
        <v>0</v>
      </c>
      <c r="G171" s="405">
        <v>0</v>
      </c>
      <c r="H171" s="405">
        <v>0</v>
      </c>
      <c r="I171" s="405">
        <v>0</v>
      </c>
      <c r="J171" s="405">
        <v>0</v>
      </c>
      <c r="K171" s="405">
        <v>0</v>
      </c>
      <c r="L171" s="405">
        <v>0</v>
      </c>
      <c r="M171" s="405">
        <v>1108</v>
      </c>
      <c r="N171" s="405">
        <v>0</v>
      </c>
      <c r="O171" s="405">
        <v>0</v>
      </c>
      <c r="P171" s="405">
        <v>0</v>
      </c>
      <c r="Q171" s="405">
        <v>0</v>
      </c>
      <c r="R171" s="405">
        <v>0</v>
      </c>
      <c r="S171" s="405">
        <v>0</v>
      </c>
      <c r="T171" s="405">
        <v>0</v>
      </c>
      <c r="U171" s="405">
        <v>0</v>
      </c>
      <c r="V171" s="405">
        <v>0</v>
      </c>
      <c r="W171" s="405">
        <v>0</v>
      </c>
      <c r="X171" s="405">
        <v>0</v>
      </c>
      <c r="Y171" s="405">
        <v>0</v>
      </c>
      <c r="Z171" s="405">
        <v>0</v>
      </c>
      <c r="AA171" s="405">
        <v>0</v>
      </c>
      <c r="AB171" s="405">
        <v>2798748</v>
      </c>
      <c r="AC171" s="405">
        <v>0</v>
      </c>
      <c r="AD171" s="405">
        <v>0</v>
      </c>
      <c r="AE171" s="405">
        <v>0</v>
      </c>
      <c r="AF171" s="405">
        <v>0</v>
      </c>
      <c r="AG171" s="405">
        <v>0</v>
      </c>
      <c r="AH171" s="405">
        <v>0</v>
      </c>
      <c r="AI171" s="405">
        <v>0</v>
      </c>
      <c r="AJ171" s="405">
        <v>0</v>
      </c>
      <c r="AK171" s="405">
        <v>0</v>
      </c>
      <c r="AL171" s="405">
        <v>0</v>
      </c>
      <c r="AM171" s="405">
        <v>0</v>
      </c>
      <c r="AN171" s="405">
        <v>0</v>
      </c>
      <c r="AO171" s="405">
        <v>190993</v>
      </c>
      <c r="AP171" s="405">
        <v>283747</v>
      </c>
      <c r="AQ171" s="405">
        <v>0</v>
      </c>
      <c r="AR171" s="405">
        <v>0</v>
      </c>
      <c r="AS171" s="405">
        <v>0</v>
      </c>
      <c r="AT171" s="405">
        <v>0</v>
      </c>
      <c r="AU171" s="405">
        <v>0</v>
      </c>
      <c r="AV171" s="405">
        <v>0</v>
      </c>
      <c r="AW171" s="405">
        <v>15421312</v>
      </c>
      <c r="AX171" s="405">
        <v>0</v>
      </c>
      <c r="AY171" s="405">
        <v>0</v>
      </c>
      <c r="AZ171" s="405">
        <v>0</v>
      </c>
      <c r="BA171" s="405">
        <v>0</v>
      </c>
      <c r="BB171" s="405">
        <v>0</v>
      </c>
      <c r="BC171" s="405">
        <v>0</v>
      </c>
      <c r="BD171" s="405">
        <v>0</v>
      </c>
      <c r="BE171" s="405">
        <v>0</v>
      </c>
      <c r="BF171" s="405">
        <v>0</v>
      </c>
      <c r="BG171" s="405">
        <v>0</v>
      </c>
      <c r="BH171" s="405">
        <v>0</v>
      </c>
      <c r="BI171" s="405">
        <v>0</v>
      </c>
      <c r="BJ171" s="405">
        <v>0</v>
      </c>
      <c r="BK171" s="405">
        <v>0</v>
      </c>
      <c r="BL171" s="405">
        <v>0</v>
      </c>
      <c r="BM171" s="405">
        <v>0</v>
      </c>
      <c r="BN171" s="405">
        <v>0</v>
      </c>
      <c r="BO171" s="405">
        <v>0</v>
      </c>
      <c r="BP171" s="405">
        <v>0</v>
      </c>
      <c r="BQ171" s="405">
        <v>2028653</v>
      </c>
      <c r="BR171" s="405">
        <v>10663528</v>
      </c>
      <c r="BS171" s="405">
        <v>0</v>
      </c>
      <c r="BT171" s="405">
        <v>0</v>
      </c>
      <c r="BU171" s="405">
        <v>0</v>
      </c>
      <c r="BV171" s="405">
        <v>70568</v>
      </c>
      <c r="BW171" s="405">
        <v>0</v>
      </c>
      <c r="BX171" s="405">
        <v>0</v>
      </c>
      <c r="BY171" s="405">
        <v>3681</v>
      </c>
      <c r="BZ171" s="405">
        <v>0</v>
      </c>
      <c r="CA171" s="405">
        <v>0</v>
      </c>
      <c r="CB171" s="405">
        <v>0</v>
      </c>
      <c r="CC171" s="405">
        <v>0</v>
      </c>
      <c r="CD171" s="405">
        <v>0</v>
      </c>
      <c r="CE171" s="405">
        <v>0</v>
      </c>
      <c r="CF171" s="405">
        <v>0</v>
      </c>
    </row>
    <row r="172" spans="1:84" s="405" customFormat="1" x14ac:dyDescent="0.3">
      <c r="A172" s="405">
        <v>522</v>
      </c>
      <c r="B172" s="406">
        <v>522</v>
      </c>
      <c r="C172" s="405">
        <v>522</v>
      </c>
      <c r="D172" s="405" t="s">
        <v>284</v>
      </c>
      <c r="E172" s="405" t="s">
        <v>489</v>
      </c>
      <c r="F172" s="405">
        <v>0</v>
      </c>
      <c r="G172" s="405">
        <v>18634</v>
      </c>
      <c r="H172" s="405">
        <v>0</v>
      </c>
      <c r="I172" s="405">
        <v>24071</v>
      </c>
      <c r="J172" s="405">
        <v>4893</v>
      </c>
      <c r="K172" s="405">
        <v>0</v>
      </c>
      <c r="L172" s="405">
        <v>0</v>
      </c>
      <c r="M172" s="405">
        <v>0</v>
      </c>
      <c r="N172" s="405">
        <v>166927</v>
      </c>
      <c r="O172" s="405">
        <v>0</v>
      </c>
      <c r="P172" s="405">
        <v>0</v>
      </c>
      <c r="Q172" s="405">
        <v>0</v>
      </c>
      <c r="R172" s="405">
        <v>2112</v>
      </c>
      <c r="S172" s="405">
        <v>184868</v>
      </c>
      <c r="T172" s="405">
        <v>0</v>
      </c>
      <c r="U172" s="405">
        <v>141</v>
      </c>
      <c r="V172" s="405">
        <v>0</v>
      </c>
      <c r="W172" s="405">
        <v>11063</v>
      </c>
      <c r="X172" s="405">
        <v>66671</v>
      </c>
      <c r="Y172" s="405">
        <v>0</v>
      </c>
      <c r="Z172" s="405">
        <v>0</v>
      </c>
      <c r="AA172" s="405">
        <v>5938</v>
      </c>
      <c r="AB172" s="405">
        <v>250450</v>
      </c>
      <c r="AC172" s="405">
        <v>0</v>
      </c>
      <c r="AD172" s="405">
        <v>19478</v>
      </c>
      <c r="AE172" s="405">
        <v>0</v>
      </c>
      <c r="AF172" s="405">
        <v>0</v>
      </c>
      <c r="AG172" s="405">
        <v>0</v>
      </c>
      <c r="AH172" s="405">
        <v>673314</v>
      </c>
      <c r="AI172" s="405">
        <v>0</v>
      </c>
      <c r="AJ172" s="405">
        <v>2230</v>
      </c>
      <c r="AK172" s="405">
        <v>40488</v>
      </c>
      <c r="AL172" s="405">
        <v>0</v>
      </c>
      <c r="AM172" s="405">
        <v>0</v>
      </c>
      <c r="AN172" s="405">
        <v>0</v>
      </c>
      <c r="AO172" s="405">
        <v>0</v>
      </c>
      <c r="AP172" s="405">
        <v>128515</v>
      </c>
      <c r="AQ172" s="405">
        <v>0</v>
      </c>
      <c r="AR172" s="405">
        <v>139395</v>
      </c>
      <c r="AS172" s="405">
        <v>0</v>
      </c>
      <c r="AT172" s="405">
        <v>0</v>
      </c>
      <c r="AU172" s="405">
        <v>0</v>
      </c>
      <c r="AV172" s="405">
        <v>0</v>
      </c>
      <c r="AW172" s="405">
        <v>3408912</v>
      </c>
      <c r="AX172" s="405">
        <v>1249981</v>
      </c>
      <c r="AY172" s="405">
        <v>41821</v>
      </c>
      <c r="AZ172" s="405">
        <v>4086</v>
      </c>
      <c r="BA172" s="405">
        <v>9655</v>
      </c>
      <c r="BB172" s="405">
        <v>9328</v>
      </c>
      <c r="BC172" s="405">
        <v>0</v>
      </c>
      <c r="BD172" s="405">
        <v>144837</v>
      </c>
      <c r="BE172" s="405">
        <v>906</v>
      </c>
      <c r="BF172" s="405">
        <v>0</v>
      </c>
      <c r="BG172" s="405">
        <v>0</v>
      </c>
      <c r="BH172" s="405">
        <v>326540</v>
      </c>
      <c r="BI172" s="405">
        <v>0</v>
      </c>
      <c r="BJ172" s="405">
        <v>191744</v>
      </c>
      <c r="BK172" s="405">
        <v>12809</v>
      </c>
      <c r="BL172" s="405">
        <v>0</v>
      </c>
      <c r="BM172" s="405">
        <v>0</v>
      </c>
      <c r="BN172" s="405">
        <v>286217</v>
      </c>
      <c r="BO172" s="405">
        <v>681503</v>
      </c>
      <c r="BP172" s="405">
        <v>0</v>
      </c>
      <c r="BQ172" s="405">
        <v>1224009</v>
      </c>
      <c r="BR172" s="405">
        <v>528183</v>
      </c>
      <c r="BS172" s="405">
        <v>0</v>
      </c>
      <c r="BT172" s="405">
        <v>93288</v>
      </c>
      <c r="BU172" s="405">
        <v>0</v>
      </c>
      <c r="BV172" s="405">
        <v>220727</v>
      </c>
      <c r="BW172" s="405">
        <v>94</v>
      </c>
      <c r="BX172" s="405">
        <v>0</v>
      </c>
      <c r="BY172" s="405">
        <v>60034</v>
      </c>
      <c r="BZ172" s="405">
        <v>0</v>
      </c>
      <c r="CA172" s="405">
        <v>556364</v>
      </c>
      <c r="CB172" s="405">
        <v>0</v>
      </c>
      <c r="CC172" s="405">
        <v>0</v>
      </c>
      <c r="CD172" s="405">
        <v>4657</v>
      </c>
      <c r="CE172" s="405">
        <v>0</v>
      </c>
      <c r="CF172" s="405">
        <v>0</v>
      </c>
    </row>
    <row r="173" spans="1:84" s="405" customFormat="1" x14ac:dyDescent="0.3">
      <c r="A173" s="405">
        <v>523</v>
      </c>
      <c r="B173" s="406">
        <v>523</v>
      </c>
      <c r="C173" s="405">
        <v>523</v>
      </c>
      <c r="D173" s="405" t="s">
        <v>285</v>
      </c>
      <c r="E173" s="405" t="s">
        <v>490</v>
      </c>
      <c r="F173" s="405">
        <v>9880</v>
      </c>
      <c r="G173" s="405">
        <v>12758</v>
      </c>
      <c r="H173" s="405">
        <v>0</v>
      </c>
      <c r="I173" s="405">
        <v>401216</v>
      </c>
      <c r="J173" s="405">
        <v>0</v>
      </c>
      <c r="K173" s="405">
        <v>0</v>
      </c>
      <c r="L173" s="405">
        <v>0</v>
      </c>
      <c r="M173" s="405">
        <v>0</v>
      </c>
      <c r="N173" s="405">
        <v>0</v>
      </c>
      <c r="O173" s="405">
        <v>0</v>
      </c>
      <c r="P173" s="405">
        <v>0</v>
      </c>
      <c r="Q173" s="405">
        <v>0</v>
      </c>
      <c r="R173" s="405">
        <v>0</v>
      </c>
      <c r="S173" s="405">
        <v>0</v>
      </c>
      <c r="T173" s="405">
        <v>0</v>
      </c>
      <c r="U173" s="405">
        <v>0</v>
      </c>
      <c r="V173" s="405">
        <v>0</v>
      </c>
      <c r="W173" s="405">
        <v>0</v>
      </c>
      <c r="X173" s="405">
        <v>148152</v>
      </c>
      <c r="Y173" s="405">
        <v>0</v>
      </c>
      <c r="Z173" s="405">
        <v>0</v>
      </c>
      <c r="AA173" s="405">
        <v>0</v>
      </c>
      <c r="AB173" s="405">
        <v>28808</v>
      </c>
      <c r="AC173" s="405">
        <v>0</v>
      </c>
      <c r="AD173" s="405">
        <v>0</v>
      </c>
      <c r="AE173" s="405">
        <v>0</v>
      </c>
      <c r="AF173" s="405">
        <v>0</v>
      </c>
      <c r="AG173" s="405">
        <v>0</v>
      </c>
      <c r="AH173" s="405">
        <v>40175516</v>
      </c>
      <c r="AI173" s="405">
        <v>0</v>
      </c>
      <c r="AJ173" s="405">
        <v>0</v>
      </c>
      <c r="AK173" s="405">
        <v>34505</v>
      </c>
      <c r="AL173" s="405">
        <v>0</v>
      </c>
      <c r="AM173" s="405">
        <v>0</v>
      </c>
      <c r="AN173" s="405">
        <v>0</v>
      </c>
      <c r="AO173" s="405">
        <v>0</v>
      </c>
      <c r="AP173" s="405">
        <v>7718112</v>
      </c>
      <c r="AQ173" s="405">
        <v>0</v>
      </c>
      <c r="AR173" s="405">
        <v>0</v>
      </c>
      <c r="AS173" s="405">
        <v>0</v>
      </c>
      <c r="AT173" s="405">
        <v>0</v>
      </c>
      <c r="AU173" s="405">
        <v>0</v>
      </c>
      <c r="AV173" s="405">
        <v>371872</v>
      </c>
      <c r="AW173" s="405">
        <v>104352679</v>
      </c>
      <c r="AX173" s="405">
        <v>2489638</v>
      </c>
      <c r="AY173" s="405">
        <v>0</v>
      </c>
      <c r="AZ173" s="405">
        <v>2101179</v>
      </c>
      <c r="BA173" s="405">
        <v>153187</v>
      </c>
      <c r="BB173" s="405">
        <v>0</v>
      </c>
      <c r="BC173" s="405">
        <v>0</v>
      </c>
      <c r="BD173" s="405">
        <v>78531</v>
      </c>
      <c r="BE173" s="405">
        <v>0</v>
      </c>
      <c r="BF173" s="405">
        <v>0</v>
      </c>
      <c r="BG173" s="405">
        <v>0</v>
      </c>
      <c r="BH173" s="405">
        <v>546231</v>
      </c>
      <c r="BI173" s="405">
        <v>0</v>
      </c>
      <c r="BJ173" s="405">
        <v>0</v>
      </c>
      <c r="BK173" s="405">
        <v>0</v>
      </c>
      <c r="BL173" s="405">
        <v>0</v>
      </c>
      <c r="BM173" s="405">
        <v>0</v>
      </c>
      <c r="BN173" s="405">
        <v>19619117</v>
      </c>
      <c r="BO173" s="405">
        <v>828872</v>
      </c>
      <c r="BP173" s="405">
        <v>0</v>
      </c>
      <c r="BQ173" s="405">
        <v>23771423</v>
      </c>
      <c r="BR173" s="405">
        <v>48349521</v>
      </c>
      <c r="BS173" s="405">
        <v>857</v>
      </c>
      <c r="BT173" s="405">
        <v>0</v>
      </c>
      <c r="BU173" s="405">
        <v>0</v>
      </c>
      <c r="BV173" s="405">
        <v>11004769</v>
      </c>
      <c r="BW173" s="405">
        <v>0</v>
      </c>
      <c r="BX173" s="405">
        <v>0</v>
      </c>
      <c r="BY173" s="405">
        <v>0</v>
      </c>
      <c r="BZ173" s="405">
        <v>0</v>
      </c>
      <c r="CA173" s="405">
        <v>82639</v>
      </c>
      <c r="CB173" s="405">
        <v>0</v>
      </c>
      <c r="CC173" s="405">
        <v>0</v>
      </c>
      <c r="CD173" s="405">
        <v>117875</v>
      </c>
      <c r="CE173" s="405">
        <v>0</v>
      </c>
      <c r="CF173" s="405">
        <v>0</v>
      </c>
    </row>
    <row r="174" spans="1:84" s="405" customFormat="1" x14ac:dyDescent="0.3">
      <c r="A174" s="405">
        <v>524</v>
      </c>
      <c r="B174" s="406">
        <v>524</v>
      </c>
      <c r="C174" s="405">
        <v>524</v>
      </c>
      <c r="D174" s="405" t="s">
        <v>286</v>
      </c>
      <c r="E174" s="405" t="s">
        <v>491</v>
      </c>
      <c r="F174" s="405">
        <v>2418497</v>
      </c>
      <c r="G174" s="405">
        <v>6447785</v>
      </c>
      <c r="H174" s="405">
        <v>0</v>
      </c>
      <c r="I174" s="405">
        <v>5920692</v>
      </c>
      <c r="J174" s="405">
        <v>3312849</v>
      </c>
      <c r="K174" s="405">
        <v>748535</v>
      </c>
      <c r="L174" s="405">
        <v>0</v>
      </c>
      <c r="M174" s="405">
        <v>1604152</v>
      </c>
      <c r="N174" s="405">
        <v>16638920</v>
      </c>
      <c r="O174" s="405">
        <v>0</v>
      </c>
      <c r="P174" s="405">
        <v>0</v>
      </c>
      <c r="Q174" s="405">
        <v>0</v>
      </c>
      <c r="R174" s="405">
        <v>197928</v>
      </c>
      <c r="S174" s="405">
        <v>25589692</v>
      </c>
      <c r="T174" s="405">
        <v>0</v>
      </c>
      <c r="U174" s="405">
        <v>2963114</v>
      </c>
      <c r="V174" s="405">
        <v>0</v>
      </c>
      <c r="W174" s="405">
        <v>1108938</v>
      </c>
      <c r="X174" s="405">
        <v>11220063</v>
      </c>
      <c r="Y174" s="405">
        <v>0</v>
      </c>
      <c r="Z174" s="405">
        <v>0</v>
      </c>
      <c r="AA174" s="405">
        <v>5388423</v>
      </c>
      <c r="AB174" s="405">
        <v>9893470</v>
      </c>
      <c r="AC174" s="405">
        <v>1164416</v>
      </c>
      <c r="AD174" s="405">
        <v>1148030</v>
      </c>
      <c r="AE174" s="405">
        <v>0</v>
      </c>
      <c r="AF174" s="405">
        <v>0</v>
      </c>
      <c r="AG174" s="405">
        <v>0</v>
      </c>
      <c r="AH174" s="405">
        <v>79799455</v>
      </c>
      <c r="AI174" s="405">
        <v>0</v>
      </c>
      <c r="AJ174" s="405">
        <v>1514256</v>
      </c>
      <c r="AK174" s="405">
        <v>2035090</v>
      </c>
      <c r="AL174" s="405">
        <v>1418287</v>
      </c>
      <c r="AM174" s="405">
        <v>145127</v>
      </c>
      <c r="AN174" s="405">
        <v>0</v>
      </c>
      <c r="AO174" s="405">
        <v>0</v>
      </c>
      <c r="AP174" s="405">
        <v>8415968</v>
      </c>
      <c r="AQ174" s="405">
        <v>0</v>
      </c>
      <c r="AR174" s="405">
        <v>13997685</v>
      </c>
      <c r="AS174" s="405">
        <v>0</v>
      </c>
      <c r="AT174" s="405">
        <v>0</v>
      </c>
      <c r="AU174" s="405">
        <v>0</v>
      </c>
      <c r="AV174" s="405">
        <v>1290300</v>
      </c>
      <c r="AW174" s="405">
        <v>35107960</v>
      </c>
      <c r="AX174" s="405">
        <v>164399434</v>
      </c>
      <c r="AY174" s="405">
        <v>3514677</v>
      </c>
      <c r="AZ174" s="405">
        <v>0</v>
      </c>
      <c r="BA174" s="405">
        <v>1786951</v>
      </c>
      <c r="BB174" s="405">
        <v>1299141</v>
      </c>
      <c r="BC174" s="405">
        <v>0</v>
      </c>
      <c r="BD174" s="405">
        <v>14253402</v>
      </c>
      <c r="BE174" s="405">
        <v>1264827</v>
      </c>
      <c r="BF174" s="405">
        <v>0</v>
      </c>
      <c r="BG174" s="405">
        <v>959040</v>
      </c>
      <c r="BH174" s="405">
        <v>12629673</v>
      </c>
      <c r="BI174" s="405">
        <v>0</v>
      </c>
      <c r="BJ174" s="405">
        <v>22695285</v>
      </c>
      <c r="BK174" s="405">
        <v>5041631</v>
      </c>
      <c r="BL174" s="405">
        <v>0</v>
      </c>
      <c r="BM174" s="405">
        <v>0</v>
      </c>
      <c r="BN174" s="405">
        <v>19185719</v>
      </c>
      <c r="BO174" s="405">
        <v>42606648</v>
      </c>
      <c r="BP174" s="405">
        <v>0</v>
      </c>
      <c r="BQ174" s="405">
        <v>18723474</v>
      </c>
      <c r="BR174" s="405">
        <v>0</v>
      </c>
      <c r="BS174" s="405">
        <v>955503</v>
      </c>
      <c r="BT174" s="405">
        <v>11811133</v>
      </c>
      <c r="BU174" s="405">
        <v>0</v>
      </c>
      <c r="BV174" s="405">
        <v>10536036</v>
      </c>
      <c r="BW174" s="405">
        <v>2403796</v>
      </c>
      <c r="BX174" s="405">
        <v>0</v>
      </c>
      <c r="BY174" s="405">
        <v>7267484</v>
      </c>
      <c r="BZ174" s="405">
        <v>0</v>
      </c>
      <c r="CA174" s="405">
        <v>39591342</v>
      </c>
      <c r="CB174" s="405">
        <v>0</v>
      </c>
      <c r="CC174" s="405">
        <v>0</v>
      </c>
      <c r="CD174" s="405">
        <v>1247190</v>
      </c>
      <c r="CE174" s="405">
        <v>0</v>
      </c>
      <c r="CF174" s="405">
        <v>0</v>
      </c>
    </row>
    <row r="175" spans="1:84" s="405" customFormat="1" x14ac:dyDescent="0.3">
      <c r="A175" s="405">
        <v>525</v>
      </c>
      <c r="B175" s="406">
        <v>525</v>
      </c>
      <c r="C175" s="405">
        <v>525</v>
      </c>
      <c r="D175" s="405" t="s">
        <v>287</v>
      </c>
      <c r="E175" s="405" t="s">
        <v>492</v>
      </c>
      <c r="F175" s="405">
        <v>0</v>
      </c>
      <c r="G175" s="405">
        <v>0</v>
      </c>
      <c r="H175" s="405">
        <v>0</v>
      </c>
      <c r="I175" s="405">
        <v>0</v>
      </c>
      <c r="J175" s="405">
        <v>0</v>
      </c>
      <c r="K175" s="405">
        <v>0</v>
      </c>
      <c r="L175" s="405">
        <v>0</v>
      </c>
      <c r="M175" s="405">
        <v>0</v>
      </c>
      <c r="N175" s="405">
        <v>0</v>
      </c>
      <c r="O175" s="405">
        <v>0</v>
      </c>
      <c r="P175" s="405">
        <v>0</v>
      </c>
      <c r="Q175" s="405">
        <v>0</v>
      </c>
      <c r="R175" s="405">
        <v>0</v>
      </c>
      <c r="S175" s="405">
        <v>0</v>
      </c>
      <c r="T175" s="405">
        <v>0</v>
      </c>
      <c r="U175" s="405">
        <v>0</v>
      </c>
      <c r="V175" s="405">
        <v>0</v>
      </c>
      <c r="W175" s="405">
        <v>0</v>
      </c>
      <c r="X175" s="405">
        <v>0</v>
      </c>
      <c r="Y175" s="405">
        <v>0</v>
      </c>
      <c r="Z175" s="405">
        <v>0</v>
      </c>
      <c r="AA175" s="405">
        <v>0</v>
      </c>
      <c r="AB175" s="405">
        <v>35101729</v>
      </c>
      <c r="AC175" s="405">
        <v>0</v>
      </c>
      <c r="AD175" s="405">
        <v>0</v>
      </c>
      <c r="AE175" s="405">
        <v>0</v>
      </c>
      <c r="AF175" s="405">
        <v>0</v>
      </c>
      <c r="AG175" s="405">
        <v>0</v>
      </c>
      <c r="AH175" s="405">
        <v>0</v>
      </c>
      <c r="AI175" s="405">
        <v>0</v>
      </c>
      <c r="AJ175" s="405">
        <v>0</v>
      </c>
      <c r="AK175" s="405">
        <v>0</v>
      </c>
      <c r="AL175" s="405">
        <v>0</v>
      </c>
      <c r="AM175" s="405">
        <v>0</v>
      </c>
      <c r="AN175" s="405">
        <v>0</v>
      </c>
      <c r="AO175" s="405">
        <v>742102</v>
      </c>
      <c r="AP175" s="405">
        <v>4735810</v>
      </c>
      <c r="AQ175" s="405">
        <v>0</v>
      </c>
      <c r="AR175" s="405">
        <v>0</v>
      </c>
      <c r="AS175" s="405">
        <v>0</v>
      </c>
      <c r="AT175" s="405">
        <v>0</v>
      </c>
      <c r="AU175" s="405">
        <v>0</v>
      </c>
      <c r="AV175" s="405">
        <v>0</v>
      </c>
      <c r="AW175" s="405">
        <v>296022366</v>
      </c>
      <c r="AX175" s="405">
        <v>0</v>
      </c>
      <c r="AY175" s="405">
        <v>0</v>
      </c>
      <c r="AZ175" s="405">
        <v>0</v>
      </c>
      <c r="BA175" s="405">
        <v>0</v>
      </c>
      <c r="BB175" s="405">
        <v>0</v>
      </c>
      <c r="BC175" s="405">
        <v>0</v>
      </c>
      <c r="BD175" s="405">
        <v>0</v>
      </c>
      <c r="BE175" s="405">
        <v>0</v>
      </c>
      <c r="BF175" s="405">
        <v>0</v>
      </c>
      <c r="BG175" s="405">
        <v>0</v>
      </c>
      <c r="BH175" s="405">
        <v>0</v>
      </c>
      <c r="BI175" s="405">
        <v>0</v>
      </c>
      <c r="BJ175" s="405">
        <v>0</v>
      </c>
      <c r="BK175" s="405">
        <v>0</v>
      </c>
      <c r="BL175" s="405">
        <v>0</v>
      </c>
      <c r="BM175" s="405">
        <v>0</v>
      </c>
      <c r="BN175" s="405">
        <v>0</v>
      </c>
      <c r="BO175" s="405">
        <v>0</v>
      </c>
      <c r="BP175" s="405">
        <v>0</v>
      </c>
      <c r="BQ175" s="405">
        <v>41263420</v>
      </c>
      <c r="BR175" s="405">
        <v>192424052</v>
      </c>
      <c r="BS175" s="405">
        <v>0</v>
      </c>
      <c r="BT175" s="405">
        <v>0</v>
      </c>
      <c r="BU175" s="405">
        <v>0</v>
      </c>
      <c r="BV175" s="405">
        <v>477419</v>
      </c>
      <c r="BW175" s="405">
        <v>0</v>
      </c>
      <c r="BX175" s="405">
        <v>0</v>
      </c>
      <c r="BY175" s="405">
        <v>54921</v>
      </c>
      <c r="BZ175" s="405">
        <v>0</v>
      </c>
      <c r="CA175" s="405">
        <v>0</v>
      </c>
      <c r="CB175" s="405">
        <v>0</v>
      </c>
      <c r="CC175" s="405">
        <v>0</v>
      </c>
      <c r="CD175" s="405">
        <v>0</v>
      </c>
      <c r="CE175" s="405">
        <v>0</v>
      </c>
      <c r="CF175" s="405">
        <v>0</v>
      </c>
    </row>
    <row r="176" spans="1:84" s="405" customFormat="1" x14ac:dyDescent="0.3">
      <c r="A176" s="405">
        <v>526</v>
      </c>
      <c r="B176" s="406">
        <v>526</v>
      </c>
      <c r="C176" s="405">
        <v>526</v>
      </c>
      <c r="D176" s="405" t="s">
        <v>288</v>
      </c>
      <c r="E176" s="405" t="s">
        <v>493</v>
      </c>
      <c r="F176" s="405">
        <v>188865</v>
      </c>
      <c r="G176" s="405">
        <v>662585</v>
      </c>
      <c r="H176" s="405">
        <v>0</v>
      </c>
      <c r="I176" s="405">
        <v>541822</v>
      </c>
      <c r="J176" s="405">
        <v>37457</v>
      </c>
      <c r="K176" s="405">
        <v>0</v>
      </c>
      <c r="L176" s="405">
        <v>0</v>
      </c>
      <c r="M176" s="405">
        <v>0</v>
      </c>
      <c r="N176" s="405">
        <v>1528098</v>
      </c>
      <c r="O176" s="405">
        <v>0</v>
      </c>
      <c r="P176" s="405">
        <v>0</v>
      </c>
      <c r="Q176" s="405">
        <v>0</v>
      </c>
      <c r="R176" s="405">
        <v>4311</v>
      </c>
      <c r="S176" s="405">
        <v>4833143</v>
      </c>
      <c r="T176" s="405">
        <v>0</v>
      </c>
      <c r="U176" s="405">
        <v>110299</v>
      </c>
      <c r="V176" s="405">
        <v>0</v>
      </c>
      <c r="W176" s="405">
        <v>117857</v>
      </c>
      <c r="X176" s="405">
        <v>1341051</v>
      </c>
      <c r="Y176" s="405">
        <v>0</v>
      </c>
      <c r="Z176" s="405">
        <v>0</v>
      </c>
      <c r="AA176" s="405">
        <v>303082</v>
      </c>
      <c r="AB176" s="405">
        <v>1916005</v>
      </c>
      <c r="AC176" s="405">
        <v>0</v>
      </c>
      <c r="AD176" s="405">
        <v>289095</v>
      </c>
      <c r="AE176" s="405">
        <v>0</v>
      </c>
      <c r="AF176" s="405">
        <v>0</v>
      </c>
      <c r="AG176" s="405">
        <v>0</v>
      </c>
      <c r="AH176" s="405">
        <v>13632597</v>
      </c>
      <c r="AI176" s="405">
        <v>0</v>
      </c>
      <c r="AJ176" s="405">
        <v>74617</v>
      </c>
      <c r="AK176" s="405">
        <v>263821</v>
      </c>
      <c r="AL176" s="405">
        <v>0</v>
      </c>
      <c r="AM176" s="405">
        <v>3358</v>
      </c>
      <c r="AN176" s="405">
        <v>0</v>
      </c>
      <c r="AO176" s="405">
        <v>0</v>
      </c>
      <c r="AP176" s="405">
        <v>1609177</v>
      </c>
      <c r="AQ176" s="405">
        <v>0</v>
      </c>
      <c r="AR176" s="405">
        <v>1000390</v>
      </c>
      <c r="AS176" s="405">
        <v>0</v>
      </c>
      <c r="AT176" s="405">
        <v>0</v>
      </c>
      <c r="AU176" s="405">
        <v>0</v>
      </c>
      <c r="AV176" s="405">
        <v>15297</v>
      </c>
      <c r="AW176" s="405">
        <v>40687115</v>
      </c>
      <c r="AX176" s="405">
        <v>16942111</v>
      </c>
      <c r="AY176" s="405">
        <v>196462</v>
      </c>
      <c r="AZ176" s="405">
        <v>168485</v>
      </c>
      <c r="BA176" s="405">
        <v>176580</v>
      </c>
      <c r="BB176" s="405">
        <v>135588</v>
      </c>
      <c r="BC176" s="405">
        <v>0</v>
      </c>
      <c r="BD176" s="405">
        <v>1513701</v>
      </c>
      <c r="BE176" s="405">
        <v>4527</v>
      </c>
      <c r="BF176" s="405">
        <v>0</v>
      </c>
      <c r="BG176" s="405">
        <v>37633</v>
      </c>
      <c r="BH176" s="405">
        <v>1393718</v>
      </c>
      <c r="BI176" s="405">
        <v>0</v>
      </c>
      <c r="BJ176" s="405">
        <v>1793469</v>
      </c>
      <c r="BK176" s="405">
        <v>257725</v>
      </c>
      <c r="BL176" s="405">
        <v>0</v>
      </c>
      <c r="BM176" s="405">
        <v>0</v>
      </c>
      <c r="BN176" s="405">
        <v>4320619</v>
      </c>
      <c r="BO176" s="405">
        <v>16407223</v>
      </c>
      <c r="BP176" s="405">
        <v>0</v>
      </c>
      <c r="BQ176" s="405">
        <v>7014847</v>
      </c>
      <c r="BR176" s="405">
        <v>48524328</v>
      </c>
      <c r="BS176" s="405">
        <v>72910</v>
      </c>
      <c r="BT176" s="405">
        <v>985295</v>
      </c>
      <c r="BU176" s="405">
        <v>0</v>
      </c>
      <c r="BV176" s="405">
        <v>2309112</v>
      </c>
      <c r="BW176" s="405">
        <v>143209</v>
      </c>
      <c r="BX176" s="405">
        <v>0</v>
      </c>
      <c r="BY176" s="405">
        <v>625400</v>
      </c>
      <c r="BZ176" s="405">
        <v>0</v>
      </c>
      <c r="CA176" s="405">
        <v>7147683</v>
      </c>
      <c r="CB176" s="405">
        <v>0</v>
      </c>
      <c r="CC176" s="405">
        <v>0</v>
      </c>
      <c r="CD176" s="405">
        <v>20747</v>
      </c>
      <c r="CE176" s="405">
        <v>0</v>
      </c>
      <c r="CF176" s="405">
        <v>0</v>
      </c>
    </row>
    <row r="177" spans="1:84" s="405" customFormat="1" x14ac:dyDescent="0.3">
      <c r="A177" s="405">
        <v>527</v>
      </c>
      <c r="B177" s="406">
        <v>527</v>
      </c>
      <c r="C177" s="405">
        <v>527</v>
      </c>
      <c r="D177" s="405" t="s">
        <v>289</v>
      </c>
      <c r="E177" s="405" t="s">
        <v>494</v>
      </c>
      <c r="F177" s="405">
        <v>0</v>
      </c>
      <c r="G177" s="405">
        <v>0</v>
      </c>
      <c r="H177" s="405">
        <v>0</v>
      </c>
      <c r="I177" s="405">
        <v>0</v>
      </c>
      <c r="J177" s="405">
        <v>0</v>
      </c>
      <c r="K177" s="405">
        <v>0</v>
      </c>
      <c r="L177" s="405">
        <v>0</v>
      </c>
      <c r="M177" s="405">
        <v>0</v>
      </c>
      <c r="N177" s="405">
        <v>58900</v>
      </c>
      <c r="O177" s="405">
        <v>0</v>
      </c>
      <c r="P177" s="405">
        <v>0</v>
      </c>
      <c r="Q177" s="405">
        <v>0</v>
      </c>
      <c r="R177" s="405">
        <v>0</v>
      </c>
      <c r="S177" s="405">
        <v>115715</v>
      </c>
      <c r="T177" s="405">
        <v>0</v>
      </c>
      <c r="U177" s="405">
        <v>0</v>
      </c>
      <c r="V177" s="405">
        <v>0</v>
      </c>
      <c r="W177" s="405">
        <v>0</v>
      </c>
      <c r="X177" s="405">
        <v>0</v>
      </c>
      <c r="Y177" s="405">
        <v>0</v>
      </c>
      <c r="Z177" s="405">
        <v>0</v>
      </c>
      <c r="AA177" s="405">
        <v>137268</v>
      </c>
      <c r="AB177" s="405">
        <v>0</v>
      </c>
      <c r="AC177" s="405">
        <v>0</v>
      </c>
      <c r="AD177" s="405">
        <v>0</v>
      </c>
      <c r="AE177" s="405">
        <v>0</v>
      </c>
      <c r="AF177" s="405">
        <v>0</v>
      </c>
      <c r="AG177" s="405">
        <v>0</v>
      </c>
      <c r="AH177" s="405">
        <v>10455800</v>
      </c>
      <c r="AI177" s="405">
        <v>0</v>
      </c>
      <c r="AJ177" s="405">
        <v>0</v>
      </c>
      <c r="AK177" s="405">
        <v>0</v>
      </c>
      <c r="AL177" s="405">
        <v>0</v>
      </c>
      <c r="AM177" s="405">
        <v>0</v>
      </c>
      <c r="AN177" s="405">
        <v>0</v>
      </c>
      <c r="AO177" s="405">
        <v>0</v>
      </c>
      <c r="AP177" s="405">
        <v>0</v>
      </c>
      <c r="AQ177" s="405">
        <v>0</v>
      </c>
      <c r="AR177" s="405">
        <v>47400</v>
      </c>
      <c r="AS177" s="405">
        <v>0</v>
      </c>
      <c r="AT177" s="405">
        <v>0</v>
      </c>
      <c r="AU177" s="405">
        <v>0</v>
      </c>
      <c r="AV177" s="405">
        <v>0</v>
      </c>
      <c r="AW177" s="405">
        <v>0</v>
      </c>
      <c r="AX177" s="405">
        <v>31922537</v>
      </c>
      <c r="AY177" s="405">
        <v>0</v>
      </c>
      <c r="AZ177" s="405">
        <v>0</v>
      </c>
      <c r="BA177" s="405">
        <v>0</v>
      </c>
      <c r="BB177" s="405">
        <v>0</v>
      </c>
      <c r="BC177" s="405">
        <v>0</v>
      </c>
      <c r="BD177" s="405">
        <v>0</v>
      </c>
      <c r="BE177" s="405">
        <v>0</v>
      </c>
      <c r="BF177" s="405">
        <v>0</v>
      </c>
      <c r="BG177" s="405">
        <v>0</v>
      </c>
      <c r="BH177" s="405">
        <v>0</v>
      </c>
      <c r="BI177" s="405">
        <v>0</v>
      </c>
      <c r="BJ177" s="405">
        <v>0</v>
      </c>
      <c r="BK177" s="405">
        <v>0</v>
      </c>
      <c r="BL177" s="405">
        <v>0</v>
      </c>
      <c r="BM177" s="405">
        <v>0</v>
      </c>
      <c r="BN177" s="405">
        <v>0</v>
      </c>
      <c r="BO177" s="405">
        <v>0</v>
      </c>
      <c r="BP177" s="405">
        <v>0</v>
      </c>
      <c r="BQ177" s="405">
        <v>0</v>
      </c>
      <c r="BR177" s="405">
        <v>12658399</v>
      </c>
      <c r="BS177" s="405">
        <v>0</v>
      </c>
      <c r="BT177" s="405">
        <v>0</v>
      </c>
      <c r="BU177" s="405">
        <v>0</v>
      </c>
      <c r="BV177" s="405">
        <v>0</v>
      </c>
      <c r="BW177" s="405">
        <v>0</v>
      </c>
      <c r="BX177" s="405">
        <v>0</v>
      </c>
      <c r="BY177" s="405">
        <v>0</v>
      </c>
      <c r="BZ177" s="405">
        <v>0</v>
      </c>
      <c r="CA177" s="405">
        <v>0</v>
      </c>
      <c r="CB177" s="405">
        <v>0</v>
      </c>
      <c r="CC177" s="405">
        <v>0</v>
      </c>
      <c r="CD177" s="405">
        <v>0</v>
      </c>
      <c r="CE177" s="405">
        <v>0</v>
      </c>
      <c r="CF177" s="405">
        <v>413771</v>
      </c>
    </row>
    <row r="178" spans="1:84" s="405" customFormat="1" x14ac:dyDescent="0.3">
      <c r="A178" s="405">
        <v>528</v>
      </c>
      <c r="B178" s="406">
        <v>528</v>
      </c>
      <c r="C178" s="405">
        <v>528</v>
      </c>
      <c r="D178" s="405" t="s">
        <v>271</v>
      </c>
      <c r="E178" s="405" t="s">
        <v>495</v>
      </c>
      <c r="F178" s="405">
        <v>246277</v>
      </c>
      <c r="G178" s="405">
        <v>764184</v>
      </c>
      <c r="H178" s="405">
        <v>79300</v>
      </c>
      <c r="I178" s="405">
        <v>308105</v>
      </c>
      <c r="J178" s="405">
        <v>271138</v>
      </c>
      <c r="K178" s="405">
        <v>23030</v>
      </c>
      <c r="L178" s="405">
        <v>17713</v>
      </c>
      <c r="M178" s="405">
        <v>18880</v>
      </c>
      <c r="N178" s="405">
        <v>1459836</v>
      </c>
      <c r="O178" s="405">
        <v>63434438</v>
      </c>
      <c r="P178" s="405">
        <v>1243473</v>
      </c>
      <c r="Q178" s="405">
        <v>4335033</v>
      </c>
      <c r="R178" s="405">
        <v>11228</v>
      </c>
      <c r="S178" s="405">
        <v>5447317</v>
      </c>
      <c r="T178" s="405">
        <v>39585</v>
      </c>
      <c r="U178" s="405">
        <v>143800</v>
      </c>
      <c r="V178" s="405">
        <v>0</v>
      </c>
      <c r="W178" s="405">
        <v>617654</v>
      </c>
      <c r="X178" s="405">
        <v>2155258</v>
      </c>
      <c r="Y178" s="405">
        <v>843838</v>
      </c>
      <c r="Z178" s="405">
        <v>0</v>
      </c>
      <c r="AA178" s="405">
        <v>305511</v>
      </c>
      <c r="AB178" s="405">
        <v>14537226</v>
      </c>
      <c r="AC178" s="405">
        <v>0</v>
      </c>
      <c r="AD178" s="405">
        <v>187068</v>
      </c>
      <c r="AE178" s="405">
        <v>19207740</v>
      </c>
      <c r="AF178" s="405">
        <v>210596</v>
      </c>
      <c r="AG178" s="405">
        <v>199411</v>
      </c>
      <c r="AH178" s="405">
        <v>32578716</v>
      </c>
      <c r="AI178" s="405">
        <v>67611</v>
      </c>
      <c r="AJ178" s="405">
        <v>98435</v>
      </c>
      <c r="AK178" s="405">
        <v>3049772</v>
      </c>
      <c r="AL178" s="405">
        <v>284926</v>
      </c>
      <c r="AM178" s="405">
        <v>17278</v>
      </c>
      <c r="AN178" s="405">
        <v>0</v>
      </c>
      <c r="AO178" s="405">
        <v>48291</v>
      </c>
      <c r="AP178" s="405">
        <v>5111897</v>
      </c>
      <c r="AQ178" s="405">
        <v>0</v>
      </c>
      <c r="AR178" s="405">
        <v>1772959</v>
      </c>
      <c r="AS178" s="405">
        <v>924543</v>
      </c>
      <c r="AT178" s="405">
        <v>28862</v>
      </c>
      <c r="AU178" s="405">
        <v>0</v>
      </c>
      <c r="AV178" s="405">
        <v>46687</v>
      </c>
      <c r="AW178" s="405">
        <v>174225583</v>
      </c>
      <c r="AX178" s="405">
        <v>31027318</v>
      </c>
      <c r="AY178" s="405">
        <v>587774</v>
      </c>
      <c r="AZ178" s="405">
        <v>64821</v>
      </c>
      <c r="BA178" s="405">
        <v>135566</v>
      </c>
      <c r="BB178" s="405">
        <v>71879</v>
      </c>
      <c r="BC178" s="405">
        <v>0</v>
      </c>
      <c r="BD178" s="405">
        <v>1757903</v>
      </c>
      <c r="BE178" s="405">
        <v>31140</v>
      </c>
      <c r="BF178" s="405">
        <v>23679</v>
      </c>
      <c r="BG178" s="405">
        <v>19666</v>
      </c>
      <c r="BH178" s="405">
        <v>7572226</v>
      </c>
      <c r="BI178" s="405">
        <v>5152</v>
      </c>
      <c r="BJ178" s="405">
        <v>4620102</v>
      </c>
      <c r="BK178" s="405">
        <v>635222</v>
      </c>
      <c r="BL178" s="405">
        <v>106343</v>
      </c>
      <c r="BM178" s="405">
        <v>0</v>
      </c>
      <c r="BN178" s="405">
        <v>5873274</v>
      </c>
      <c r="BO178" s="405">
        <v>9834325</v>
      </c>
      <c r="BP178" s="405">
        <v>0</v>
      </c>
      <c r="BQ178" s="405">
        <v>27816704</v>
      </c>
      <c r="BR178" s="405">
        <v>58351739</v>
      </c>
      <c r="BS178" s="405">
        <v>137651</v>
      </c>
      <c r="BT178" s="405">
        <v>2875969</v>
      </c>
      <c r="BU178" s="405">
        <v>236227</v>
      </c>
      <c r="BV178" s="405">
        <v>6740252</v>
      </c>
      <c r="BW178" s="405">
        <v>51740</v>
      </c>
      <c r="BX178" s="405">
        <v>34555</v>
      </c>
      <c r="BY178" s="405">
        <v>2633522</v>
      </c>
      <c r="BZ178" s="405">
        <v>1338333</v>
      </c>
      <c r="CA178" s="405">
        <v>22361668</v>
      </c>
      <c r="CB178" s="405">
        <v>0</v>
      </c>
      <c r="CC178" s="405">
        <v>4937242</v>
      </c>
      <c r="CD178" s="405">
        <v>217894</v>
      </c>
      <c r="CE178" s="405">
        <v>1138906</v>
      </c>
      <c r="CF178" s="405">
        <v>21449869</v>
      </c>
    </row>
    <row r="179" spans="1:84" s="405" customFormat="1" x14ac:dyDescent="0.3">
      <c r="A179" s="405">
        <v>529</v>
      </c>
      <c r="B179" s="406">
        <v>529</v>
      </c>
      <c r="C179" s="405">
        <v>529</v>
      </c>
      <c r="D179" s="405" t="s">
        <v>272</v>
      </c>
      <c r="E179" s="405" t="s">
        <v>496</v>
      </c>
      <c r="F179" s="405">
        <v>26254</v>
      </c>
      <c r="G179" s="405">
        <v>104882</v>
      </c>
      <c r="H179" s="405">
        <v>10169</v>
      </c>
      <c r="I179" s="405">
        <v>25297</v>
      </c>
      <c r="J179" s="405">
        <v>30389</v>
      </c>
      <c r="K179" s="405">
        <v>3085</v>
      </c>
      <c r="L179" s="405">
        <v>2196</v>
      </c>
      <c r="M179" s="405">
        <v>2696</v>
      </c>
      <c r="N179" s="405">
        <v>178596</v>
      </c>
      <c r="O179" s="405">
        <v>7109878</v>
      </c>
      <c r="P179" s="405">
        <v>66230</v>
      </c>
      <c r="Q179" s="405">
        <v>270969</v>
      </c>
      <c r="R179" s="405">
        <v>1040</v>
      </c>
      <c r="S179" s="405">
        <v>126038</v>
      </c>
      <c r="T179" s="405">
        <v>3609</v>
      </c>
      <c r="U179" s="405">
        <v>13684</v>
      </c>
      <c r="V179" s="405">
        <v>0</v>
      </c>
      <c r="W179" s="405">
        <v>62872</v>
      </c>
      <c r="X179" s="405">
        <v>122309</v>
      </c>
      <c r="Y179" s="405">
        <v>114667</v>
      </c>
      <c r="Z179" s="405">
        <v>0</v>
      </c>
      <c r="AA179" s="405">
        <v>45613</v>
      </c>
      <c r="AB179" s="405">
        <v>2022331</v>
      </c>
      <c r="AC179" s="405">
        <v>0</v>
      </c>
      <c r="AD179" s="405">
        <v>25558</v>
      </c>
      <c r="AE179" s="405">
        <v>2370012</v>
      </c>
      <c r="AF179" s="405">
        <v>30909</v>
      </c>
      <c r="AG179" s="405">
        <v>31954</v>
      </c>
      <c r="AH179" s="405">
        <v>2515967</v>
      </c>
      <c r="AI179" s="405">
        <v>7183</v>
      </c>
      <c r="AJ179" s="405">
        <v>14263</v>
      </c>
      <c r="AK179" s="405">
        <v>423758</v>
      </c>
      <c r="AL179" s="405">
        <v>45270</v>
      </c>
      <c r="AM179" s="405">
        <v>3406</v>
      </c>
      <c r="AN179" s="405">
        <v>0</v>
      </c>
      <c r="AO179" s="405">
        <v>7962</v>
      </c>
      <c r="AP179" s="405">
        <v>609374</v>
      </c>
      <c r="AQ179" s="405">
        <v>0</v>
      </c>
      <c r="AR179" s="405">
        <v>176002</v>
      </c>
      <c r="AS179" s="405">
        <v>112684</v>
      </c>
      <c r="AT179" s="405">
        <v>2848</v>
      </c>
      <c r="AU179" s="405">
        <v>0</v>
      </c>
      <c r="AV179" s="405">
        <v>9061</v>
      </c>
      <c r="AW179" s="405">
        <v>21268610</v>
      </c>
      <c r="AX179" s="405">
        <v>4938438</v>
      </c>
      <c r="AY179" s="405">
        <v>87242</v>
      </c>
      <c r="AZ179" s="405">
        <v>13418</v>
      </c>
      <c r="BA179" s="405">
        <v>21374</v>
      </c>
      <c r="BB179" s="405">
        <v>10144</v>
      </c>
      <c r="BC179" s="405">
        <v>0</v>
      </c>
      <c r="BD179" s="405">
        <v>292733</v>
      </c>
      <c r="BE179" s="405">
        <v>4314</v>
      </c>
      <c r="BF179" s="405">
        <v>2903</v>
      </c>
      <c r="BG179" s="405">
        <v>2912</v>
      </c>
      <c r="BH179" s="405">
        <v>768081</v>
      </c>
      <c r="BI179" s="405">
        <v>573</v>
      </c>
      <c r="BJ179" s="405">
        <v>585669</v>
      </c>
      <c r="BK179" s="405">
        <v>84583</v>
      </c>
      <c r="BL179" s="405">
        <v>4911</v>
      </c>
      <c r="BM179" s="405">
        <v>0</v>
      </c>
      <c r="BN179" s="405">
        <v>617528</v>
      </c>
      <c r="BO179" s="405">
        <v>693508</v>
      </c>
      <c r="BP179" s="405">
        <v>0</v>
      </c>
      <c r="BQ179" s="405">
        <v>2432009</v>
      </c>
      <c r="BR179" s="405">
        <v>6881725</v>
      </c>
      <c r="BS179" s="405">
        <v>16098</v>
      </c>
      <c r="BT179" s="405">
        <v>24790</v>
      </c>
      <c r="BU179" s="405">
        <v>20946</v>
      </c>
      <c r="BV179" s="405">
        <v>695334</v>
      </c>
      <c r="BW179" s="405">
        <v>13588</v>
      </c>
      <c r="BX179" s="405">
        <v>7799</v>
      </c>
      <c r="BY179" s="405">
        <v>35943</v>
      </c>
      <c r="BZ179" s="405">
        <v>111627</v>
      </c>
      <c r="CA179" s="405">
        <v>1971533</v>
      </c>
      <c r="CB179" s="405">
        <v>0</v>
      </c>
      <c r="CC179" s="405">
        <v>592307</v>
      </c>
      <c r="CD179" s="405">
        <v>40999</v>
      </c>
      <c r="CE179" s="405">
        <v>136055</v>
      </c>
      <c r="CF179" s="405">
        <v>1700352</v>
      </c>
    </row>
    <row r="180" spans="1:84" s="405" customFormat="1" x14ac:dyDescent="0.3">
      <c r="A180" s="405">
        <v>530</v>
      </c>
      <c r="B180" s="406">
        <v>530</v>
      </c>
      <c r="C180" s="405">
        <v>530</v>
      </c>
      <c r="D180" s="405" t="s">
        <v>273</v>
      </c>
      <c r="E180" s="405" t="s">
        <v>497</v>
      </c>
      <c r="F180" s="405">
        <v>8868</v>
      </c>
      <c r="G180" s="405">
        <v>58580</v>
      </c>
      <c r="H180" s="405">
        <v>1097</v>
      </c>
      <c r="I180" s="405">
        <v>26890</v>
      </c>
      <c r="J180" s="405">
        <v>10534</v>
      </c>
      <c r="K180" s="405">
        <v>792</v>
      </c>
      <c r="L180" s="405">
        <v>40</v>
      </c>
      <c r="M180" s="405">
        <v>587</v>
      </c>
      <c r="N180" s="405">
        <v>66462</v>
      </c>
      <c r="O180" s="405">
        <v>617501</v>
      </c>
      <c r="P180" s="405">
        <v>719</v>
      </c>
      <c r="Q180" s="405">
        <v>36351</v>
      </c>
      <c r="R180" s="405">
        <v>282</v>
      </c>
      <c r="S180" s="405">
        <v>51693</v>
      </c>
      <c r="T180" s="405">
        <v>272</v>
      </c>
      <c r="U180" s="405">
        <v>3973</v>
      </c>
      <c r="V180" s="405">
        <v>0</v>
      </c>
      <c r="W180" s="405">
        <v>8656</v>
      </c>
      <c r="X180" s="405">
        <v>77222</v>
      </c>
      <c r="Y180" s="405">
        <v>31475</v>
      </c>
      <c r="Z180" s="405">
        <v>0</v>
      </c>
      <c r="AA180" s="405">
        <v>17402</v>
      </c>
      <c r="AB180" s="405">
        <v>63282</v>
      </c>
      <c r="AC180" s="405">
        <v>0</v>
      </c>
      <c r="AD180" s="405">
        <v>18355</v>
      </c>
      <c r="AE180" s="405">
        <v>107032</v>
      </c>
      <c r="AF180" s="405">
        <v>20114</v>
      </c>
      <c r="AG180" s="405">
        <v>25777</v>
      </c>
      <c r="AH180" s="405">
        <v>429186</v>
      </c>
      <c r="AI180" s="405">
        <v>1201</v>
      </c>
      <c r="AJ180" s="405">
        <v>6367</v>
      </c>
      <c r="AK180" s="405">
        <v>24279</v>
      </c>
      <c r="AL180" s="405">
        <v>5182</v>
      </c>
      <c r="AM180" s="405">
        <v>186</v>
      </c>
      <c r="AN180" s="405">
        <v>0</v>
      </c>
      <c r="AO180" s="405">
        <v>358</v>
      </c>
      <c r="AP180" s="405">
        <v>120236</v>
      </c>
      <c r="AQ180" s="405">
        <v>0</v>
      </c>
      <c r="AR180" s="405">
        <v>41091</v>
      </c>
      <c r="AS180" s="405">
        <v>15710</v>
      </c>
      <c r="AT180" s="405">
        <v>1142</v>
      </c>
      <c r="AU180" s="405">
        <v>0</v>
      </c>
      <c r="AV180" s="405">
        <v>7636</v>
      </c>
      <c r="AW180" s="405">
        <v>1180678</v>
      </c>
      <c r="AX180" s="405">
        <v>97620</v>
      </c>
      <c r="AY180" s="405">
        <v>23665</v>
      </c>
      <c r="AZ180" s="405">
        <v>1354</v>
      </c>
      <c r="BA180" s="405">
        <v>2824</v>
      </c>
      <c r="BB180" s="405">
        <v>589</v>
      </c>
      <c r="BC180" s="405">
        <v>0</v>
      </c>
      <c r="BD180" s="405">
        <v>104520</v>
      </c>
      <c r="BE180" s="405">
        <v>533</v>
      </c>
      <c r="BF180" s="405">
        <v>1057</v>
      </c>
      <c r="BG180" s="405">
        <v>445</v>
      </c>
      <c r="BH180" s="405">
        <v>47545</v>
      </c>
      <c r="BI180" s="405">
        <v>1016</v>
      </c>
      <c r="BJ180" s="405">
        <v>25019</v>
      </c>
      <c r="BK180" s="405">
        <v>11899</v>
      </c>
      <c r="BL180" s="405">
        <v>2109</v>
      </c>
      <c r="BM180" s="405">
        <v>0</v>
      </c>
      <c r="BN180" s="405">
        <v>273835</v>
      </c>
      <c r="BO180" s="405">
        <v>143079</v>
      </c>
      <c r="BP180" s="405">
        <v>0</v>
      </c>
      <c r="BQ180" s="405">
        <v>390177</v>
      </c>
      <c r="BR180" s="405">
        <v>600182</v>
      </c>
      <c r="BS180" s="405">
        <v>7008</v>
      </c>
      <c r="BT180" s="405">
        <v>19836</v>
      </c>
      <c r="BU180" s="405">
        <v>2055</v>
      </c>
      <c r="BV180" s="405">
        <v>61315</v>
      </c>
      <c r="BW180" s="405">
        <v>3983</v>
      </c>
      <c r="BX180" s="405">
        <v>11175</v>
      </c>
      <c r="BY180" s="405">
        <v>33077</v>
      </c>
      <c r="BZ180" s="405">
        <v>10761</v>
      </c>
      <c r="CA180" s="405">
        <v>61559</v>
      </c>
      <c r="CB180" s="405">
        <v>0</v>
      </c>
      <c r="CC180" s="405">
        <v>52510</v>
      </c>
      <c r="CD180" s="405">
        <v>12657</v>
      </c>
      <c r="CE180" s="405">
        <v>47966</v>
      </c>
      <c r="CF180" s="405">
        <v>171569</v>
      </c>
    </row>
    <row r="181" spans="1:84" s="405" customFormat="1" x14ac:dyDescent="0.3">
      <c r="A181" s="405">
        <v>531</v>
      </c>
      <c r="B181" s="406">
        <v>531</v>
      </c>
      <c r="C181" s="405">
        <v>531</v>
      </c>
      <c r="D181" s="405" t="s">
        <v>274</v>
      </c>
      <c r="E181" s="405" t="s">
        <v>498</v>
      </c>
      <c r="F181" s="405">
        <v>0</v>
      </c>
      <c r="G181" s="405">
        <v>0</v>
      </c>
      <c r="H181" s="405">
        <v>0</v>
      </c>
      <c r="I181" s="405">
        <v>0</v>
      </c>
      <c r="J181" s="405">
        <v>0</v>
      </c>
      <c r="K181" s="405">
        <v>14</v>
      </c>
      <c r="L181" s="405">
        <v>0</v>
      </c>
      <c r="M181" s="405">
        <v>0</v>
      </c>
      <c r="N181" s="405">
        <v>0</v>
      </c>
      <c r="O181" s="405">
        <v>42164</v>
      </c>
      <c r="P181" s="405">
        <v>0</v>
      </c>
      <c r="Q181" s="405">
        <v>1301</v>
      </c>
      <c r="R181" s="405">
        <v>0</v>
      </c>
      <c r="S181" s="405">
        <v>0</v>
      </c>
      <c r="T181" s="405">
        <v>0</v>
      </c>
      <c r="U181" s="405">
        <v>0</v>
      </c>
      <c r="V181" s="405">
        <v>0</v>
      </c>
      <c r="W181" s="405">
        <v>0</v>
      </c>
      <c r="X181" s="405">
        <v>0</v>
      </c>
      <c r="Y181" s="405">
        <v>0</v>
      </c>
      <c r="Z181" s="405">
        <v>0</v>
      </c>
      <c r="AA181" s="405">
        <v>0</v>
      </c>
      <c r="AB181" s="405">
        <v>0</v>
      </c>
      <c r="AC181" s="405">
        <v>0</v>
      </c>
      <c r="AD181" s="405">
        <v>0</v>
      </c>
      <c r="AE181" s="405">
        <v>0</v>
      </c>
      <c r="AF181" s="405">
        <v>0</v>
      </c>
      <c r="AG181" s="405">
        <v>0</v>
      </c>
      <c r="AH181" s="405">
        <v>22739</v>
      </c>
      <c r="AI181" s="405">
        <v>0</v>
      </c>
      <c r="AJ181" s="405">
        <v>0</v>
      </c>
      <c r="AK181" s="405">
        <v>0</v>
      </c>
      <c r="AL181" s="405">
        <v>0</v>
      </c>
      <c r="AM181" s="405">
        <v>0</v>
      </c>
      <c r="AN181" s="405">
        <v>0</v>
      </c>
      <c r="AO181" s="405">
        <v>0</v>
      </c>
      <c r="AP181" s="405">
        <v>3670</v>
      </c>
      <c r="AQ181" s="405">
        <v>0</v>
      </c>
      <c r="AR181" s="405">
        <v>0</v>
      </c>
      <c r="AS181" s="405">
        <v>0</v>
      </c>
      <c r="AT181" s="405">
        <v>0</v>
      </c>
      <c r="AU181" s="405">
        <v>0</v>
      </c>
      <c r="AV181" s="405">
        <v>0</v>
      </c>
      <c r="AW181" s="405">
        <v>66276</v>
      </c>
      <c r="AX181" s="405">
        <v>0</v>
      </c>
      <c r="AY181" s="405">
        <v>0</v>
      </c>
      <c r="AZ181" s="405">
        <v>0</v>
      </c>
      <c r="BA181" s="405">
        <v>0</v>
      </c>
      <c r="BB181" s="405">
        <v>0</v>
      </c>
      <c r="BC181" s="405">
        <v>0</v>
      </c>
      <c r="BD181" s="405">
        <v>0</v>
      </c>
      <c r="BE181" s="405">
        <v>0</v>
      </c>
      <c r="BF181" s="405">
        <v>0</v>
      </c>
      <c r="BG181" s="405">
        <v>0</v>
      </c>
      <c r="BH181" s="405">
        <v>0</v>
      </c>
      <c r="BI181" s="405">
        <v>0</v>
      </c>
      <c r="BJ181" s="405">
        <v>0</v>
      </c>
      <c r="BK181" s="405">
        <v>418</v>
      </c>
      <c r="BL181" s="405">
        <v>0</v>
      </c>
      <c r="BM181" s="405">
        <v>0</v>
      </c>
      <c r="BN181" s="405">
        <v>0</v>
      </c>
      <c r="BO181" s="405">
        <v>6199</v>
      </c>
      <c r="BP181" s="405">
        <v>0</v>
      </c>
      <c r="BQ181" s="405">
        <v>0</v>
      </c>
      <c r="BR181" s="405">
        <v>9930</v>
      </c>
      <c r="BS181" s="405">
        <v>0</v>
      </c>
      <c r="BT181" s="405">
        <v>0</v>
      </c>
      <c r="BU181" s="405">
        <v>0</v>
      </c>
      <c r="BV181" s="405">
        <v>0</v>
      </c>
      <c r="BW181" s="405">
        <v>0</v>
      </c>
      <c r="BX181" s="405">
        <v>0</v>
      </c>
      <c r="BY181" s="405">
        <v>0</v>
      </c>
      <c r="BZ181" s="405">
        <v>0</v>
      </c>
      <c r="CA181" s="405">
        <v>14241</v>
      </c>
      <c r="CB181" s="405">
        <v>0</v>
      </c>
      <c r="CC181" s="405">
        <v>3367</v>
      </c>
      <c r="CD181" s="405">
        <v>0</v>
      </c>
      <c r="CE181" s="405">
        <v>0</v>
      </c>
      <c r="CF181" s="405">
        <v>0</v>
      </c>
    </row>
    <row r="182" spans="1:84" s="405" customFormat="1" x14ac:dyDescent="0.3">
      <c r="A182" s="405">
        <v>532</v>
      </c>
      <c r="B182" s="406">
        <v>532</v>
      </c>
      <c r="C182" s="405">
        <v>532</v>
      </c>
      <c r="D182" s="405" t="s">
        <v>568</v>
      </c>
      <c r="E182" s="405" t="s">
        <v>499</v>
      </c>
      <c r="F182" s="405">
        <v>2163107</v>
      </c>
      <c r="G182" s="405">
        <v>2123399</v>
      </c>
      <c r="H182" s="405">
        <v>351634</v>
      </c>
      <c r="I182" s="405">
        <v>759639</v>
      </c>
      <c r="J182" s="405">
        <v>555422</v>
      </c>
      <c r="K182" s="405">
        <v>371989</v>
      </c>
      <c r="L182" s="405">
        <v>49978</v>
      </c>
      <c r="M182" s="405">
        <v>140094</v>
      </c>
      <c r="N182" s="405">
        <v>4578190</v>
      </c>
      <c r="O182" s="405">
        <v>148634693</v>
      </c>
      <c r="P182" s="405">
        <v>2156855</v>
      </c>
      <c r="Q182" s="405">
        <v>6900765</v>
      </c>
      <c r="R182" s="405">
        <v>121005</v>
      </c>
      <c r="S182" s="405">
        <v>16541528</v>
      </c>
      <c r="T182" s="405">
        <v>85187</v>
      </c>
      <c r="U182" s="405">
        <v>622936</v>
      </c>
      <c r="V182" s="405">
        <v>0</v>
      </c>
      <c r="W182" s="405">
        <v>982680</v>
      </c>
      <c r="X182" s="405">
        <v>4664161</v>
      </c>
      <c r="Y182" s="405">
        <v>3540963</v>
      </c>
      <c r="Z182" s="405">
        <v>0</v>
      </c>
      <c r="AA182" s="405">
        <v>993170</v>
      </c>
      <c r="AB182" s="405">
        <v>25835582</v>
      </c>
      <c r="AC182" s="405">
        <v>1072764</v>
      </c>
      <c r="AD182" s="405">
        <v>556846</v>
      </c>
      <c r="AE182" s="405">
        <v>39078904</v>
      </c>
      <c r="AF182" s="405">
        <v>713346</v>
      </c>
      <c r="AG182" s="405">
        <v>623582</v>
      </c>
      <c r="AH182" s="405">
        <v>72898530</v>
      </c>
      <c r="AI182" s="405">
        <v>168610</v>
      </c>
      <c r="AJ182" s="405">
        <v>306568</v>
      </c>
      <c r="AK182" s="405">
        <v>6625978</v>
      </c>
      <c r="AL182" s="405">
        <v>810252</v>
      </c>
      <c r="AM182" s="405">
        <v>59016</v>
      </c>
      <c r="AN182" s="405">
        <v>0</v>
      </c>
      <c r="AO182" s="405">
        <v>185362</v>
      </c>
      <c r="AP182" s="405">
        <v>12786433</v>
      </c>
      <c r="AQ182" s="405">
        <v>50487</v>
      </c>
      <c r="AR182" s="405">
        <v>3792775</v>
      </c>
      <c r="AS182" s="405">
        <v>2295315</v>
      </c>
      <c r="AT182" s="405">
        <v>48913</v>
      </c>
      <c r="AU182" s="405">
        <v>0</v>
      </c>
      <c r="AV182" s="405">
        <v>247730</v>
      </c>
      <c r="AW182" s="405">
        <v>257612587</v>
      </c>
      <c r="AX182" s="405">
        <v>71927896</v>
      </c>
      <c r="AY182" s="405">
        <v>1638372</v>
      </c>
      <c r="AZ182" s="405">
        <v>334549</v>
      </c>
      <c r="BA182" s="405">
        <v>280754</v>
      </c>
      <c r="BB182" s="405">
        <v>179262</v>
      </c>
      <c r="BC182" s="405">
        <v>0</v>
      </c>
      <c r="BD182" s="405">
        <v>5389126</v>
      </c>
      <c r="BE182" s="405">
        <v>279082</v>
      </c>
      <c r="BF182" s="405">
        <v>122226</v>
      </c>
      <c r="BG182" s="405">
        <v>48210</v>
      </c>
      <c r="BH182" s="405">
        <v>12382171</v>
      </c>
      <c r="BI182" s="405">
        <v>18948</v>
      </c>
      <c r="BJ182" s="405">
        <v>10432894</v>
      </c>
      <c r="BK182" s="405">
        <v>1968807</v>
      </c>
      <c r="BL182" s="405">
        <v>202196</v>
      </c>
      <c r="BM182" s="405">
        <v>59364</v>
      </c>
      <c r="BN182" s="405">
        <v>15533687</v>
      </c>
      <c r="BO182" s="405">
        <v>16488923</v>
      </c>
      <c r="BP182" s="405">
        <v>0</v>
      </c>
      <c r="BQ182" s="405">
        <v>49559619</v>
      </c>
      <c r="BR182" s="405">
        <v>104948074</v>
      </c>
      <c r="BS182" s="405">
        <v>371658</v>
      </c>
      <c r="BT182" s="405">
        <v>5526996</v>
      </c>
      <c r="BU182" s="405">
        <v>843025</v>
      </c>
      <c r="BV182" s="405">
        <v>10295810</v>
      </c>
      <c r="BW182" s="405">
        <v>141005</v>
      </c>
      <c r="BX182" s="405">
        <v>379602</v>
      </c>
      <c r="BY182" s="405">
        <v>2540061</v>
      </c>
      <c r="BZ182" s="405">
        <v>3147314</v>
      </c>
      <c r="CA182" s="405">
        <v>38096042</v>
      </c>
      <c r="CB182" s="405">
        <v>0</v>
      </c>
      <c r="CC182" s="405">
        <v>13626611</v>
      </c>
      <c r="CD182" s="405">
        <v>523774</v>
      </c>
      <c r="CE182" s="405">
        <v>3581923</v>
      </c>
      <c r="CF182" s="405">
        <v>43105193</v>
      </c>
    </row>
    <row r="183" spans="1:84" s="405" customFormat="1" x14ac:dyDescent="0.3">
      <c r="A183" s="405">
        <v>533</v>
      </c>
      <c r="B183" s="406">
        <v>533</v>
      </c>
      <c r="C183" s="405">
        <v>533</v>
      </c>
      <c r="D183" s="405" t="s">
        <v>569</v>
      </c>
      <c r="E183" s="405" t="s">
        <v>500</v>
      </c>
      <c r="F183" s="405">
        <v>0</v>
      </c>
      <c r="G183" s="405">
        <v>0</v>
      </c>
      <c r="H183" s="405">
        <v>0</v>
      </c>
      <c r="I183" s="405">
        <v>0</v>
      </c>
      <c r="J183" s="405">
        <v>0</v>
      </c>
      <c r="K183" s="405">
        <v>0</v>
      </c>
      <c r="L183" s="405">
        <v>0</v>
      </c>
      <c r="M183" s="405">
        <v>0</v>
      </c>
      <c r="N183" s="405">
        <v>0</v>
      </c>
      <c r="O183" s="405">
        <v>3300000</v>
      </c>
      <c r="P183" s="405">
        <v>0</v>
      </c>
      <c r="Q183" s="405">
        <v>0</v>
      </c>
      <c r="R183" s="405">
        <v>0</v>
      </c>
      <c r="S183" s="405">
        <v>1000000</v>
      </c>
      <c r="T183" s="405">
        <v>0</v>
      </c>
      <c r="U183" s="405">
        <v>0</v>
      </c>
      <c r="V183" s="405">
        <v>0</v>
      </c>
      <c r="W183" s="405">
        <v>0</v>
      </c>
      <c r="X183" s="405">
        <v>0</v>
      </c>
      <c r="Y183" s="405">
        <v>943163</v>
      </c>
      <c r="Z183" s="405">
        <v>0</v>
      </c>
      <c r="AA183" s="405">
        <v>27000</v>
      </c>
      <c r="AB183" s="405">
        <v>0</v>
      </c>
      <c r="AC183" s="405">
        <v>0</v>
      </c>
      <c r="AD183" s="405">
        <v>0</v>
      </c>
      <c r="AE183" s="405">
        <v>4740000</v>
      </c>
      <c r="AF183" s="405">
        <v>0</v>
      </c>
      <c r="AG183" s="405">
        <v>0</v>
      </c>
      <c r="AH183" s="405">
        <v>8640000</v>
      </c>
      <c r="AI183" s="405">
        <v>0</v>
      </c>
      <c r="AJ183" s="405">
        <v>0</v>
      </c>
      <c r="AK183" s="405">
        <v>0</v>
      </c>
      <c r="AL183" s="405">
        <v>0</v>
      </c>
      <c r="AM183" s="405">
        <v>0</v>
      </c>
      <c r="AN183" s="405">
        <v>0</v>
      </c>
      <c r="AO183" s="405">
        <v>0</v>
      </c>
      <c r="AP183" s="405">
        <v>0</v>
      </c>
      <c r="AQ183" s="405">
        <v>0</v>
      </c>
      <c r="AR183" s="405">
        <v>0</v>
      </c>
      <c r="AS183" s="405">
        <v>0</v>
      </c>
      <c r="AT183" s="405">
        <v>0</v>
      </c>
      <c r="AU183" s="405">
        <v>0</v>
      </c>
      <c r="AV183" s="405">
        <v>0</v>
      </c>
      <c r="AW183" s="405">
        <v>0</v>
      </c>
      <c r="AX183" s="405">
        <v>0</v>
      </c>
      <c r="AY183" s="405">
        <v>41750</v>
      </c>
      <c r="AZ183" s="405">
        <v>0</v>
      </c>
      <c r="BA183" s="405">
        <v>0</v>
      </c>
      <c r="BB183" s="405">
        <v>0</v>
      </c>
      <c r="BC183" s="405">
        <v>0</v>
      </c>
      <c r="BD183" s="405">
        <v>0</v>
      </c>
      <c r="BE183" s="405">
        <v>0</v>
      </c>
      <c r="BF183" s="405">
        <v>0</v>
      </c>
      <c r="BG183" s="405">
        <v>0</v>
      </c>
      <c r="BH183" s="405">
        <v>0</v>
      </c>
      <c r="BI183" s="405">
        <v>0</v>
      </c>
      <c r="BJ183" s="405">
        <v>0</v>
      </c>
      <c r="BK183" s="405">
        <v>5750</v>
      </c>
      <c r="BL183" s="405">
        <v>0</v>
      </c>
      <c r="BM183" s="405">
        <v>0</v>
      </c>
      <c r="BN183" s="405">
        <v>352160</v>
      </c>
      <c r="BO183" s="405">
        <v>521478</v>
      </c>
      <c r="BP183" s="405">
        <v>0</v>
      </c>
      <c r="BQ183" s="405">
        <v>140352</v>
      </c>
      <c r="BR183" s="405">
        <v>1330176</v>
      </c>
      <c r="BS183" s="405">
        <v>16208</v>
      </c>
      <c r="BT183" s="405">
        <v>0</v>
      </c>
      <c r="BU183" s="405">
        <v>0</v>
      </c>
      <c r="BV183" s="405">
        <v>0</v>
      </c>
      <c r="BW183" s="405">
        <v>0</v>
      </c>
      <c r="BX183" s="405">
        <v>0</v>
      </c>
      <c r="BY183" s="405">
        <v>0</v>
      </c>
      <c r="BZ183" s="405">
        <v>0</v>
      </c>
      <c r="CA183" s="405">
        <v>0</v>
      </c>
      <c r="CB183" s="405">
        <v>0</v>
      </c>
      <c r="CC183" s="405">
        <v>0</v>
      </c>
      <c r="CD183" s="405">
        <v>31051</v>
      </c>
      <c r="CE183" s="405">
        <v>16005</v>
      </c>
      <c r="CF183" s="405">
        <v>0</v>
      </c>
    </row>
    <row r="184" spans="1:84" s="405" customFormat="1" x14ac:dyDescent="0.3">
      <c r="A184" s="405">
        <v>534</v>
      </c>
      <c r="B184" s="406"/>
      <c r="C184" s="405">
        <v>534</v>
      </c>
      <c r="D184" s="405" t="s">
        <v>275</v>
      </c>
      <c r="E184" s="405" t="s">
        <v>501</v>
      </c>
    </row>
    <row r="185" spans="1:84" s="405" customFormat="1" x14ac:dyDescent="0.3">
      <c r="A185" s="405">
        <v>535</v>
      </c>
      <c r="B185" s="406">
        <v>535</v>
      </c>
      <c r="C185" s="405">
        <v>535</v>
      </c>
      <c r="D185" s="405" t="s">
        <v>253</v>
      </c>
      <c r="E185" s="405" t="s">
        <v>502</v>
      </c>
      <c r="F185" s="405">
        <v>0</v>
      </c>
      <c r="G185" s="405">
        <v>1</v>
      </c>
      <c r="H185" s="405">
        <v>0</v>
      </c>
      <c r="I185" s="405">
        <v>0</v>
      </c>
      <c r="J185" s="405">
        <v>0</v>
      </c>
      <c r="K185" s="405">
        <v>0</v>
      </c>
      <c r="L185" s="405">
        <v>0</v>
      </c>
      <c r="M185" s="405">
        <v>0</v>
      </c>
      <c r="N185" s="405">
        <v>2007398</v>
      </c>
      <c r="O185" s="405">
        <v>13524146</v>
      </c>
      <c r="P185" s="405">
        <v>0</v>
      </c>
      <c r="Q185" s="405">
        <v>0</v>
      </c>
      <c r="R185" s="405">
        <v>0</v>
      </c>
      <c r="S185" s="405">
        <v>1000000</v>
      </c>
      <c r="T185" s="405">
        <v>0</v>
      </c>
      <c r="U185" s="405">
        <v>0</v>
      </c>
      <c r="V185" s="405">
        <v>0</v>
      </c>
      <c r="W185" s="405">
        <v>0</v>
      </c>
      <c r="X185" s="405">
        <v>0</v>
      </c>
      <c r="Y185" s="405">
        <v>0</v>
      </c>
      <c r="Z185" s="405">
        <v>0</v>
      </c>
      <c r="AA185" s="405">
        <v>0</v>
      </c>
      <c r="AB185" s="405">
        <v>10505213</v>
      </c>
      <c r="AC185" s="405">
        <v>0</v>
      </c>
      <c r="AD185" s="405">
        <v>0</v>
      </c>
      <c r="AE185" s="405">
        <v>9382478</v>
      </c>
      <c r="AF185" s="405">
        <v>0</v>
      </c>
      <c r="AG185" s="405">
        <v>0</v>
      </c>
      <c r="AH185" s="405">
        <v>27888658</v>
      </c>
      <c r="AI185" s="405">
        <v>0</v>
      </c>
      <c r="AJ185" s="405">
        <v>0</v>
      </c>
      <c r="AK185" s="405">
        <v>0</v>
      </c>
      <c r="AL185" s="405">
        <v>0</v>
      </c>
      <c r="AM185" s="405">
        <v>0</v>
      </c>
      <c r="AN185" s="405">
        <v>0</v>
      </c>
      <c r="AO185" s="405">
        <v>0</v>
      </c>
      <c r="AP185" s="405">
        <v>0</v>
      </c>
      <c r="AQ185" s="405">
        <v>0</v>
      </c>
      <c r="AR185" s="405">
        <v>0</v>
      </c>
      <c r="AS185" s="405">
        <v>0</v>
      </c>
      <c r="AT185" s="405">
        <v>0</v>
      </c>
      <c r="AU185" s="405">
        <v>0</v>
      </c>
      <c r="AV185" s="405">
        <v>0</v>
      </c>
      <c r="AW185" s="405">
        <v>109322941</v>
      </c>
      <c r="AX185" s="405">
        <v>18390573</v>
      </c>
      <c r="AY185" s="405">
        <v>75179</v>
      </c>
      <c r="AZ185" s="405">
        <v>0</v>
      </c>
      <c r="BA185" s="405">
        <v>1</v>
      </c>
      <c r="BB185" s="405">
        <v>0</v>
      </c>
      <c r="BC185" s="405">
        <v>0</v>
      </c>
      <c r="BD185" s="405">
        <v>0</v>
      </c>
      <c r="BE185" s="405">
        <v>0</v>
      </c>
      <c r="BF185" s="405">
        <v>0</v>
      </c>
      <c r="BG185" s="405">
        <v>0</v>
      </c>
      <c r="BH185" s="405">
        <v>5162893</v>
      </c>
      <c r="BI185" s="405">
        <v>0</v>
      </c>
      <c r="BJ185" s="405">
        <v>0</v>
      </c>
      <c r="BK185" s="405">
        <v>0</v>
      </c>
      <c r="BL185" s="405">
        <v>0</v>
      </c>
      <c r="BM185" s="405">
        <v>0</v>
      </c>
      <c r="BN185" s="405">
        <v>0</v>
      </c>
      <c r="BO185" s="405">
        <v>10302712</v>
      </c>
      <c r="BP185" s="405">
        <v>0</v>
      </c>
      <c r="BQ185" s="405">
        <v>13125185</v>
      </c>
      <c r="BR185" s="405">
        <v>20679683</v>
      </c>
      <c r="BS185" s="405">
        <v>0</v>
      </c>
      <c r="BT185" s="405">
        <v>1782125</v>
      </c>
      <c r="BU185" s="405">
        <v>0</v>
      </c>
      <c r="BV185" s="405">
        <v>3891590</v>
      </c>
      <c r="BW185" s="405">
        <v>0</v>
      </c>
      <c r="BX185" s="405">
        <v>0</v>
      </c>
      <c r="BY185" s="405">
        <v>0</v>
      </c>
      <c r="BZ185" s="405">
        <v>0</v>
      </c>
      <c r="CA185" s="405">
        <v>0</v>
      </c>
      <c r="CB185" s="405">
        <v>0</v>
      </c>
      <c r="CC185" s="405">
        <v>0</v>
      </c>
      <c r="CD185" s="405">
        <v>0</v>
      </c>
      <c r="CE185" s="405">
        <v>0</v>
      </c>
      <c r="CF185" s="405">
        <v>18086244</v>
      </c>
    </row>
    <row r="186" spans="1:84" s="405" customFormat="1" x14ac:dyDescent="0.3">
      <c r="A186" s="405">
        <v>536</v>
      </c>
      <c r="B186" s="406">
        <v>536</v>
      </c>
      <c r="C186" s="405">
        <v>536</v>
      </c>
      <c r="D186" s="405" t="s">
        <v>199</v>
      </c>
      <c r="E186" s="405" t="s">
        <v>503</v>
      </c>
      <c r="F186" s="405">
        <v>105683</v>
      </c>
      <c r="G186" s="405">
        <v>131618</v>
      </c>
      <c r="H186" s="405">
        <v>0</v>
      </c>
      <c r="I186" s="405">
        <v>9176</v>
      </c>
      <c r="J186" s="405">
        <v>151789</v>
      </c>
      <c r="K186" s="405">
        <v>7221</v>
      </c>
      <c r="L186" s="405">
        <v>22735</v>
      </c>
      <c r="M186" s="405">
        <v>150191</v>
      </c>
      <c r="N186" s="405">
        <v>719486</v>
      </c>
      <c r="O186" s="405">
        <v>4449665</v>
      </c>
      <c r="P186" s="405">
        <v>0</v>
      </c>
      <c r="Q186" s="405">
        <v>568923</v>
      </c>
      <c r="R186" s="405">
        <v>23629</v>
      </c>
      <c r="S186" s="405">
        <v>1382069</v>
      </c>
      <c r="T186" s="405">
        <v>0</v>
      </c>
      <c r="U186" s="405">
        <v>37097</v>
      </c>
      <c r="V186" s="405">
        <v>0</v>
      </c>
      <c r="W186" s="405">
        <v>0</v>
      </c>
      <c r="X186" s="405">
        <v>622743</v>
      </c>
      <c r="Y186" s="405">
        <v>40310</v>
      </c>
      <c r="Z186" s="405">
        <v>0</v>
      </c>
      <c r="AA186" s="405">
        <v>99747</v>
      </c>
      <c r="AB186" s="405">
        <v>1980910</v>
      </c>
      <c r="AC186" s="405">
        <v>3082716</v>
      </c>
      <c r="AD186" s="405">
        <v>19348</v>
      </c>
      <c r="AE186" s="405">
        <v>0</v>
      </c>
      <c r="AF186" s="405">
        <v>83661</v>
      </c>
      <c r="AG186" s="405">
        <v>0</v>
      </c>
      <c r="AH186" s="405">
        <v>2240849</v>
      </c>
      <c r="AI186" s="405">
        <v>24869</v>
      </c>
      <c r="AJ186" s="405">
        <v>25216</v>
      </c>
      <c r="AK186" s="405">
        <v>470303</v>
      </c>
      <c r="AL186" s="405">
        <v>57207</v>
      </c>
      <c r="AM186" s="405">
        <v>24589</v>
      </c>
      <c r="AN186" s="405">
        <v>0</v>
      </c>
      <c r="AO186" s="405">
        <v>66171</v>
      </c>
      <c r="AP186" s="405">
        <v>333552</v>
      </c>
      <c r="AQ186" s="405">
        <v>0</v>
      </c>
      <c r="AR186" s="405">
        <v>15288</v>
      </c>
      <c r="AS186" s="405">
        <v>104543</v>
      </c>
      <c r="AT186" s="405">
        <v>0</v>
      </c>
      <c r="AU186" s="405">
        <v>0</v>
      </c>
      <c r="AV186" s="405">
        <v>77336</v>
      </c>
      <c r="AW186" s="405">
        <v>1564239</v>
      </c>
      <c r="AX186" s="405">
        <v>1040253</v>
      </c>
      <c r="AY186" s="405">
        <v>3290</v>
      </c>
      <c r="AZ186" s="405">
        <v>3592</v>
      </c>
      <c r="BA186" s="405">
        <v>80174</v>
      </c>
      <c r="BB186" s="405">
        <v>90724</v>
      </c>
      <c r="BC186" s="405">
        <v>0</v>
      </c>
      <c r="BD186" s="405">
        <v>73742</v>
      </c>
      <c r="BE186" s="405">
        <v>0</v>
      </c>
      <c r="BF186" s="405">
        <v>41390</v>
      </c>
      <c r="BG186" s="405">
        <v>15563</v>
      </c>
      <c r="BH186" s="405">
        <v>465893</v>
      </c>
      <c r="BI186" s="405">
        <v>14883</v>
      </c>
      <c r="BJ186" s="405">
        <v>610767</v>
      </c>
      <c r="BK186" s="405">
        <v>664016</v>
      </c>
      <c r="BL186" s="405">
        <v>69355</v>
      </c>
      <c r="BM186" s="405">
        <v>0</v>
      </c>
      <c r="BN186" s="405">
        <v>1475323</v>
      </c>
      <c r="BO186" s="405">
        <v>0</v>
      </c>
      <c r="BP186" s="405">
        <v>0</v>
      </c>
      <c r="BQ186" s="405">
        <v>66446</v>
      </c>
      <c r="BR186" s="405">
        <v>752647</v>
      </c>
      <c r="BS186" s="405">
        <v>24858</v>
      </c>
      <c r="BT186" s="405">
        <v>113439</v>
      </c>
      <c r="BU186" s="405">
        <v>276960</v>
      </c>
      <c r="BV186" s="405">
        <v>200490</v>
      </c>
      <c r="BW186" s="405">
        <v>64402</v>
      </c>
      <c r="BX186" s="405">
        <v>130623</v>
      </c>
      <c r="BY186" s="405">
        <v>0</v>
      </c>
      <c r="BZ186" s="405">
        <v>77207</v>
      </c>
      <c r="CA186" s="405">
        <v>4879267</v>
      </c>
      <c r="CB186" s="405">
        <v>0</v>
      </c>
      <c r="CC186" s="405">
        <v>0</v>
      </c>
      <c r="CD186" s="405">
        <v>60955</v>
      </c>
      <c r="CE186" s="405">
        <v>83710</v>
      </c>
      <c r="CF186" s="405">
        <v>11228310</v>
      </c>
    </row>
    <row r="187" spans="1:84" s="405" customFormat="1" x14ac:dyDescent="0.3">
      <c r="A187" s="405">
        <v>537</v>
      </c>
      <c r="B187" s="406">
        <v>537</v>
      </c>
      <c r="C187" s="405">
        <v>537</v>
      </c>
      <c r="D187" s="405" t="s">
        <v>1757</v>
      </c>
      <c r="E187" s="405" t="s">
        <v>504</v>
      </c>
      <c r="F187" s="405">
        <v>2</v>
      </c>
      <c r="G187" s="405">
        <v>1</v>
      </c>
      <c r="H187" s="405">
        <v>2</v>
      </c>
      <c r="I187" s="405">
        <v>2</v>
      </c>
      <c r="J187" s="405">
        <v>2</v>
      </c>
      <c r="K187" s="405">
        <v>2</v>
      </c>
      <c r="L187" s="405">
        <v>2</v>
      </c>
      <c r="M187" s="405">
        <v>2</v>
      </c>
      <c r="N187" s="405">
        <v>2</v>
      </c>
      <c r="O187" s="405">
        <v>2</v>
      </c>
      <c r="P187" s="405">
        <v>2</v>
      </c>
      <c r="Q187" s="405">
        <v>2</v>
      </c>
      <c r="R187" s="405">
        <v>2</v>
      </c>
      <c r="S187" s="405">
        <v>1</v>
      </c>
      <c r="T187" s="405">
        <v>2</v>
      </c>
      <c r="U187" s="405">
        <v>2</v>
      </c>
      <c r="V187" s="405">
        <v>0</v>
      </c>
      <c r="W187" s="405">
        <v>2</v>
      </c>
      <c r="X187" s="405">
        <v>1</v>
      </c>
      <c r="Y187" s="405">
        <v>2</v>
      </c>
      <c r="Z187" s="405">
        <v>0</v>
      </c>
      <c r="AA187" s="405">
        <v>1</v>
      </c>
      <c r="AB187" s="405">
        <v>1</v>
      </c>
      <c r="AC187" s="405">
        <v>2</v>
      </c>
      <c r="AD187" s="405">
        <v>2</v>
      </c>
      <c r="AE187" s="405">
        <v>2</v>
      </c>
      <c r="AF187" s="405">
        <v>2</v>
      </c>
      <c r="AG187" s="405">
        <v>2</v>
      </c>
      <c r="AH187" s="405">
        <v>2</v>
      </c>
      <c r="AI187" s="405">
        <v>2</v>
      </c>
      <c r="AJ187" s="405">
        <v>2</v>
      </c>
      <c r="AK187" s="405">
        <v>2</v>
      </c>
      <c r="AL187" s="405">
        <v>2</v>
      </c>
      <c r="AM187" s="405">
        <v>2</v>
      </c>
      <c r="AN187" s="405">
        <v>0</v>
      </c>
      <c r="AO187" s="405">
        <v>2</v>
      </c>
      <c r="AP187" s="405">
        <v>2</v>
      </c>
      <c r="AQ187" s="405">
        <v>2</v>
      </c>
      <c r="AR187" s="405">
        <v>1</v>
      </c>
      <c r="AS187" s="405">
        <v>2</v>
      </c>
      <c r="AT187" s="405">
        <v>2</v>
      </c>
      <c r="AU187" s="405">
        <v>0</v>
      </c>
      <c r="AV187" s="405">
        <v>2</v>
      </c>
      <c r="AW187" s="405">
        <v>1</v>
      </c>
      <c r="AX187" s="405">
        <v>1</v>
      </c>
      <c r="AY187" s="405">
        <v>2</v>
      </c>
      <c r="AZ187" s="405">
        <v>2</v>
      </c>
      <c r="BA187" s="405">
        <v>2</v>
      </c>
      <c r="BB187" s="405">
        <v>1</v>
      </c>
      <c r="BC187" s="405">
        <v>0</v>
      </c>
      <c r="BD187" s="405">
        <v>2</v>
      </c>
      <c r="BE187" s="405">
        <v>2</v>
      </c>
      <c r="BF187" s="405">
        <v>2</v>
      </c>
      <c r="BG187" s="405">
        <v>2</v>
      </c>
      <c r="BH187" s="405">
        <v>1</v>
      </c>
      <c r="BI187" s="405">
        <v>2</v>
      </c>
      <c r="BJ187" s="405">
        <v>1</v>
      </c>
      <c r="BK187" s="405">
        <v>1</v>
      </c>
      <c r="BL187" s="405">
        <v>2</v>
      </c>
      <c r="BM187" s="405">
        <v>2</v>
      </c>
      <c r="BN187" s="405">
        <v>1</v>
      </c>
      <c r="BO187" s="405">
        <v>1</v>
      </c>
      <c r="BP187" s="405">
        <v>0</v>
      </c>
      <c r="BQ187" s="405">
        <v>1</v>
      </c>
      <c r="BR187" s="405">
        <v>1</v>
      </c>
      <c r="BS187" s="405">
        <v>2</v>
      </c>
      <c r="BT187" s="405">
        <v>2</v>
      </c>
      <c r="BU187" s="405">
        <v>2</v>
      </c>
      <c r="BV187" s="405">
        <v>2</v>
      </c>
      <c r="BW187" s="405">
        <v>2</v>
      </c>
      <c r="BX187" s="405">
        <v>2</v>
      </c>
      <c r="BY187" s="405">
        <v>2</v>
      </c>
      <c r="BZ187" s="405">
        <v>2</v>
      </c>
      <c r="CA187" s="405">
        <v>1</v>
      </c>
      <c r="CB187" s="405">
        <v>0</v>
      </c>
      <c r="CC187" s="405">
        <v>2</v>
      </c>
      <c r="CD187" s="405">
        <v>1</v>
      </c>
      <c r="CE187" s="405">
        <v>2</v>
      </c>
      <c r="CF187" s="405">
        <v>2</v>
      </c>
    </row>
    <row r="188" spans="1:84" s="405" customFormat="1" x14ac:dyDescent="0.3">
      <c r="A188" s="405">
        <v>538</v>
      </c>
      <c r="B188" s="406">
        <v>538</v>
      </c>
      <c r="C188" s="405">
        <v>538</v>
      </c>
      <c r="D188" s="405" t="s">
        <v>1758</v>
      </c>
      <c r="E188" s="405" t="s">
        <v>505</v>
      </c>
      <c r="F188" s="405">
        <v>2</v>
      </c>
      <c r="G188" s="405">
        <v>2</v>
      </c>
      <c r="H188" s="405">
        <v>2</v>
      </c>
      <c r="I188" s="405">
        <v>2</v>
      </c>
      <c r="J188" s="405">
        <v>2</v>
      </c>
      <c r="K188" s="405">
        <v>2</v>
      </c>
      <c r="L188" s="405">
        <v>2</v>
      </c>
      <c r="M188" s="405">
        <v>2</v>
      </c>
      <c r="N188" s="405">
        <v>2</v>
      </c>
      <c r="O188" s="405">
        <v>2</v>
      </c>
      <c r="P188" s="405">
        <v>2</v>
      </c>
      <c r="Q188" s="405">
        <v>2</v>
      </c>
      <c r="R188" s="405">
        <v>2</v>
      </c>
      <c r="S188" s="405">
        <v>2</v>
      </c>
      <c r="T188" s="405">
        <v>2</v>
      </c>
      <c r="U188" s="405">
        <v>2</v>
      </c>
      <c r="V188" s="405">
        <v>0</v>
      </c>
      <c r="W188" s="405">
        <v>2</v>
      </c>
      <c r="X188" s="405">
        <v>1</v>
      </c>
      <c r="Y188" s="405">
        <v>2</v>
      </c>
      <c r="Z188" s="405">
        <v>0</v>
      </c>
      <c r="AA188" s="405">
        <v>2</v>
      </c>
      <c r="AB188" s="405">
        <v>2</v>
      </c>
      <c r="AC188" s="405">
        <v>2</v>
      </c>
      <c r="AD188" s="405">
        <v>1</v>
      </c>
      <c r="AE188" s="405">
        <v>2</v>
      </c>
      <c r="AF188" s="405">
        <v>2</v>
      </c>
      <c r="AG188" s="405">
        <v>2</v>
      </c>
      <c r="AH188" s="405">
        <v>2</v>
      </c>
      <c r="AI188" s="405">
        <v>2</v>
      </c>
      <c r="AJ188" s="405">
        <v>2</v>
      </c>
      <c r="AK188" s="405">
        <v>2</v>
      </c>
      <c r="AL188" s="405">
        <v>2</v>
      </c>
      <c r="AM188" s="405">
        <v>2</v>
      </c>
      <c r="AN188" s="405">
        <v>0</v>
      </c>
      <c r="AO188" s="405">
        <v>2</v>
      </c>
      <c r="AP188" s="405">
        <v>1</v>
      </c>
      <c r="AQ188" s="405">
        <v>2</v>
      </c>
      <c r="AR188" s="405">
        <v>1</v>
      </c>
      <c r="AS188" s="405">
        <v>2</v>
      </c>
      <c r="AT188" s="405">
        <v>2</v>
      </c>
      <c r="AU188" s="405">
        <v>0</v>
      </c>
      <c r="AV188" s="405">
        <v>2</v>
      </c>
      <c r="AW188" s="405">
        <v>2</v>
      </c>
      <c r="AX188" s="405">
        <v>2</v>
      </c>
      <c r="AY188" s="405">
        <v>2</v>
      </c>
      <c r="AZ188" s="405">
        <v>2</v>
      </c>
      <c r="BA188" s="405">
        <v>2</v>
      </c>
      <c r="BB188" s="405">
        <v>2</v>
      </c>
      <c r="BC188" s="405">
        <v>0</v>
      </c>
      <c r="BD188" s="405">
        <v>2</v>
      </c>
      <c r="BE188" s="405">
        <v>2</v>
      </c>
      <c r="BF188" s="405">
        <v>2</v>
      </c>
      <c r="BG188" s="405">
        <v>2</v>
      </c>
      <c r="BH188" s="405">
        <v>2</v>
      </c>
      <c r="BI188" s="405">
        <v>2</v>
      </c>
      <c r="BJ188" s="405">
        <v>1</v>
      </c>
      <c r="BK188" s="405">
        <v>1</v>
      </c>
      <c r="BL188" s="405">
        <v>2</v>
      </c>
      <c r="BM188" s="405">
        <v>2</v>
      </c>
      <c r="BN188" s="405">
        <v>2</v>
      </c>
      <c r="BO188" s="405">
        <v>1</v>
      </c>
      <c r="BP188" s="405">
        <v>0</v>
      </c>
      <c r="BQ188" s="405">
        <v>1</v>
      </c>
      <c r="BR188" s="405">
        <v>1</v>
      </c>
      <c r="BS188" s="405">
        <v>2</v>
      </c>
      <c r="BT188" s="405">
        <v>2</v>
      </c>
      <c r="BU188" s="405">
        <v>2</v>
      </c>
      <c r="BV188" s="405">
        <v>2</v>
      </c>
      <c r="BW188" s="405">
        <v>2</v>
      </c>
      <c r="BX188" s="405">
        <v>2</v>
      </c>
      <c r="BY188" s="405">
        <v>2</v>
      </c>
      <c r="BZ188" s="405">
        <v>2</v>
      </c>
      <c r="CA188" s="405">
        <v>2</v>
      </c>
      <c r="CB188" s="405">
        <v>0</v>
      </c>
      <c r="CC188" s="405">
        <v>2</v>
      </c>
      <c r="CD188" s="405">
        <v>2</v>
      </c>
      <c r="CE188" s="405">
        <v>2</v>
      </c>
      <c r="CF188" s="405">
        <v>2</v>
      </c>
    </row>
    <row r="189" spans="1:84" s="405" customFormat="1" x14ac:dyDescent="0.3">
      <c r="A189" s="405">
        <v>539</v>
      </c>
      <c r="B189" s="406"/>
      <c r="C189" s="405">
        <v>539</v>
      </c>
      <c r="D189" s="405" t="s">
        <v>1759</v>
      </c>
      <c r="E189" s="405" t="s">
        <v>506</v>
      </c>
    </row>
    <row r="190" spans="1:84" s="405" customFormat="1" x14ac:dyDescent="0.3">
      <c r="A190" s="405">
        <v>540</v>
      </c>
      <c r="B190" s="406">
        <v>540</v>
      </c>
      <c r="C190" s="405">
        <v>540</v>
      </c>
      <c r="D190" s="405" t="s">
        <v>1760</v>
      </c>
      <c r="E190" s="405" t="s">
        <v>507</v>
      </c>
      <c r="F190" s="405">
        <v>0</v>
      </c>
      <c r="G190" s="405">
        <v>0</v>
      </c>
      <c r="H190" s="405">
        <v>37315</v>
      </c>
      <c r="I190" s="405">
        <v>0</v>
      </c>
      <c r="J190" s="405">
        <v>19550</v>
      </c>
      <c r="K190" s="405">
        <v>0</v>
      </c>
      <c r="L190" s="405">
        <v>0</v>
      </c>
      <c r="M190" s="405">
        <v>0</v>
      </c>
      <c r="N190" s="405">
        <v>21750</v>
      </c>
      <c r="O190" s="405">
        <v>9153519</v>
      </c>
      <c r="P190" s="405">
        <v>21251</v>
      </c>
      <c r="Q190" s="405">
        <v>0</v>
      </c>
      <c r="R190" s="405">
        <v>11754</v>
      </c>
      <c r="S190" s="405">
        <v>2068755</v>
      </c>
      <c r="T190" s="405">
        <v>0</v>
      </c>
      <c r="U190" s="405">
        <v>0</v>
      </c>
      <c r="V190" s="405">
        <v>0</v>
      </c>
      <c r="W190" s="405">
        <v>0</v>
      </c>
      <c r="X190" s="405">
        <v>272408</v>
      </c>
      <c r="Y190" s="405">
        <v>0</v>
      </c>
      <c r="Z190" s="405">
        <v>0</v>
      </c>
      <c r="AA190" s="405">
        <v>0</v>
      </c>
      <c r="AB190" s="405">
        <v>4000000</v>
      </c>
      <c r="AC190" s="405">
        <v>0</v>
      </c>
      <c r="AD190" s="405">
        <v>51649</v>
      </c>
      <c r="AE190" s="405">
        <v>2667376</v>
      </c>
      <c r="AF190" s="405">
        <v>57927</v>
      </c>
      <c r="AG190" s="405">
        <v>0</v>
      </c>
      <c r="AH190" s="405">
        <v>0</v>
      </c>
      <c r="AI190" s="405">
        <v>0</v>
      </c>
      <c r="AJ190" s="405">
        <v>40000</v>
      </c>
      <c r="AK190" s="405">
        <v>410833</v>
      </c>
      <c r="AL190" s="405">
        <v>63800</v>
      </c>
      <c r="AM190" s="405">
        <v>0</v>
      </c>
      <c r="AN190" s="405">
        <v>0</v>
      </c>
      <c r="AO190" s="405">
        <v>0</v>
      </c>
      <c r="AP190" s="405">
        <v>1493200</v>
      </c>
      <c r="AQ190" s="405">
        <v>7970</v>
      </c>
      <c r="AR190" s="405">
        <v>165700</v>
      </c>
      <c r="AS190" s="405">
        <v>0</v>
      </c>
      <c r="AT190" s="405">
        <v>0</v>
      </c>
      <c r="AU190" s="405">
        <v>0</v>
      </c>
      <c r="AV190" s="405">
        <v>0</v>
      </c>
      <c r="AW190" s="405">
        <v>4260650</v>
      </c>
      <c r="AX190" s="405">
        <v>300000</v>
      </c>
      <c r="AY190" s="405">
        <v>0</v>
      </c>
      <c r="AZ190" s="405">
        <v>0</v>
      </c>
      <c r="BA190" s="405">
        <v>0</v>
      </c>
      <c r="BB190" s="405">
        <v>0</v>
      </c>
      <c r="BC190" s="405">
        <v>0</v>
      </c>
      <c r="BD190" s="405">
        <v>55900</v>
      </c>
      <c r="BE190" s="405">
        <v>0</v>
      </c>
      <c r="BF190" s="405">
        <v>12307</v>
      </c>
      <c r="BG190" s="405">
        <v>0</v>
      </c>
      <c r="BH190" s="405">
        <v>0</v>
      </c>
      <c r="BI190" s="405">
        <v>0</v>
      </c>
      <c r="BJ190" s="405">
        <v>883747</v>
      </c>
      <c r="BK190" s="405">
        <v>0</v>
      </c>
      <c r="BL190" s="405">
        <v>0</v>
      </c>
      <c r="BM190" s="405">
        <v>0</v>
      </c>
      <c r="BN190" s="405">
        <v>1500000</v>
      </c>
      <c r="BO190" s="405">
        <v>1257155</v>
      </c>
      <c r="BP190" s="405">
        <v>0</v>
      </c>
      <c r="BQ190" s="405">
        <v>3089001</v>
      </c>
      <c r="BR190" s="405">
        <v>87478</v>
      </c>
      <c r="BS190" s="405">
        <v>75000</v>
      </c>
      <c r="BT190" s="405">
        <v>0</v>
      </c>
      <c r="BU190" s="405">
        <v>170292</v>
      </c>
      <c r="BV190" s="405">
        <v>749550</v>
      </c>
      <c r="BW190" s="405">
        <v>0</v>
      </c>
      <c r="BX190" s="405">
        <v>223525</v>
      </c>
      <c r="BY190" s="405">
        <v>0</v>
      </c>
      <c r="BZ190" s="405">
        <v>0</v>
      </c>
      <c r="CA190" s="405">
        <v>0</v>
      </c>
      <c r="CB190" s="405">
        <v>0</v>
      </c>
      <c r="CC190" s="405">
        <v>580000</v>
      </c>
      <c r="CD190" s="405">
        <v>29353</v>
      </c>
      <c r="CE190" s="405">
        <v>60000</v>
      </c>
      <c r="CF190" s="405">
        <v>4464301</v>
      </c>
    </row>
    <row r="191" spans="1:84" s="405" customFormat="1" x14ac:dyDescent="0.3">
      <c r="A191" s="405">
        <v>541</v>
      </c>
      <c r="B191" s="406">
        <v>541</v>
      </c>
      <c r="C191" s="405">
        <v>541</v>
      </c>
      <c r="D191" s="405" t="s">
        <v>1761</v>
      </c>
      <c r="E191" s="405" t="s">
        <v>508</v>
      </c>
      <c r="F191" s="405">
        <v>26754</v>
      </c>
      <c r="G191" s="405">
        <v>69933</v>
      </c>
      <c r="H191" s="405">
        <v>0</v>
      </c>
      <c r="I191" s="405">
        <v>64190</v>
      </c>
      <c r="J191" s="405">
        <v>110971</v>
      </c>
      <c r="K191" s="405">
        <v>18998</v>
      </c>
      <c r="L191" s="405">
        <v>0</v>
      </c>
      <c r="M191" s="405">
        <v>55198</v>
      </c>
      <c r="N191" s="405">
        <v>-1229753</v>
      </c>
      <c r="O191" s="405">
        <v>0</v>
      </c>
      <c r="P191" s="405">
        <v>0</v>
      </c>
      <c r="Q191" s="405">
        <v>0</v>
      </c>
      <c r="R191" s="405">
        <v>-13387</v>
      </c>
      <c r="S191" s="405">
        <v>968335</v>
      </c>
      <c r="T191" s="405">
        <v>0</v>
      </c>
      <c r="U191" s="405">
        <v>-1245993</v>
      </c>
      <c r="V191" s="405">
        <v>0</v>
      </c>
      <c r="W191" s="405">
        <v>129829</v>
      </c>
      <c r="X191" s="405">
        <v>723432</v>
      </c>
      <c r="Y191" s="405">
        <v>0</v>
      </c>
      <c r="Z191" s="405">
        <v>0</v>
      </c>
      <c r="AA191" s="405">
        <v>486760</v>
      </c>
      <c r="AB191" s="405">
        <v>1550277</v>
      </c>
      <c r="AC191" s="405">
        <v>-6284</v>
      </c>
      <c r="AD191" s="405">
        <v>50618</v>
      </c>
      <c r="AE191" s="405">
        <v>0</v>
      </c>
      <c r="AF191" s="405">
        <v>0</v>
      </c>
      <c r="AG191" s="405">
        <v>0</v>
      </c>
      <c r="AH191" s="405">
        <v>3456248</v>
      </c>
      <c r="AI191" s="405">
        <v>-277</v>
      </c>
      <c r="AJ191" s="405">
        <v>-34604</v>
      </c>
      <c r="AK191" s="405">
        <v>555908</v>
      </c>
      <c r="AL191" s="405">
        <v>-1804</v>
      </c>
      <c r="AM191" s="405">
        <v>-13457</v>
      </c>
      <c r="AN191" s="405">
        <v>0</v>
      </c>
      <c r="AO191" s="405">
        <v>22951</v>
      </c>
      <c r="AP191" s="405">
        <v>66171</v>
      </c>
      <c r="AQ191" s="405">
        <v>0</v>
      </c>
      <c r="AR191" s="405">
        <v>90518</v>
      </c>
      <c r="AS191" s="405">
        <v>0</v>
      </c>
      <c r="AT191" s="405">
        <v>0</v>
      </c>
      <c r="AU191" s="405">
        <v>0</v>
      </c>
      <c r="AV191" s="405">
        <v>-4595</v>
      </c>
      <c r="AW191" s="405">
        <v>29401946</v>
      </c>
      <c r="AX191" s="405">
        <v>4585473</v>
      </c>
      <c r="AY191" s="405">
        <v>65930</v>
      </c>
      <c r="AZ191" s="405">
        <v>-21725</v>
      </c>
      <c r="BA191" s="405">
        <v>-27355</v>
      </c>
      <c r="BB191" s="405">
        <v>-131375</v>
      </c>
      <c r="BC191" s="405">
        <v>0</v>
      </c>
      <c r="BD191" s="405">
        <v>514728</v>
      </c>
      <c r="BE191" s="405">
        <v>7468</v>
      </c>
      <c r="BF191" s="405">
        <v>0</v>
      </c>
      <c r="BG191" s="405">
        <v>12585</v>
      </c>
      <c r="BH191" s="405">
        <v>-349541</v>
      </c>
      <c r="BI191" s="405">
        <v>0</v>
      </c>
      <c r="BJ191" s="405">
        <v>423825</v>
      </c>
      <c r="BK191" s="405">
        <v>-17978</v>
      </c>
      <c r="BL191" s="405">
        <v>0</v>
      </c>
      <c r="BM191" s="405">
        <v>0</v>
      </c>
      <c r="BN191" s="405">
        <v>1557388</v>
      </c>
      <c r="BO191" s="405">
        <v>-761933</v>
      </c>
      <c r="BP191" s="405">
        <v>0</v>
      </c>
      <c r="BQ191" s="405">
        <v>4433578</v>
      </c>
      <c r="BR191" s="405">
        <v>11200387</v>
      </c>
      <c r="BS191" s="405">
        <v>51141</v>
      </c>
      <c r="BT191" s="405">
        <v>140296</v>
      </c>
      <c r="BU191" s="405">
        <v>0</v>
      </c>
      <c r="BV191" s="405">
        <v>2268334</v>
      </c>
      <c r="BW191" s="405">
        <v>-8989</v>
      </c>
      <c r="BX191" s="405">
        <v>0</v>
      </c>
      <c r="BY191" s="405">
        <v>-610437</v>
      </c>
      <c r="BZ191" s="405">
        <v>0</v>
      </c>
      <c r="CA191" s="405">
        <v>14132925</v>
      </c>
      <c r="CB191" s="405">
        <v>0</v>
      </c>
      <c r="CC191" s="405">
        <v>0</v>
      </c>
      <c r="CD191" s="405">
        <v>56347</v>
      </c>
      <c r="CE191" s="405">
        <v>0</v>
      </c>
      <c r="CF191" s="405">
        <v>0</v>
      </c>
    </row>
    <row r="192" spans="1:84" s="405" customFormat="1" x14ac:dyDescent="0.3">
      <c r="A192" s="405">
        <v>542</v>
      </c>
      <c r="B192" s="406">
        <v>542</v>
      </c>
      <c r="C192" s="405">
        <v>542</v>
      </c>
      <c r="D192" s="405" t="s">
        <v>1762</v>
      </c>
      <c r="E192" s="405" t="s">
        <v>509</v>
      </c>
      <c r="F192" s="405">
        <v>0</v>
      </c>
      <c r="G192" s="405">
        <v>0</v>
      </c>
      <c r="H192" s="405">
        <v>0</v>
      </c>
      <c r="I192" s="405">
        <v>0</v>
      </c>
      <c r="J192" s="405">
        <v>0</v>
      </c>
      <c r="K192" s="405">
        <v>0</v>
      </c>
      <c r="L192" s="405">
        <v>0</v>
      </c>
      <c r="M192" s="405">
        <v>0</v>
      </c>
      <c r="N192" s="405">
        <v>0</v>
      </c>
      <c r="O192" s="405">
        <v>0</v>
      </c>
      <c r="P192" s="405">
        <v>0</v>
      </c>
      <c r="Q192" s="405">
        <v>0</v>
      </c>
      <c r="R192" s="405">
        <v>0</v>
      </c>
      <c r="S192" s="405">
        <v>0</v>
      </c>
      <c r="T192" s="405">
        <v>0</v>
      </c>
      <c r="U192" s="405">
        <v>0</v>
      </c>
      <c r="V192" s="405">
        <v>0</v>
      </c>
      <c r="W192" s="405">
        <v>0</v>
      </c>
      <c r="X192" s="405">
        <v>0</v>
      </c>
      <c r="Y192" s="405">
        <v>0</v>
      </c>
      <c r="Z192" s="405">
        <v>0</v>
      </c>
      <c r="AA192" s="405">
        <v>464764</v>
      </c>
      <c r="AB192" s="405">
        <v>0</v>
      </c>
      <c r="AC192" s="405">
        <v>0</v>
      </c>
      <c r="AD192" s="405">
        <v>0</v>
      </c>
      <c r="AE192" s="405">
        <v>0</v>
      </c>
      <c r="AF192" s="405">
        <v>0</v>
      </c>
      <c r="AG192" s="405">
        <v>0</v>
      </c>
      <c r="AH192" s="405">
        <v>0</v>
      </c>
      <c r="AI192" s="405">
        <v>0</v>
      </c>
      <c r="AJ192" s="405">
        <v>0</v>
      </c>
      <c r="AK192" s="405">
        <v>0</v>
      </c>
      <c r="AL192" s="405">
        <v>0</v>
      </c>
      <c r="AM192" s="405">
        <v>0</v>
      </c>
      <c r="AN192" s="405">
        <v>0</v>
      </c>
      <c r="AO192" s="405">
        <v>0</v>
      </c>
      <c r="AP192" s="405">
        <v>257200</v>
      </c>
      <c r="AQ192" s="405">
        <v>0</v>
      </c>
      <c r="AR192" s="405">
        <v>0</v>
      </c>
      <c r="AS192" s="405">
        <v>0</v>
      </c>
      <c r="AT192" s="405">
        <v>0</v>
      </c>
      <c r="AU192" s="405">
        <v>0</v>
      </c>
      <c r="AV192" s="405">
        <v>0</v>
      </c>
      <c r="AW192" s="405">
        <v>16331563</v>
      </c>
      <c r="AX192" s="405">
        <v>0</v>
      </c>
      <c r="AY192" s="405">
        <v>0</v>
      </c>
      <c r="AZ192" s="405">
        <v>0</v>
      </c>
      <c r="BA192" s="405">
        <v>0</v>
      </c>
      <c r="BB192" s="405">
        <v>0</v>
      </c>
      <c r="BC192" s="405">
        <v>0</v>
      </c>
      <c r="BD192" s="405">
        <v>0</v>
      </c>
      <c r="BE192" s="405">
        <v>0</v>
      </c>
      <c r="BF192" s="405">
        <v>0</v>
      </c>
      <c r="BG192" s="405">
        <v>0</v>
      </c>
      <c r="BH192" s="405">
        <v>0</v>
      </c>
      <c r="BI192" s="405">
        <v>0</v>
      </c>
      <c r="BJ192" s="405">
        <v>0</v>
      </c>
      <c r="BK192" s="405">
        <v>0</v>
      </c>
      <c r="BL192" s="405">
        <v>0</v>
      </c>
      <c r="BM192" s="405">
        <v>0</v>
      </c>
      <c r="BN192" s="405">
        <v>0</v>
      </c>
      <c r="BO192" s="405">
        <v>0</v>
      </c>
      <c r="BP192" s="405">
        <v>0</v>
      </c>
      <c r="BQ192" s="405">
        <v>0</v>
      </c>
      <c r="BR192" s="405">
        <v>13982814</v>
      </c>
      <c r="BS192" s="405">
        <v>0</v>
      </c>
      <c r="BT192" s="405">
        <v>0</v>
      </c>
      <c r="BU192" s="405">
        <v>0</v>
      </c>
      <c r="BV192" s="405">
        <v>0</v>
      </c>
      <c r="BW192" s="405">
        <v>0</v>
      </c>
      <c r="BX192" s="405">
        <v>0</v>
      </c>
      <c r="BY192" s="405">
        <v>0</v>
      </c>
      <c r="BZ192" s="405">
        <v>0</v>
      </c>
      <c r="CA192" s="405">
        <v>0</v>
      </c>
      <c r="CB192" s="405">
        <v>0</v>
      </c>
      <c r="CC192" s="405">
        <v>0</v>
      </c>
      <c r="CD192" s="405">
        <v>0</v>
      </c>
      <c r="CE192" s="405">
        <v>0</v>
      </c>
      <c r="CF192" s="405">
        <v>0</v>
      </c>
    </row>
    <row r="193" spans="1:84" s="405" customFormat="1" x14ac:dyDescent="0.3">
      <c r="A193" s="405">
        <v>543</v>
      </c>
      <c r="B193" s="406">
        <v>544</v>
      </c>
      <c r="C193" s="405">
        <v>543</v>
      </c>
      <c r="D193" s="405" t="s">
        <v>1763</v>
      </c>
      <c r="E193" s="405" t="s">
        <v>510</v>
      </c>
    </row>
    <row r="194" spans="1:84" s="405" customFormat="1" x14ac:dyDescent="0.3">
      <c r="A194" s="405">
        <v>544</v>
      </c>
      <c r="B194" s="406">
        <v>545</v>
      </c>
      <c r="C194" s="405">
        <v>544</v>
      </c>
      <c r="D194" s="405" t="s">
        <v>53</v>
      </c>
      <c r="E194" s="405" t="s">
        <v>511</v>
      </c>
      <c r="F194" s="405">
        <v>0</v>
      </c>
      <c r="G194" s="405">
        <v>0</v>
      </c>
      <c r="H194" s="405">
        <v>0</v>
      </c>
      <c r="I194" s="405">
        <v>0</v>
      </c>
      <c r="J194" s="405">
        <v>0</v>
      </c>
      <c r="K194" s="405">
        <v>0</v>
      </c>
      <c r="L194" s="405">
        <v>0</v>
      </c>
      <c r="M194" s="405">
        <v>0</v>
      </c>
      <c r="N194" s="405">
        <v>0</v>
      </c>
      <c r="O194" s="405">
        <v>0</v>
      </c>
      <c r="P194" s="405">
        <v>0.02</v>
      </c>
      <c r="Q194" s="405">
        <v>0</v>
      </c>
      <c r="R194" s="405">
        <v>0</v>
      </c>
      <c r="S194" s="405">
        <v>0</v>
      </c>
      <c r="T194" s="405">
        <v>0</v>
      </c>
      <c r="U194" s="405">
        <v>0</v>
      </c>
      <c r="V194" s="405">
        <v>0</v>
      </c>
      <c r="W194" s="405">
        <v>0</v>
      </c>
      <c r="X194" s="405">
        <v>0</v>
      </c>
      <c r="Y194" s="405">
        <v>0</v>
      </c>
      <c r="Z194" s="405">
        <v>0</v>
      </c>
      <c r="AA194" s="405">
        <v>0.01</v>
      </c>
      <c r="AB194" s="405">
        <v>0</v>
      </c>
      <c r="AC194" s="405">
        <v>0</v>
      </c>
      <c r="AD194" s="405">
        <v>0</v>
      </c>
      <c r="AE194" s="405">
        <v>0</v>
      </c>
      <c r="AF194" s="405">
        <v>0</v>
      </c>
      <c r="AG194" s="405">
        <v>0</v>
      </c>
      <c r="AH194" s="405">
        <v>0</v>
      </c>
      <c r="AI194" s="405">
        <v>0</v>
      </c>
      <c r="AJ194" s="405">
        <v>0</v>
      </c>
      <c r="AK194" s="405">
        <v>0</v>
      </c>
      <c r="AL194" s="405">
        <v>-0.02</v>
      </c>
      <c r="AM194" s="405">
        <v>0</v>
      </c>
      <c r="AN194" s="405">
        <v>0</v>
      </c>
      <c r="AO194" s="405">
        <v>0</v>
      </c>
      <c r="AP194" s="405">
        <v>0</v>
      </c>
      <c r="AQ194" s="405">
        <v>0</v>
      </c>
      <c r="AR194" s="405">
        <v>0</v>
      </c>
      <c r="AS194" s="405">
        <v>0</v>
      </c>
      <c r="AT194" s="405">
        <v>0</v>
      </c>
      <c r="AU194" s="405">
        <v>0</v>
      </c>
      <c r="AV194" s="405">
        <v>0</v>
      </c>
      <c r="AW194" s="405">
        <v>0.03</v>
      </c>
      <c r="AX194" s="405">
        <v>0</v>
      </c>
      <c r="AY194" s="405">
        <v>0</v>
      </c>
      <c r="AZ194" s="405">
        <v>0</v>
      </c>
      <c r="BA194" s="405">
        <v>0.39</v>
      </c>
      <c r="BB194" s="405">
        <v>0</v>
      </c>
      <c r="BC194" s="405">
        <v>0</v>
      </c>
      <c r="BD194" s="405">
        <v>0</v>
      </c>
      <c r="BE194" s="405">
        <v>0</v>
      </c>
      <c r="BF194" s="405">
        <v>0</v>
      </c>
      <c r="BG194" s="405">
        <v>0</v>
      </c>
      <c r="BH194" s="405">
        <v>0</v>
      </c>
      <c r="BI194" s="405">
        <v>0</v>
      </c>
      <c r="BJ194" s="405">
        <v>0</v>
      </c>
      <c r="BK194" s="405">
        <v>0</v>
      </c>
      <c r="BL194" s="405">
        <v>0</v>
      </c>
      <c r="BM194" s="405">
        <v>0</v>
      </c>
      <c r="BN194" s="405">
        <v>0</v>
      </c>
      <c r="BO194" s="405">
        <v>0</v>
      </c>
      <c r="BP194" s="405">
        <v>0</v>
      </c>
      <c r="BQ194" s="405">
        <v>0.02</v>
      </c>
      <c r="BR194" s="405">
        <v>0</v>
      </c>
      <c r="BS194" s="405">
        <v>0</v>
      </c>
      <c r="BT194" s="405">
        <v>0</v>
      </c>
      <c r="BU194" s="405">
        <v>0</v>
      </c>
      <c r="BV194" s="405">
        <v>0</v>
      </c>
      <c r="BW194" s="405">
        <v>0</v>
      </c>
      <c r="BX194" s="405">
        <v>0</v>
      </c>
      <c r="BY194" s="405">
        <v>0</v>
      </c>
      <c r="BZ194" s="405">
        <v>0</v>
      </c>
      <c r="CA194" s="405">
        <v>0</v>
      </c>
      <c r="CB194" s="405">
        <v>0</v>
      </c>
      <c r="CC194" s="405">
        <v>0</v>
      </c>
      <c r="CD194" s="405">
        <v>0</v>
      </c>
      <c r="CE194" s="405">
        <v>0</v>
      </c>
      <c r="CF194" s="405">
        <v>0</v>
      </c>
    </row>
    <row r="195" spans="1:84" s="405" customFormat="1" x14ac:dyDescent="0.3">
      <c r="A195" s="405">
        <v>545</v>
      </c>
      <c r="B195" s="406"/>
      <c r="C195" s="405">
        <v>545</v>
      </c>
      <c r="D195" s="405" t="s">
        <v>54</v>
      </c>
      <c r="E195" s="405" t="s">
        <v>512</v>
      </c>
      <c r="F195" s="405">
        <v>0</v>
      </c>
      <c r="G195" s="405">
        <v>0</v>
      </c>
      <c r="H195" s="405">
        <v>0</v>
      </c>
      <c r="I195" s="405">
        <v>0</v>
      </c>
      <c r="J195" s="405">
        <v>0</v>
      </c>
      <c r="K195" s="405">
        <v>0</v>
      </c>
      <c r="L195" s="405">
        <v>0</v>
      </c>
      <c r="M195" s="405">
        <v>0</v>
      </c>
      <c r="N195" s="405">
        <v>0</v>
      </c>
      <c r="O195" s="405">
        <v>0</v>
      </c>
      <c r="P195" s="405">
        <v>0</v>
      </c>
      <c r="Q195" s="405">
        <v>0</v>
      </c>
      <c r="R195" s="405">
        <v>0</v>
      </c>
      <c r="S195" s="405">
        <v>0</v>
      </c>
      <c r="T195" s="405">
        <v>0</v>
      </c>
      <c r="U195" s="405">
        <v>0</v>
      </c>
      <c r="V195" s="405">
        <v>0</v>
      </c>
      <c r="W195" s="405">
        <v>0</v>
      </c>
      <c r="X195" s="405">
        <v>0</v>
      </c>
      <c r="Y195" s="405">
        <v>0</v>
      </c>
      <c r="Z195" s="405">
        <v>0</v>
      </c>
      <c r="AA195" s="405">
        <v>0</v>
      </c>
      <c r="AB195" s="405">
        <v>0</v>
      </c>
      <c r="AC195" s="405">
        <v>0</v>
      </c>
      <c r="AD195" s="405">
        <v>0</v>
      </c>
      <c r="AE195" s="405">
        <v>0</v>
      </c>
      <c r="AF195" s="405">
        <v>0</v>
      </c>
      <c r="AG195" s="405">
        <v>0</v>
      </c>
      <c r="AH195" s="405">
        <v>0</v>
      </c>
      <c r="AI195" s="405">
        <v>0</v>
      </c>
      <c r="AJ195" s="405">
        <v>0</v>
      </c>
      <c r="AK195" s="405">
        <v>0</v>
      </c>
      <c r="AL195" s="405">
        <v>0</v>
      </c>
      <c r="AM195" s="405">
        <v>0</v>
      </c>
      <c r="AN195" s="405">
        <v>0</v>
      </c>
      <c r="AO195" s="405">
        <v>0.02</v>
      </c>
      <c r="AP195" s="405">
        <v>0</v>
      </c>
      <c r="AQ195" s="405">
        <v>0</v>
      </c>
      <c r="AR195" s="405">
        <v>0</v>
      </c>
      <c r="AS195" s="405">
        <v>0</v>
      </c>
      <c r="AT195" s="405">
        <v>0</v>
      </c>
      <c r="AU195" s="405">
        <v>0</v>
      </c>
      <c r="AV195" s="405">
        <v>0</v>
      </c>
      <c r="AW195" s="405">
        <v>0</v>
      </c>
      <c r="AX195" s="405">
        <v>0</v>
      </c>
      <c r="AY195" s="405">
        <v>0</v>
      </c>
      <c r="AZ195" s="405">
        <v>0</v>
      </c>
      <c r="BA195" s="405">
        <v>0.44</v>
      </c>
      <c r="BB195" s="405">
        <v>0</v>
      </c>
      <c r="BC195" s="405">
        <v>0</v>
      </c>
      <c r="BD195" s="405">
        <v>0</v>
      </c>
      <c r="BE195" s="405">
        <v>0</v>
      </c>
      <c r="BF195" s="405">
        <v>0</v>
      </c>
      <c r="BG195" s="405">
        <v>0</v>
      </c>
      <c r="BH195" s="405">
        <v>0</v>
      </c>
      <c r="BI195" s="405">
        <v>0</v>
      </c>
      <c r="BJ195" s="405">
        <v>0</v>
      </c>
      <c r="BK195" s="405">
        <v>0</v>
      </c>
      <c r="BL195" s="405">
        <v>0</v>
      </c>
      <c r="BM195" s="405">
        <v>0</v>
      </c>
      <c r="BN195" s="405">
        <v>0</v>
      </c>
      <c r="BO195" s="405">
        <v>0</v>
      </c>
      <c r="BP195" s="405">
        <v>0</v>
      </c>
      <c r="BQ195" s="405">
        <v>0</v>
      </c>
      <c r="BR195" s="405">
        <v>0</v>
      </c>
      <c r="BS195" s="405">
        <v>0</v>
      </c>
      <c r="BT195" s="405">
        <v>0</v>
      </c>
      <c r="BU195" s="405">
        <v>0</v>
      </c>
      <c r="BV195" s="405">
        <v>0</v>
      </c>
      <c r="BW195" s="405">
        <v>0</v>
      </c>
      <c r="BX195" s="405">
        <v>0</v>
      </c>
      <c r="BY195" s="405">
        <v>0</v>
      </c>
      <c r="BZ195" s="405">
        <v>0</v>
      </c>
      <c r="CA195" s="405">
        <v>0</v>
      </c>
      <c r="CB195" s="405">
        <v>0</v>
      </c>
      <c r="CC195" s="405">
        <v>0</v>
      </c>
      <c r="CD195" s="405">
        <v>0</v>
      </c>
      <c r="CE195" s="405">
        <v>0</v>
      </c>
      <c r="CF195" s="405">
        <v>0</v>
      </c>
    </row>
    <row r="196" spans="1:84" s="405" customFormat="1" x14ac:dyDescent="0.3">
      <c r="A196" s="405">
        <v>546</v>
      </c>
      <c r="B196" s="406"/>
      <c r="C196" s="405">
        <v>546</v>
      </c>
      <c r="D196" s="405" t="s">
        <v>849</v>
      </c>
      <c r="E196" s="405" t="s">
        <v>513</v>
      </c>
      <c r="F196" s="405">
        <v>0</v>
      </c>
      <c r="G196" s="405">
        <v>0</v>
      </c>
      <c r="H196" s="405">
        <v>0</v>
      </c>
      <c r="I196" s="405">
        <v>0</v>
      </c>
      <c r="J196" s="405">
        <v>0</v>
      </c>
      <c r="K196" s="405">
        <v>0</v>
      </c>
      <c r="L196" s="405">
        <v>0</v>
      </c>
      <c r="M196" s="405">
        <v>0</v>
      </c>
      <c r="N196" s="405">
        <v>0</v>
      </c>
      <c r="O196" s="405">
        <v>0</v>
      </c>
      <c r="P196" s="405">
        <v>0</v>
      </c>
      <c r="Q196" s="405">
        <v>0</v>
      </c>
      <c r="R196" s="405">
        <v>0</v>
      </c>
      <c r="S196" s="405">
        <v>0</v>
      </c>
      <c r="T196" s="405">
        <v>0</v>
      </c>
      <c r="U196" s="405">
        <v>0</v>
      </c>
      <c r="V196" s="405">
        <v>0</v>
      </c>
      <c r="W196" s="405">
        <v>0</v>
      </c>
      <c r="X196" s="405">
        <v>0</v>
      </c>
      <c r="Y196" s="405">
        <v>0</v>
      </c>
      <c r="Z196" s="405">
        <v>0</v>
      </c>
      <c r="AA196" s="405">
        <v>0</v>
      </c>
      <c r="AB196" s="405">
        <v>0</v>
      </c>
      <c r="AC196" s="405">
        <v>0</v>
      </c>
      <c r="AD196" s="405">
        <v>0</v>
      </c>
      <c r="AE196" s="405">
        <v>0</v>
      </c>
      <c r="AF196" s="405">
        <v>0</v>
      </c>
      <c r="AG196" s="405">
        <v>0</v>
      </c>
      <c r="AH196" s="405">
        <v>0</v>
      </c>
      <c r="AI196" s="405">
        <v>0</v>
      </c>
      <c r="AJ196" s="405">
        <v>0</v>
      </c>
      <c r="AK196" s="405">
        <v>0</v>
      </c>
      <c r="AL196" s="405">
        <v>0</v>
      </c>
      <c r="AM196" s="405">
        <v>0</v>
      </c>
      <c r="AN196" s="405">
        <v>0</v>
      </c>
      <c r="AO196" s="405">
        <v>0</v>
      </c>
      <c r="AP196" s="405">
        <v>0</v>
      </c>
      <c r="AQ196" s="405">
        <v>0</v>
      </c>
      <c r="AR196" s="405">
        <v>0</v>
      </c>
      <c r="AS196" s="405">
        <v>0</v>
      </c>
      <c r="AT196" s="405">
        <v>0</v>
      </c>
      <c r="AU196" s="405">
        <v>0</v>
      </c>
      <c r="AV196" s="405">
        <v>0</v>
      </c>
      <c r="AW196" s="405">
        <v>0</v>
      </c>
      <c r="AX196" s="405">
        <v>0</v>
      </c>
      <c r="AY196" s="405">
        <v>0</v>
      </c>
      <c r="AZ196" s="405">
        <v>0</v>
      </c>
      <c r="BA196" s="405">
        <v>0</v>
      </c>
      <c r="BB196" s="405">
        <v>0</v>
      </c>
      <c r="BC196" s="405">
        <v>0</v>
      </c>
      <c r="BD196" s="405">
        <v>0</v>
      </c>
      <c r="BE196" s="405">
        <v>0</v>
      </c>
      <c r="BF196" s="405">
        <v>0</v>
      </c>
      <c r="BG196" s="405">
        <v>0</v>
      </c>
      <c r="BH196" s="405">
        <v>0</v>
      </c>
      <c r="BI196" s="405">
        <v>0</v>
      </c>
      <c r="BJ196" s="405">
        <v>0</v>
      </c>
      <c r="BK196" s="405">
        <v>0</v>
      </c>
      <c r="BL196" s="405">
        <v>0</v>
      </c>
      <c r="BM196" s="405">
        <v>0</v>
      </c>
      <c r="BN196" s="405">
        <v>0</v>
      </c>
      <c r="BO196" s="405">
        <v>0</v>
      </c>
      <c r="BP196" s="405">
        <v>0</v>
      </c>
      <c r="BQ196" s="405">
        <v>0</v>
      </c>
      <c r="BR196" s="405">
        <v>0</v>
      </c>
      <c r="BS196" s="405">
        <v>0</v>
      </c>
      <c r="BT196" s="405">
        <v>0</v>
      </c>
      <c r="BU196" s="405">
        <v>0</v>
      </c>
      <c r="BV196" s="405">
        <v>0</v>
      </c>
      <c r="BW196" s="405">
        <v>0</v>
      </c>
      <c r="BX196" s="405">
        <v>0</v>
      </c>
      <c r="BY196" s="405">
        <v>0</v>
      </c>
      <c r="BZ196" s="405">
        <v>0</v>
      </c>
      <c r="CA196" s="405">
        <v>0</v>
      </c>
      <c r="CB196" s="405">
        <v>0</v>
      </c>
      <c r="CC196" s="405">
        <v>0</v>
      </c>
      <c r="CD196" s="405">
        <v>0</v>
      </c>
      <c r="CE196" s="405">
        <v>0</v>
      </c>
      <c r="CF196" s="405">
        <v>0</v>
      </c>
    </row>
    <row r="197" spans="1:84" s="405" customFormat="1" x14ac:dyDescent="0.3">
      <c r="A197" s="405">
        <v>547</v>
      </c>
      <c r="B197" s="406">
        <v>547</v>
      </c>
      <c r="C197" s="405">
        <v>547</v>
      </c>
      <c r="D197" s="1127" t="s">
        <v>1764</v>
      </c>
      <c r="E197" s="405" t="s">
        <v>514</v>
      </c>
      <c r="F197" s="405">
        <v>2</v>
      </c>
      <c r="G197" s="405">
        <v>3</v>
      </c>
      <c r="H197" s="405">
        <v>2</v>
      </c>
      <c r="I197" s="405">
        <v>3</v>
      </c>
      <c r="J197" s="405">
        <v>2</v>
      </c>
      <c r="K197" s="405">
        <v>2</v>
      </c>
      <c r="L197" s="405">
        <v>2</v>
      </c>
      <c r="M197" s="405">
        <v>2</v>
      </c>
      <c r="N197" s="405">
        <v>3</v>
      </c>
      <c r="O197" s="405">
        <v>3</v>
      </c>
      <c r="P197" s="405">
        <v>2</v>
      </c>
      <c r="Q197" s="405">
        <v>1</v>
      </c>
      <c r="R197" s="405">
        <v>2</v>
      </c>
      <c r="S197" s="405">
        <v>4</v>
      </c>
      <c r="T197" s="405">
        <v>2</v>
      </c>
      <c r="U197" s="405">
        <v>2</v>
      </c>
      <c r="V197" s="405">
        <v>0</v>
      </c>
      <c r="W197" s="405">
        <v>2</v>
      </c>
      <c r="X197" s="405">
        <v>3</v>
      </c>
      <c r="Y197" s="405">
        <v>2</v>
      </c>
      <c r="Z197" s="405">
        <v>0</v>
      </c>
      <c r="AA197" s="405">
        <v>3</v>
      </c>
      <c r="AB197" s="405">
        <v>3</v>
      </c>
      <c r="AC197" s="405">
        <v>2</v>
      </c>
      <c r="AD197" s="405">
        <v>2</v>
      </c>
      <c r="AE197" s="405">
        <v>3</v>
      </c>
      <c r="AF197" s="405">
        <v>2</v>
      </c>
      <c r="AG197" s="405">
        <v>2</v>
      </c>
      <c r="AH197" s="405">
        <v>3</v>
      </c>
      <c r="AI197" s="405">
        <v>2</v>
      </c>
      <c r="AJ197" s="405">
        <v>2</v>
      </c>
      <c r="AK197" s="405">
        <v>3</v>
      </c>
      <c r="AL197" s="405">
        <v>2</v>
      </c>
      <c r="AM197" s="405">
        <v>2</v>
      </c>
      <c r="AN197" s="405">
        <v>0</v>
      </c>
      <c r="AO197" s="405">
        <v>2</v>
      </c>
      <c r="AP197" s="405">
        <v>3</v>
      </c>
      <c r="AQ197" s="405">
        <v>2</v>
      </c>
      <c r="AR197" s="405">
        <v>3</v>
      </c>
      <c r="AS197" s="405">
        <v>2</v>
      </c>
      <c r="AT197" s="405">
        <v>2</v>
      </c>
      <c r="AU197" s="405">
        <v>0</v>
      </c>
      <c r="AV197" s="405">
        <v>2</v>
      </c>
      <c r="AW197" s="405">
        <v>3</v>
      </c>
      <c r="AX197" s="405">
        <v>3</v>
      </c>
      <c r="AY197" s="405">
        <v>2</v>
      </c>
      <c r="AZ197" s="405">
        <v>2</v>
      </c>
      <c r="BA197" s="405">
        <v>2</v>
      </c>
      <c r="BB197" s="405">
        <v>2</v>
      </c>
      <c r="BC197" s="405">
        <v>0</v>
      </c>
      <c r="BD197" s="405">
        <v>3</v>
      </c>
      <c r="BE197" s="405">
        <v>2</v>
      </c>
      <c r="BF197" s="405">
        <v>2</v>
      </c>
      <c r="BG197" s="405">
        <v>2</v>
      </c>
      <c r="BH197" s="405">
        <v>2</v>
      </c>
      <c r="BI197" s="405">
        <v>2</v>
      </c>
      <c r="BJ197" s="405">
        <v>1</v>
      </c>
      <c r="BK197" s="405">
        <v>3</v>
      </c>
      <c r="BL197" s="405">
        <v>2</v>
      </c>
      <c r="BM197" s="405">
        <v>2</v>
      </c>
      <c r="BN197" s="405">
        <v>3</v>
      </c>
      <c r="BO197" s="405">
        <v>3</v>
      </c>
      <c r="BP197" s="405">
        <v>0</v>
      </c>
      <c r="BQ197" s="405">
        <v>3</v>
      </c>
      <c r="BR197" s="405">
        <v>3</v>
      </c>
      <c r="BS197" s="405">
        <v>2</v>
      </c>
      <c r="BT197" s="405">
        <v>3</v>
      </c>
      <c r="BU197" s="405">
        <v>2</v>
      </c>
      <c r="BV197" s="405">
        <v>3</v>
      </c>
      <c r="BW197" s="405">
        <v>3</v>
      </c>
      <c r="BX197" s="405">
        <v>2</v>
      </c>
      <c r="BY197" s="405">
        <v>2</v>
      </c>
      <c r="BZ197" s="405">
        <v>1</v>
      </c>
      <c r="CA197" s="405">
        <v>3</v>
      </c>
      <c r="CB197" s="405">
        <v>0</v>
      </c>
      <c r="CC197" s="405">
        <v>3</v>
      </c>
      <c r="CD197" s="405">
        <v>2</v>
      </c>
      <c r="CE197" s="405">
        <v>2</v>
      </c>
      <c r="CF197" s="405">
        <v>3</v>
      </c>
    </row>
    <row r="198" spans="1:84" s="405" customFormat="1" x14ac:dyDescent="0.3">
      <c r="A198" s="405">
        <v>548</v>
      </c>
      <c r="B198" s="406"/>
      <c r="C198" s="405">
        <v>548</v>
      </c>
      <c r="D198" s="405" t="s">
        <v>540</v>
      </c>
      <c r="E198" s="405" t="s">
        <v>570</v>
      </c>
      <c r="F198" s="405">
        <v>0</v>
      </c>
      <c r="G198" s="405">
        <v>0</v>
      </c>
      <c r="H198" s="405">
        <v>0</v>
      </c>
      <c r="I198" s="405">
        <v>0</v>
      </c>
      <c r="J198" s="405">
        <v>0</v>
      </c>
      <c r="K198" s="405">
        <v>0</v>
      </c>
      <c r="L198" s="405">
        <v>0</v>
      </c>
      <c r="M198" s="405">
        <v>0</v>
      </c>
      <c r="N198" s="405">
        <v>0</v>
      </c>
      <c r="O198" s="405">
        <v>0</v>
      </c>
      <c r="P198" s="405">
        <v>0</v>
      </c>
      <c r="Q198" s="405">
        <v>0</v>
      </c>
      <c r="R198" s="405">
        <v>0</v>
      </c>
      <c r="S198" s="405">
        <v>0</v>
      </c>
      <c r="T198" s="405">
        <v>0</v>
      </c>
      <c r="U198" s="405">
        <v>0</v>
      </c>
      <c r="V198" s="405">
        <v>0</v>
      </c>
      <c r="W198" s="405">
        <v>0</v>
      </c>
      <c r="X198" s="405">
        <v>0</v>
      </c>
      <c r="Y198" s="405">
        <v>0</v>
      </c>
      <c r="Z198" s="405">
        <v>0</v>
      </c>
      <c r="AA198" s="405">
        <v>0</v>
      </c>
      <c r="AB198" s="405">
        <v>0</v>
      </c>
      <c r="AC198" s="405">
        <v>0</v>
      </c>
      <c r="AD198" s="405">
        <v>0</v>
      </c>
      <c r="AE198" s="405">
        <v>0</v>
      </c>
      <c r="AF198" s="405">
        <v>0</v>
      </c>
      <c r="AG198" s="405">
        <v>0</v>
      </c>
      <c r="AH198" s="405">
        <v>0</v>
      </c>
      <c r="AI198" s="405">
        <v>0</v>
      </c>
      <c r="AJ198" s="405">
        <v>0</v>
      </c>
      <c r="AK198" s="405">
        <v>0</v>
      </c>
      <c r="AL198" s="405">
        <v>0</v>
      </c>
      <c r="AM198" s="405">
        <v>0</v>
      </c>
      <c r="AN198" s="405">
        <v>0</v>
      </c>
      <c r="AO198" s="405">
        <v>0</v>
      </c>
      <c r="AP198" s="405">
        <v>0</v>
      </c>
      <c r="AQ198" s="405">
        <v>0</v>
      </c>
      <c r="AR198" s="405">
        <v>0</v>
      </c>
      <c r="AS198" s="405">
        <v>0</v>
      </c>
      <c r="AT198" s="405">
        <v>0</v>
      </c>
      <c r="AU198" s="405">
        <v>0</v>
      </c>
      <c r="AV198" s="405">
        <v>0</v>
      </c>
      <c r="AW198" s="405">
        <v>0</v>
      </c>
      <c r="AX198" s="405">
        <v>0</v>
      </c>
      <c r="AY198" s="405">
        <v>0</v>
      </c>
      <c r="AZ198" s="405">
        <v>0</v>
      </c>
      <c r="BA198" s="405">
        <v>0</v>
      </c>
      <c r="BB198" s="405">
        <v>0</v>
      </c>
      <c r="BC198" s="405">
        <v>0</v>
      </c>
      <c r="BD198" s="405">
        <v>0</v>
      </c>
      <c r="BE198" s="405">
        <v>0</v>
      </c>
      <c r="BF198" s="405">
        <v>0</v>
      </c>
      <c r="BG198" s="405">
        <v>0</v>
      </c>
      <c r="BH198" s="405">
        <v>0</v>
      </c>
      <c r="BI198" s="405">
        <v>0</v>
      </c>
      <c r="BJ198" s="405">
        <v>0</v>
      </c>
      <c r="BK198" s="405">
        <v>0</v>
      </c>
      <c r="BL198" s="405">
        <v>0</v>
      </c>
      <c r="BM198" s="405">
        <v>0</v>
      </c>
      <c r="BN198" s="405">
        <v>0</v>
      </c>
      <c r="BO198" s="405">
        <v>0</v>
      </c>
      <c r="BP198" s="405">
        <v>0</v>
      </c>
      <c r="BQ198" s="405">
        <v>0</v>
      </c>
      <c r="BR198" s="405">
        <v>0</v>
      </c>
      <c r="BS198" s="405">
        <v>0</v>
      </c>
      <c r="BT198" s="405">
        <v>0</v>
      </c>
      <c r="BU198" s="405">
        <v>0</v>
      </c>
      <c r="BV198" s="405">
        <v>0</v>
      </c>
      <c r="BW198" s="405">
        <v>0</v>
      </c>
      <c r="BX198" s="405">
        <v>0</v>
      </c>
      <c r="BY198" s="405">
        <v>0</v>
      </c>
      <c r="BZ198" s="405">
        <v>0</v>
      </c>
      <c r="CA198" s="405">
        <v>0</v>
      </c>
      <c r="CB198" s="405">
        <v>0</v>
      </c>
      <c r="CC198" s="405">
        <v>0</v>
      </c>
      <c r="CD198" s="405">
        <v>0</v>
      </c>
      <c r="CE198" s="405">
        <v>0</v>
      </c>
      <c r="CF198" s="405">
        <v>0</v>
      </c>
    </row>
    <row r="199" spans="1:84" s="405" customFormat="1" x14ac:dyDescent="0.3">
      <c r="A199" s="405">
        <v>549</v>
      </c>
      <c r="B199" s="406"/>
      <c r="C199" s="405">
        <v>549</v>
      </c>
      <c r="D199" s="405" t="s">
        <v>1765</v>
      </c>
      <c r="E199" s="405" t="s">
        <v>571</v>
      </c>
      <c r="F199" s="405">
        <v>0</v>
      </c>
      <c r="G199" s="405">
        <v>0</v>
      </c>
      <c r="H199" s="405">
        <v>0</v>
      </c>
      <c r="I199" s="405">
        <v>0</v>
      </c>
      <c r="J199" s="405">
        <v>0</v>
      </c>
      <c r="K199" s="405">
        <v>0</v>
      </c>
      <c r="L199" s="405">
        <v>0</v>
      </c>
      <c r="M199" s="405">
        <v>0</v>
      </c>
      <c r="N199" s="405">
        <v>0</v>
      </c>
      <c r="O199" s="405">
        <v>0</v>
      </c>
      <c r="P199" s="405">
        <v>0</v>
      </c>
      <c r="Q199" s="405">
        <v>0</v>
      </c>
      <c r="R199" s="405">
        <v>0</v>
      </c>
      <c r="S199" s="405">
        <v>0</v>
      </c>
      <c r="T199" s="405">
        <v>0</v>
      </c>
      <c r="U199" s="405">
        <v>0</v>
      </c>
      <c r="V199" s="405">
        <v>0</v>
      </c>
      <c r="W199" s="405">
        <v>0</v>
      </c>
      <c r="X199" s="405">
        <v>0</v>
      </c>
      <c r="Y199" s="405">
        <v>0</v>
      </c>
      <c r="Z199" s="405">
        <v>0</v>
      </c>
      <c r="AA199" s="405">
        <v>0</v>
      </c>
      <c r="AB199" s="405">
        <v>0</v>
      </c>
      <c r="AC199" s="405">
        <v>0</v>
      </c>
      <c r="AD199" s="405">
        <v>0</v>
      </c>
      <c r="AE199" s="405">
        <v>0</v>
      </c>
      <c r="AF199" s="405">
        <v>0</v>
      </c>
      <c r="AG199" s="405">
        <v>0</v>
      </c>
      <c r="AH199" s="405">
        <v>0</v>
      </c>
      <c r="AI199" s="405">
        <v>0</v>
      </c>
      <c r="AJ199" s="405">
        <v>0</v>
      </c>
      <c r="AK199" s="405">
        <v>0</v>
      </c>
      <c r="AL199" s="405">
        <v>0</v>
      </c>
      <c r="AM199" s="405">
        <v>0</v>
      </c>
      <c r="AN199" s="405">
        <v>0</v>
      </c>
      <c r="AO199" s="405">
        <v>0</v>
      </c>
      <c r="AP199" s="405">
        <v>0</v>
      </c>
      <c r="AQ199" s="405">
        <v>0</v>
      </c>
      <c r="AR199" s="405">
        <v>0</v>
      </c>
      <c r="AS199" s="405">
        <v>0</v>
      </c>
      <c r="AT199" s="405">
        <v>0</v>
      </c>
      <c r="AU199" s="405">
        <v>0</v>
      </c>
      <c r="AV199" s="405">
        <v>0</v>
      </c>
      <c r="AW199" s="405">
        <v>0</v>
      </c>
      <c r="AX199" s="405">
        <v>0</v>
      </c>
      <c r="AY199" s="405">
        <v>0</v>
      </c>
      <c r="AZ199" s="405">
        <v>0</v>
      </c>
      <c r="BA199" s="405">
        <v>0</v>
      </c>
      <c r="BB199" s="405">
        <v>0</v>
      </c>
      <c r="BC199" s="405">
        <v>0</v>
      </c>
      <c r="BD199" s="405">
        <v>0</v>
      </c>
      <c r="BE199" s="405">
        <v>0</v>
      </c>
      <c r="BF199" s="405">
        <v>0</v>
      </c>
      <c r="BG199" s="405">
        <v>0</v>
      </c>
      <c r="BH199" s="405">
        <v>0</v>
      </c>
      <c r="BI199" s="405">
        <v>0</v>
      </c>
      <c r="BJ199" s="405">
        <v>0</v>
      </c>
      <c r="BK199" s="405">
        <v>0</v>
      </c>
      <c r="BL199" s="405">
        <v>0</v>
      </c>
      <c r="BM199" s="405">
        <v>0</v>
      </c>
      <c r="BN199" s="405">
        <v>0</v>
      </c>
      <c r="BO199" s="405">
        <v>0</v>
      </c>
      <c r="BP199" s="405">
        <v>0</v>
      </c>
      <c r="BQ199" s="405">
        <v>0</v>
      </c>
      <c r="BR199" s="405">
        <v>0</v>
      </c>
      <c r="BS199" s="405">
        <v>0</v>
      </c>
      <c r="BT199" s="405">
        <v>0</v>
      </c>
      <c r="BU199" s="405">
        <v>0</v>
      </c>
      <c r="BV199" s="405">
        <v>0</v>
      </c>
      <c r="BW199" s="405">
        <v>0</v>
      </c>
      <c r="BX199" s="405">
        <v>0</v>
      </c>
      <c r="BY199" s="405">
        <v>0</v>
      </c>
      <c r="BZ199" s="405">
        <v>0</v>
      </c>
      <c r="CA199" s="405">
        <v>0</v>
      </c>
      <c r="CB199" s="405">
        <v>0</v>
      </c>
      <c r="CC199" s="405">
        <v>0</v>
      </c>
      <c r="CD199" s="405">
        <v>0</v>
      </c>
      <c r="CE199" s="405">
        <v>0</v>
      </c>
      <c r="CF199" s="405">
        <v>0</v>
      </c>
    </row>
    <row r="200" spans="1:84" s="405" customFormat="1" x14ac:dyDescent="0.3">
      <c r="A200" s="405">
        <v>550</v>
      </c>
      <c r="B200" s="406"/>
      <c r="C200" s="405">
        <v>550</v>
      </c>
      <c r="D200" s="405" t="s">
        <v>572</v>
      </c>
      <c r="E200" s="405" t="s">
        <v>573</v>
      </c>
      <c r="F200" s="405">
        <v>0</v>
      </c>
      <c r="G200" s="405">
        <v>0</v>
      </c>
      <c r="H200" s="405">
        <v>0</v>
      </c>
      <c r="I200" s="405">
        <v>0</v>
      </c>
      <c r="J200" s="405">
        <v>0</v>
      </c>
      <c r="K200" s="405">
        <v>0</v>
      </c>
      <c r="L200" s="405">
        <v>0</v>
      </c>
      <c r="M200" s="405">
        <v>0</v>
      </c>
      <c r="N200" s="405">
        <v>0</v>
      </c>
      <c r="O200" s="405">
        <v>0</v>
      </c>
      <c r="P200" s="405">
        <v>0</v>
      </c>
      <c r="Q200" s="405">
        <v>0</v>
      </c>
      <c r="R200" s="405">
        <v>0</v>
      </c>
      <c r="S200" s="405">
        <v>0</v>
      </c>
      <c r="T200" s="405">
        <v>0</v>
      </c>
      <c r="U200" s="405">
        <v>0</v>
      </c>
      <c r="V200" s="405">
        <v>0</v>
      </c>
      <c r="W200" s="405">
        <v>0</v>
      </c>
      <c r="X200" s="405">
        <v>0</v>
      </c>
      <c r="Y200" s="405">
        <v>0</v>
      </c>
      <c r="Z200" s="405">
        <v>0</v>
      </c>
      <c r="AA200" s="405">
        <v>0</v>
      </c>
      <c r="AB200" s="405">
        <v>0</v>
      </c>
      <c r="AC200" s="405">
        <v>0</v>
      </c>
      <c r="AD200" s="405">
        <v>0</v>
      </c>
      <c r="AE200" s="405">
        <v>0</v>
      </c>
      <c r="AF200" s="405">
        <v>0</v>
      </c>
      <c r="AG200" s="405">
        <v>0</v>
      </c>
      <c r="AH200" s="405">
        <v>0</v>
      </c>
      <c r="AI200" s="405">
        <v>0</v>
      </c>
      <c r="AJ200" s="405">
        <v>0</v>
      </c>
      <c r="AK200" s="405">
        <v>0</v>
      </c>
      <c r="AL200" s="405">
        <v>0</v>
      </c>
      <c r="AM200" s="405">
        <v>0</v>
      </c>
      <c r="AN200" s="405">
        <v>0</v>
      </c>
      <c r="AO200" s="405">
        <v>0</v>
      </c>
      <c r="AP200" s="405">
        <v>0</v>
      </c>
      <c r="AQ200" s="405">
        <v>0</v>
      </c>
      <c r="AR200" s="405">
        <v>0</v>
      </c>
      <c r="AS200" s="405">
        <v>0</v>
      </c>
      <c r="AT200" s="405">
        <v>0</v>
      </c>
      <c r="AU200" s="405">
        <v>0</v>
      </c>
      <c r="AV200" s="405">
        <v>0</v>
      </c>
      <c r="AW200" s="405">
        <v>0</v>
      </c>
      <c r="AX200" s="405">
        <v>0</v>
      </c>
      <c r="AY200" s="405">
        <v>0</v>
      </c>
      <c r="AZ200" s="405">
        <v>0</v>
      </c>
      <c r="BA200" s="405">
        <v>0</v>
      </c>
      <c r="BB200" s="405">
        <v>0</v>
      </c>
      <c r="BC200" s="405">
        <v>0</v>
      </c>
      <c r="BD200" s="405">
        <v>0</v>
      </c>
      <c r="BE200" s="405">
        <v>0</v>
      </c>
      <c r="BF200" s="405">
        <v>0</v>
      </c>
      <c r="BG200" s="405">
        <v>0</v>
      </c>
      <c r="BH200" s="405">
        <v>0</v>
      </c>
      <c r="BI200" s="405">
        <v>0</v>
      </c>
      <c r="BJ200" s="405">
        <v>0</v>
      </c>
      <c r="BK200" s="405">
        <v>0</v>
      </c>
      <c r="BL200" s="405">
        <v>0</v>
      </c>
      <c r="BM200" s="405">
        <v>0</v>
      </c>
      <c r="BN200" s="405">
        <v>0</v>
      </c>
      <c r="BO200" s="405">
        <v>0</v>
      </c>
      <c r="BP200" s="405">
        <v>0</v>
      </c>
      <c r="BQ200" s="405">
        <v>0</v>
      </c>
      <c r="BR200" s="405">
        <v>0</v>
      </c>
      <c r="BS200" s="405">
        <v>0</v>
      </c>
      <c r="BT200" s="405">
        <v>0</v>
      </c>
      <c r="BU200" s="405">
        <v>0</v>
      </c>
      <c r="BV200" s="405">
        <v>0</v>
      </c>
      <c r="BW200" s="405">
        <v>0</v>
      </c>
      <c r="BX200" s="405">
        <v>0</v>
      </c>
      <c r="BY200" s="405">
        <v>0</v>
      </c>
      <c r="BZ200" s="405">
        <v>0</v>
      </c>
      <c r="CA200" s="405">
        <v>0</v>
      </c>
      <c r="CB200" s="405">
        <v>0</v>
      </c>
      <c r="CC200" s="405">
        <v>0</v>
      </c>
      <c r="CD200" s="405">
        <v>0</v>
      </c>
      <c r="CE200" s="405">
        <v>0</v>
      </c>
      <c r="CF200" s="405">
        <v>0</v>
      </c>
    </row>
    <row r="201" spans="1:84" s="405" customFormat="1" ht="72" x14ac:dyDescent="0.3">
      <c r="A201" s="405">
        <v>551</v>
      </c>
      <c r="B201" s="406"/>
      <c r="C201" s="405">
        <v>551</v>
      </c>
      <c r="D201" s="1127" t="s">
        <v>1766</v>
      </c>
      <c r="E201" s="405" t="s">
        <v>574</v>
      </c>
    </row>
    <row r="202" spans="1:84" s="405" customFormat="1" x14ac:dyDescent="0.3">
      <c r="A202" s="405">
        <v>552</v>
      </c>
      <c r="B202" s="406"/>
      <c r="C202" s="405">
        <v>552</v>
      </c>
      <c r="D202" s="405" t="s">
        <v>542</v>
      </c>
      <c r="E202" s="405" t="s">
        <v>575</v>
      </c>
    </row>
    <row r="203" spans="1:84" s="405" customFormat="1" x14ac:dyDescent="0.3">
      <c r="A203" s="405">
        <v>553</v>
      </c>
      <c r="B203" s="406"/>
      <c r="C203" s="405">
        <v>553</v>
      </c>
      <c r="E203" s="405" t="s">
        <v>576</v>
      </c>
    </row>
    <row r="204" spans="1:84" s="405" customFormat="1" x14ac:dyDescent="0.3">
      <c r="A204" s="405">
        <v>554</v>
      </c>
      <c r="B204" s="406">
        <v>554</v>
      </c>
      <c r="C204" s="405">
        <v>554</v>
      </c>
      <c r="D204" s="405" t="s">
        <v>577</v>
      </c>
      <c r="E204" s="405" t="s">
        <v>578</v>
      </c>
      <c r="F204" s="405">
        <v>1386571</v>
      </c>
      <c r="G204" s="405">
        <v>0</v>
      </c>
      <c r="H204" s="405">
        <v>0</v>
      </c>
      <c r="I204" s="405">
        <v>0</v>
      </c>
      <c r="J204" s="405">
        <v>0</v>
      </c>
      <c r="K204" s="405">
        <v>0</v>
      </c>
      <c r="L204" s="405">
        <v>0</v>
      </c>
      <c r="M204" s="405">
        <v>764743</v>
      </c>
      <c r="N204" s="405">
        <v>3713</v>
      </c>
      <c r="O204" s="405">
        <v>21483191</v>
      </c>
      <c r="P204" s="405">
        <v>0</v>
      </c>
      <c r="Q204" s="405">
        <v>0</v>
      </c>
      <c r="R204" s="405">
        <v>0</v>
      </c>
      <c r="S204" s="405">
        <v>790522</v>
      </c>
      <c r="T204" s="405">
        <v>0</v>
      </c>
      <c r="U204" s="405">
        <v>1178148</v>
      </c>
      <c r="V204" s="405">
        <v>0</v>
      </c>
      <c r="W204" s="405">
        <v>0</v>
      </c>
      <c r="X204" s="405">
        <v>0</v>
      </c>
      <c r="Y204" s="405">
        <v>0</v>
      </c>
      <c r="Z204" s="405">
        <v>0</v>
      </c>
      <c r="AA204" s="405">
        <v>106444</v>
      </c>
      <c r="AB204" s="405">
        <v>2573357</v>
      </c>
      <c r="AC204" s="405">
        <v>0</v>
      </c>
      <c r="AD204" s="405">
        <v>0</v>
      </c>
      <c r="AE204" s="405">
        <v>273100</v>
      </c>
      <c r="AF204" s="405">
        <v>0</v>
      </c>
      <c r="AG204" s="405">
        <v>0</v>
      </c>
      <c r="AH204" s="405">
        <v>4586636</v>
      </c>
      <c r="AI204" s="405">
        <v>0</v>
      </c>
      <c r="AJ204" s="405">
        <v>0</v>
      </c>
      <c r="AK204" s="405">
        <v>1722211</v>
      </c>
      <c r="AL204" s="405">
        <v>0</v>
      </c>
      <c r="AM204" s="405">
        <v>0</v>
      </c>
      <c r="AN204" s="405">
        <v>0</v>
      </c>
      <c r="AO204" s="405">
        <v>0</v>
      </c>
      <c r="AP204" s="405">
        <v>12266</v>
      </c>
      <c r="AQ204" s="405">
        <v>0</v>
      </c>
      <c r="AR204" s="405">
        <v>0</v>
      </c>
      <c r="AS204" s="405">
        <v>0</v>
      </c>
      <c r="AT204" s="405">
        <v>0</v>
      </c>
      <c r="AU204" s="405">
        <v>0</v>
      </c>
      <c r="AV204" s="405">
        <v>0</v>
      </c>
      <c r="AW204" s="405">
        <v>39948287</v>
      </c>
      <c r="AX204" s="405">
        <v>17777847</v>
      </c>
      <c r="AY204" s="405">
        <v>0</v>
      </c>
      <c r="AZ204" s="405">
        <v>0</v>
      </c>
      <c r="BA204" s="405">
        <v>0</v>
      </c>
      <c r="BB204" s="405">
        <v>0</v>
      </c>
      <c r="BC204" s="405">
        <v>0</v>
      </c>
      <c r="BD204" s="405">
        <v>0</v>
      </c>
      <c r="BE204" s="405">
        <v>0</v>
      </c>
      <c r="BF204" s="405">
        <v>0</v>
      </c>
      <c r="BG204" s="405">
        <v>0</v>
      </c>
      <c r="BH204" s="405">
        <v>27192</v>
      </c>
      <c r="BI204" s="405">
        <v>0</v>
      </c>
      <c r="BJ204" s="405">
        <v>638278</v>
      </c>
      <c r="BK204" s="405">
        <v>43398</v>
      </c>
      <c r="BL204" s="405">
        <v>0</v>
      </c>
      <c r="BM204" s="405">
        <v>0</v>
      </c>
      <c r="BN204" s="405">
        <v>1070388</v>
      </c>
      <c r="BO204" s="405">
        <v>3162719</v>
      </c>
      <c r="BP204" s="405">
        <v>0</v>
      </c>
      <c r="BQ204" s="405">
        <v>4832601</v>
      </c>
      <c r="BR204" s="405">
        <v>4282968</v>
      </c>
      <c r="BS204" s="405">
        <v>1956199</v>
      </c>
      <c r="BT204" s="405">
        <v>0</v>
      </c>
      <c r="BU204" s="405">
        <v>0</v>
      </c>
      <c r="BV204" s="405">
        <v>0</v>
      </c>
      <c r="BW204" s="405">
        <v>0</v>
      </c>
      <c r="BX204" s="405">
        <v>867259</v>
      </c>
      <c r="BY204" s="405">
        <v>0</v>
      </c>
      <c r="BZ204" s="405">
        <v>0</v>
      </c>
      <c r="CA204" s="405">
        <v>1912588</v>
      </c>
      <c r="CB204" s="405">
        <v>0</v>
      </c>
      <c r="CC204" s="405">
        <v>0</v>
      </c>
      <c r="CD204" s="405">
        <v>0</v>
      </c>
      <c r="CE204" s="405">
        <v>0</v>
      </c>
      <c r="CF204" s="405">
        <v>663562</v>
      </c>
    </row>
    <row r="205" spans="1:84" s="405" customFormat="1" x14ac:dyDescent="0.3">
      <c r="A205" s="405">
        <v>555</v>
      </c>
      <c r="B205" s="406">
        <v>555</v>
      </c>
      <c r="C205" s="405">
        <v>555</v>
      </c>
      <c r="D205" s="405" t="s">
        <v>579</v>
      </c>
      <c r="E205" s="405" t="s">
        <v>580</v>
      </c>
      <c r="F205" s="405">
        <v>971133</v>
      </c>
      <c r="G205" s="405">
        <v>0</v>
      </c>
      <c r="H205" s="405">
        <v>0</v>
      </c>
      <c r="I205" s="405">
        <v>0</v>
      </c>
      <c r="J205" s="405">
        <v>0</v>
      </c>
      <c r="K205" s="405">
        <v>0</v>
      </c>
      <c r="L205" s="405">
        <v>0</v>
      </c>
      <c r="M205" s="405">
        <v>764743</v>
      </c>
      <c r="N205" s="405">
        <v>0</v>
      </c>
      <c r="O205" s="405">
        <v>9500801</v>
      </c>
      <c r="P205" s="405">
        <v>0</v>
      </c>
      <c r="Q205" s="405">
        <v>0</v>
      </c>
      <c r="R205" s="405">
        <v>0</v>
      </c>
      <c r="S205" s="405">
        <v>790522</v>
      </c>
      <c r="T205" s="405">
        <v>0</v>
      </c>
      <c r="U205" s="405">
        <v>1178148</v>
      </c>
      <c r="V205" s="405">
        <v>0</v>
      </c>
      <c r="W205" s="405">
        <v>0</v>
      </c>
      <c r="X205" s="405">
        <v>0</v>
      </c>
      <c r="Y205" s="405">
        <v>0</v>
      </c>
      <c r="Z205" s="405">
        <v>0</v>
      </c>
      <c r="AA205" s="405">
        <v>0</v>
      </c>
      <c r="AB205" s="405">
        <v>2162093</v>
      </c>
      <c r="AC205" s="405">
        <v>0</v>
      </c>
      <c r="AD205" s="405">
        <v>0</v>
      </c>
      <c r="AE205" s="405">
        <v>0</v>
      </c>
      <c r="AF205" s="405">
        <v>0</v>
      </c>
      <c r="AG205" s="405">
        <v>0</v>
      </c>
      <c r="AH205" s="405">
        <v>2303790</v>
      </c>
      <c r="AI205" s="405">
        <v>0</v>
      </c>
      <c r="AJ205" s="405">
        <v>0</v>
      </c>
      <c r="AK205" s="405">
        <v>1251646</v>
      </c>
      <c r="AL205" s="405">
        <v>0</v>
      </c>
      <c r="AM205" s="405">
        <v>0</v>
      </c>
      <c r="AN205" s="405">
        <v>0</v>
      </c>
      <c r="AO205" s="405">
        <v>0</v>
      </c>
      <c r="AP205" s="405">
        <v>0</v>
      </c>
      <c r="AQ205" s="405">
        <v>0</v>
      </c>
      <c r="AR205" s="405">
        <v>0</v>
      </c>
      <c r="AS205" s="405">
        <v>0</v>
      </c>
      <c r="AT205" s="405">
        <v>0</v>
      </c>
      <c r="AU205" s="405">
        <v>0</v>
      </c>
      <c r="AV205" s="405">
        <v>0</v>
      </c>
      <c r="AW205" s="405">
        <v>12343763</v>
      </c>
      <c r="AX205" s="405">
        <v>14471469</v>
      </c>
      <c r="AY205" s="405">
        <v>0</v>
      </c>
      <c r="AZ205" s="405">
        <v>0</v>
      </c>
      <c r="BA205" s="405">
        <v>0</v>
      </c>
      <c r="BB205" s="405">
        <v>0</v>
      </c>
      <c r="BC205" s="405">
        <v>0</v>
      </c>
      <c r="BD205" s="405">
        <v>0</v>
      </c>
      <c r="BE205" s="405">
        <v>0</v>
      </c>
      <c r="BF205" s="405">
        <v>0</v>
      </c>
      <c r="BG205" s="405">
        <v>0</v>
      </c>
      <c r="BH205" s="405">
        <v>0</v>
      </c>
      <c r="BI205" s="405">
        <v>0</v>
      </c>
      <c r="BJ205" s="405">
        <v>0</v>
      </c>
      <c r="BK205" s="405">
        <v>0</v>
      </c>
      <c r="BL205" s="405">
        <v>0</v>
      </c>
      <c r="BM205" s="405">
        <v>0</v>
      </c>
      <c r="BN205" s="405">
        <v>976805</v>
      </c>
      <c r="BO205" s="405">
        <v>2818799</v>
      </c>
      <c r="BP205" s="405">
        <v>0</v>
      </c>
      <c r="BQ205" s="405">
        <v>2303902</v>
      </c>
      <c r="BR205" s="405">
        <v>1314952</v>
      </c>
      <c r="BS205" s="405">
        <v>1956199</v>
      </c>
      <c r="BT205" s="405">
        <v>0</v>
      </c>
      <c r="BU205" s="405">
        <v>0</v>
      </c>
      <c r="BV205" s="405">
        <v>0</v>
      </c>
      <c r="BW205" s="405">
        <v>0</v>
      </c>
      <c r="BX205" s="405">
        <v>867259</v>
      </c>
      <c r="BY205" s="405">
        <v>0</v>
      </c>
      <c r="BZ205" s="405">
        <v>0</v>
      </c>
      <c r="CA205" s="405">
        <v>1294068</v>
      </c>
      <c r="CB205" s="405">
        <v>0</v>
      </c>
      <c r="CC205" s="405">
        <v>0</v>
      </c>
      <c r="CD205" s="405">
        <v>0</v>
      </c>
      <c r="CE205" s="405">
        <v>0</v>
      </c>
      <c r="CF205" s="405">
        <v>0</v>
      </c>
    </row>
    <row r="206" spans="1:84" s="405" customFormat="1" x14ac:dyDescent="0.3">
      <c r="A206" s="405">
        <v>556</v>
      </c>
      <c r="B206" s="406">
        <v>556</v>
      </c>
      <c r="C206" s="405">
        <v>556</v>
      </c>
      <c r="D206" s="405" t="s">
        <v>581</v>
      </c>
      <c r="E206" s="405" t="s">
        <v>582</v>
      </c>
      <c r="F206" s="405">
        <v>2323120</v>
      </c>
      <c r="G206" s="405">
        <v>0</v>
      </c>
      <c r="H206" s="405">
        <v>0</v>
      </c>
      <c r="I206" s="405">
        <v>0</v>
      </c>
      <c r="J206" s="405">
        <v>0</v>
      </c>
      <c r="K206" s="405">
        <v>0</v>
      </c>
      <c r="L206" s="405">
        <v>0</v>
      </c>
      <c r="M206" s="405">
        <v>84337</v>
      </c>
      <c r="N206" s="405">
        <v>2725715</v>
      </c>
      <c r="O206" s="405">
        <v>10689181</v>
      </c>
      <c r="P206" s="405">
        <v>0</v>
      </c>
      <c r="Q206" s="405">
        <v>0</v>
      </c>
      <c r="R206" s="405">
        <v>0</v>
      </c>
      <c r="S206" s="405">
        <v>277252</v>
      </c>
      <c r="T206" s="405">
        <v>0</v>
      </c>
      <c r="U206" s="405">
        <v>128229</v>
      </c>
      <c r="V206" s="405">
        <v>0</v>
      </c>
      <c r="W206" s="405">
        <v>0</v>
      </c>
      <c r="X206" s="405">
        <v>0</v>
      </c>
      <c r="Y206" s="405">
        <v>0</v>
      </c>
      <c r="Z206" s="405">
        <v>0</v>
      </c>
      <c r="AA206" s="405">
        <v>1056851</v>
      </c>
      <c r="AB206" s="405">
        <v>947537</v>
      </c>
      <c r="AC206" s="405">
        <v>0</v>
      </c>
      <c r="AD206" s="405">
        <v>0</v>
      </c>
      <c r="AE206" s="405">
        <v>1124980</v>
      </c>
      <c r="AF206" s="405">
        <v>0</v>
      </c>
      <c r="AG206" s="405">
        <v>0</v>
      </c>
      <c r="AH206" s="405">
        <v>4081029</v>
      </c>
      <c r="AI206" s="405">
        <v>0</v>
      </c>
      <c r="AJ206" s="405">
        <v>0</v>
      </c>
      <c r="AK206" s="405">
        <v>170412</v>
      </c>
      <c r="AL206" s="405">
        <v>0</v>
      </c>
      <c r="AM206" s="405">
        <v>0</v>
      </c>
      <c r="AN206" s="405">
        <v>0</v>
      </c>
      <c r="AO206" s="405">
        <v>0</v>
      </c>
      <c r="AP206" s="405">
        <v>904701</v>
      </c>
      <c r="AQ206" s="405">
        <v>0</v>
      </c>
      <c r="AR206" s="405">
        <v>0</v>
      </c>
      <c r="AS206" s="405">
        <v>0</v>
      </c>
      <c r="AT206" s="405">
        <v>0</v>
      </c>
      <c r="AU206" s="405">
        <v>0</v>
      </c>
      <c r="AV206" s="405">
        <v>0</v>
      </c>
      <c r="AW206" s="405">
        <v>14773800</v>
      </c>
      <c r="AX206" s="405">
        <v>3302011</v>
      </c>
      <c r="AY206" s="405">
        <v>0</v>
      </c>
      <c r="AZ206" s="405">
        <v>0</v>
      </c>
      <c r="BA206" s="405">
        <v>0</v>
      </c>
      <c r="BB206" s="405">
        <v>0</v>
      </c>
      <c r="BC206" s="405">
        <v>0</v>
      </c>
      <c r="BD206" s="405">
        <v>0</v>
      </c>
      <c r="BE206" s="405">
        <v>0</v>
      </c>
      <c r="BF206" s="405">
        <v>0</v>
      </c>
      <c r="BG206" s="405">
        <v>0</v>
      </c>
      <c r="BH206" s="405">
        <v>784004</v>
      </c>
      <c r="BI206" s="405">
        <v>0</v>
      </c>
      <c r="BJ206" s="405">
        <v>1450741</v>
      </c>
      <c r="BK206" s="405">
        <v>1895721</v>
      </c>
      <c r="BL206" s="405">
        <v>0</v>
      </c>
      <c r="BM206" s="405">
        <v>0</v>
      </c>
      <c r="BN206" s="405">
        <v>395154</v>
      </c>
      <c r="BO206" s="405">
        <v>913978</v>
      </c>
      <c r="BP206" s="405">
        <v>0</v>
      </c>
      <c r="BQ206" s="405">
        <v>2077827</v>
      </c>
      <c r="BR206" s="405">
        <v>5241759</v>
      </c>
      <c r="BS206" s="405">
        <v>0</v>
      </c>
      <c r="BT206" s="405">
        <v>0</v>
      </c>
      <c r="BU206" s="405">
        <v>0</v>
      </c>
      <c r="BV206" s="405">
        <v>0</v>
      </c>
      <c r="BW206" s="405">
        <v>0</v>
      </c>
      <c r="BX206" s="405">
        <v>60506</v>
      </c>
      <c r="BY206" s="405">
        <v>0</v>
      </c>
      <c r="BZ206" s="405">
        <v>0</v>
      </c>
      <c r="CA206" s="405">
        <v>900973</v>
      </c>
      <c r="CB206" s="405">
        <v>0</v>
      </c>
      <c r="CC206" s="405">
        <v>0</v>
      </c>
      <c r="CD206" s="405">
        <v>0</v>
      </c>
      <c r="CE206" s="405">
        <v>0</v>
      </c>
      <c r="CF206" s="405">
        <v>2505682</v>
      </c>
    </row>
    <row r="207" spans="1:84" s="405" customFormat="1" x14ac:dyDescent="0.3">
      <c r="A207" s="405">
        <v>557</v>
      </c>
      <c r="B207" s="406">
        <v>557</v>
      </c>
      <c r="C207" s="405">
        <v>557</v>
      </c>
      <c r="D207" s="405" t="s">
        <v>583</v>
      </c>
      <c r="E207" s="405" t="s">
        <v>584</v>
      </c>
      <c r="F207" s="405">
        <v>1400476</v>
      </c>
      <c r="G207" s="405">
        <v>0</v>
      </c>
      <c r="H207" s="405">
        <v>0</v>
      </c>
      <c r="I207" s="405">
        <v>0</v>
      </c>
      <c r="J207" s="405">
        <v>0</v>
      </c>
      <c r="K207" s="405">
        <v>0</v>
      </c>
      <c r="L207" s="405">
        <v>0</v>
      </c>
      <c r="M207" s="405">
        <v>0</v>
      </c>
      <c r="N207" s="405">
        <v>2123114</v>
      </c>
      <c r="O207" s="405">
        <v>8452939</v>
      </c>
      <c r="P207" s="405">
        <v>0</v>
      </c>
      <c r="Q207" s="405">
        <v>0</v>
      </c>
      <c r="R207" s="405">
        <v>0</v>
      </c>
      <c r="S207" s="405">
        <v>0</v>
      </c>
      <c r="T207" s="405">
        <v>0</v>
      </c>
      <c r="U207" s="405">
        <v>0</v>
      </c>
      <c r="V207" s="405">
        <v>0</v>
      </c>
      <c r="W207" s="405">
        <v>0</v>
      </c>
      <c r="X207" s="405">
        <v>0</v>
      </c>
      <c r="Y207" s="405">
        <v>0</v>
      </c>
      <c r="Z207" s="405">
        <v>0</v>
      </c>
      <c r="AA207" s="405">
        <v>859701</v>
      </c>
      <c r="AB207" s="405">
        <v>500000</v>
      </c>
      <c r="AC207" s="405">
        <v>0</v>
      </c>
      <c r="AD207" s="405">
        <v>0</v>
      </c>
      <c r="AE207" s="405">
        <v>896906</v>
      </c>
      <c r="AF207" s="405">
        <v>0</v>
      </c>
      <c r="AG207" s="405">
        <v>0</v>
      </c>
      <c r="AH207" s="405">
        <v>3490071</v>
      </c>
      <c r="AI207" s="405">
        <v>0</v>
      </c>
      <c r="AJ207" s="405">
        <v>0</v>
      </c>
      <c r="AK207" s="405">
        <v>0</v>
      </c>
      <c r="AL207" s="405">
        <v>0</v>
      </c>
      <c r="AM207" s="405">
        <v>0</v>
      </c>
      <c r="AN207" s="405">
        <v>0</v>
      </c>
      <c r="AO207" s="405">
        <v>0</v>
      </c>
      <c r="AP207" s="405">
        <v>767070</v>
      </c>
      <c r="AQ207" s="405">
        <v>0</v>
      </c>
      <c r="AR207" s="405">
        <v>0</v>
      </c>
      <c r="AS207" s="405">
        <v>0</v>
      </c>
      <c r="AT207" s="405">
        <v>0</v>
      </c>
      <c r="AU207" s="405">
        <v>0</v>
      </c>
      <c r="AV207" s="405">
        <v>0</v>
      </c>
      <c r="AW207" s="405">
        <v>10931434</v>
      </c>
      <c r="AX207" s="405">
        <v>2500000</v>
      </c>
      <c r="AY207" s="405">
        <v>0</v>
      </c>
      <c r="AZ207" s="405">
        <v>0</v>
      </c>
      <c r="BA207" s="405">
        <v>0</v>
      </c>
      <c r="BB207" s="405">
        <v>0</v>
      </c>
      <c r="BC207" s="405">
        <v>0</v>
      </c>
      <c r="BD207" s="405">
        <v>0</v>
      </c>
      <c r="BE207" s="405">
        <v>0</v>
      </c>
      <c r="BF207" s="405">
        <v>0</v>
      </c>
      <c r="BG207" s="405">
        <v>0</v>
      </c>
      <c r="BH207" s="405">
        <v>349445</v>
      </c>
      <c r="BI207" s="405">
        <v>0</v>
      </c>
      <c r="BJ207" s="405">
        <v>653282</v>
      </c>
      <c r="BK207" s="405">
        <v>1872131</v>
      </c>
      <c r="BL207" s="405">
        <v>0</v>
      </c>
      <c r="BM207" s="405">
        <v>0</v>
      </c>
      <c r="BN207" s="405">
        <v>0</v>
      </c>
      <c r="BO207" s="405">
        <v>533778</v>
      </c>
      <c r="BP207" s="405">
        <v>0</v>
      </c>
      <c r="BQ207" s="405">
        <v>1242054</v>
      </c>
      <c r="BR207" s="405">
        <v>4224777</v>
      </c>
      <c r="BS207" s="405">
        <v>0</v>
      </c>
      <c r="BT207" s="405">
        <v>0</v>
      </c>
      <c r="BU207" s="405">
        <v>0</v>
      </c>
      <c r="BV207" s="405">
        <v>0</v>
      </c>
      <c r="BW207" s="405">
        <v>0</v>
      </c>
      <c r="BX207" s="405">
        <v>0</v>
      </c>
      <c r="BY207" s="405">
        <v>0</v>
      </c>
      <c r="BZ207" s="405">
        <v>0</v>
      </c>
      <c r="CA207" s="405">
        <v>704269</v>
      </c>
      <c r="CB207" s="405">
        <v>0</v>
      </c>
      <c r="CC207" s="405">
        <v>0</v>
      </c>
      <c r="CD207" s="405">
        <v>0</v>
      </c>
      <c r="CE207" s="405">
        <v>0</v>
      </c>
      <c r="CF207" s="405">
        <v>2083826</v>
      </c>
    </row>
    <row r="208" spans="1:84" s="405" customFormat="1" x14ac:dyDescent="0.3">
      <c r="A208" s="405">
        <v>558</v>
      </c>
      <c r="B208" s="406"/>
      <c r="C208" s="405">
        <v>558</v>
      </c>
      <c r="E208" s="405" t="s">
        <v>585</v>
      </c>
    </row>
    <row r="209" spans="1:5" s="405" customFormat="1" x14ac:dyDescent="0.3">
      <c r="A209" s="405">
        <v>559</v>
      </c>
      <c r="B209" s="406"/>
      <c r="C209" s="405">
        <v>559</v>
      </c>
      <c r="E209" s="405" t="s">
        <v>586</v>
      </c>
    </row>
    <row r="210" spans="1:5" s="405" customFormat="1" x14ac:dyDescent="0.3">
      <c r="A210" s="405">
        <v>560</v>
      </c>
      <c r="B210" s="406"/>
      <c r="C210" s="405">
        <v>560</v>
      </c>
      <c r="E210" s="405" t="s">
        <v>587</v>
      </c>
    </row>
    <row r="211" spans="1:5" s="405" customFormat="1" x14ac:dyDescent="0.3">
      <c r="A211" s="405">
        <v>561</v>
      </c>
      <c r="B211" s="406"/>
      <c r="C211" s="405">
        <v>561</v>
      </c>
      <c r="E211" s="405" t="s">
        <v>588</v>
      </c>
    </row>
    <row r="212" spans="1:5" s="405" customFormat="1" x14ac:dyDescent="0.3">
      <c r="A212" s="405">
        <v>562</v>
      </c>
      <c r="B212" s="406"/>
      <c r="C212" s="405">
        <v>562</v>
      </c>
      <c r="E212" s="405" t="s">
        <v>589</v>
      </c>
    </row>
    <row r="213" spans="1:5" s="405" customFormat="1" x14ac:dyDescent="0.3">
      <c r="A213" s="405">
        <v>563</v>
      </c>
      <c r="B213" s="406"/>
      <c r="C213" s="405">
        <v>563</v>
      </c>
      <c r="E213" s="405" t="s">
        <v>590</v>
      </c>
    </row>
    <row r="214" spans="1:5" s="405" customFormat="1" x14ac:dyDescent="0.3">
      <c r="A214" s="405">
        <v>564</v>
      </c>
      <c r="B214" s="406"/>
      <c r="C214" s="405">
        <v>564</v>
      </c>
      <c r="E214" s="405" t="s">
        <v>591</v>
      </c>
    </row>
    <row r="215" spans="1:5" s="405" customFormat="1" x14ac:dyDescent="0.3">
      <c r="A215" s="405">
        <v>565</v>
      </c>
      <c r="B215" s="406"/>
      <c r="C215" s="405">
        <v>565</v>
      </c>
      <c r="E215" s="405" t="s">
        <v>592</v>
      </c>
    </row>
    <row r="216" spans="1:5" s="405" customFormat="1" x14ac:dyDescent="0.3">
      <c r="A216" s="405">
        <v>566</v>
      </c>
      <c r="B216" s="406"/>
      <c r="C216" s="405">
        <v>566</v>
      </c>
      <c r="E216" s="405" t="s">
        <v>593</v>
      </c>
    </row>
    <row r="217" spans="1:5" s="405" customFormat="1" x14ac:dyDescent="0.3">
      <c r="A217" s="405">
        <v>567</v>
      </c>
      <c r="B217" s="406"/>
      <c r="C217" s="405">
        <v>567</v>
      </c>
      <c r="E217" s="405" t="s">
        <v>594</v>
      </c>
    </row>
    <row r="218" spans="1:5" s="405" customFormat="1" x14ac:dyDescent="0.3">
      <c r="A218" s="405">
        <v>568</v>
      </c>
      <c r="B218" s="406"/>
      <c r="C218" s="405">
        <v>568</v>
      </c>
      <c r="E218" s="405" t="s">
        <v>595</v>
      </c>
    </row>
    <row r="219" spans="1:5" s="405" customFormat="1" x14ac:dyDescent="0.3">
      <c r="A219" s="405">
        <v>569</v>
      </c>
      <c r="B219" s="406"/>
      <c r="C219" s="405">
        <v>569</v>
      </c>
      <c r="E219" s="405" t="s">
        <v>596</v>
      </c>
    </row>
    <row r="220" spans="1:5" s="405" customFormat="1" x14ac:dyDescent="0.3">
      <c r="A220" s="405">
        <v>570</v>
      </c>
      <c r="B220" s="406"/>
      <c r="C220" s="405">
        <v>570</v>
      </c>
      <c r="E220" s="405" t="s">
        <v>597</v>
      </c>
    </row>
    <row r="221" spans="1:5" s="405" customFormat="1" x14ac:dyDescent="0.3">
      <c r="A221" s="405">
        <v>571</v>
      </c>
      <c r="B221" s="406"/>
      <c r="C221" s="405">
        <v>571</v>
      </c>
      <c r="E221" s="405" t="s">
        <v>598</v>
      </c>
    </row>
    <row r="222" spans="1:5" s="405" customFormat="1" x14ac:dyDescent="0.3">
      <c r="A222" s="405">
        <v>572</v>
      </c>
      <c r="B222" s="406"/>
      <c r="C222" s="405">
        <v>572</v>
      </c>
      <c r="E222" s="405" t="s">
        <v>599</v>
      </c>
    </row>
    <row r="223" spans="1:5" s="405" customFormat="1" x14ac:dyDescent="0.3">
      <c r="A223" s="405">
        <v>573</v>
      </c>
      <c r="B223" s="406"/>
      <c r="C223" s="405">
        <v>573</v>
      </c>
      <c r="E223" s="405" t="s">
        <v>600</v>
      </c>
    </row>
    <row r="224" spans="1:5" s="405" customFormat="1" x14ac:dyDescent="0.3">
      <c r="A224" s="405">
        <v>574</v>
      </c>
      <c r="B224" s="406"/>
      <c r="C224" s="405">
        <v>574</v>
      </c>
      <c r="E224" s="405" t="s">
        <v>601</v>
      </c>
    </row>
    <row r="225" spans="1:84" s="405" customFormat="1" x14ac:dyDescent="0.3">
      <c r="A225" s="405">
        <v>575</v>
      </c>
      <c r="B225" s="406">
        <v>575</v>
      </c>
      <c r="C225" s="405">
        <v>575</v>
      </c>
      <c r="D225" s="405" t="s">
        <v>547</v>
      </c>
      <c r="E225" s="405" t="s">
        <v>642</v>
      </c>
      <c r="F225" s="405">
        <v>0</v>
      </c>
      <c r="G225" s="405">
        <v>0</v>
      </c>
      <c r="H225" s="405">
        <v>0</v>
      </c>
      <c r="I225" s="405">
        <v>0</v>
      </c>
      <c r="J225" s="405">
        <v>0</v>
      </c>
      <c r="K225" s="405">
        <v>7558</v>
      </c>
      <c r="L225" s="405">
        <v>0</v>
      </c>
      <c r="M225" s="405">
        <v>468</v>
      </c>
      <c r="N225" s="405">
        <v>0</v>
      </c>
      <c r="O225" s="405">
        <v>0</v>
      </c>
      <c r="P225" s="405">
        <v>0</v>
      </c>
      <c r="Q225" s="405">
        <v>0</v>
      </c>
      <c r="R225" s="405">
        <v>27804</v>
      </c>
      <c r="S225" s="405">
        <v>4658</v>
      </c>
      <c r="T225" s="405">
        <v>0</v>
      </c>
      <c r="U225" s="405">
        <v>0</v>
      </c>
      <c r="V225" s="405">
        <v>0</v>
      </c>
      <c r="W225" s="405">
        <v>0</v>
      </c>
      <c r="X225" s="405">
        <v>0</v>
      </c>
      <c r="Y225" s="405">
        <v>0</v>
      </c>
      <c r="Z225" s="405">
        <v>0</v>
      </c>
      <c r="AA225" s="405">
        <v>0</v>
      </c>
      <c r="AB225" s="405">
        <v>0</v>
      </c>
      <c r="AC225" s="405">
        <v>0</v>
      </c>
      <c r="AD225" s="405">
        <v>0</v>
      </c>
      <c r="AE225" s="405">
        <v>0</v>
      </c>
      <c r="AF225" s="405">
        <v>0</v>
      </c>
      <c r="AG225" s="405">
        <v>0</v>
      </c>
      <c r="AH225" s="405">
        <v>0</v>
      </c>
      <c r="AI225" s="405">
        <v>0</v>
      </c>
      <c r="AJ225" s="405">
        <v>0</v>
      </c>
      <c r="AK225" s="405">
        <v>0</v>
      </c>
      <c r="AL225" s="405">
        <v>0</v>
      </c>
      <c r="AM225" s="405">
        <v>81235</v>
      </c>
      <c r="AN225" s="405">
        <v>0</v>
      </c>
      <c r="AO225" s="405">
        <v>0</v>
      </c>
      <c r="AP225" s="405">
        <v>0</v>
      </c>
      <c r="AQ225" s="405">
        <v>0</v>
      </c>
      <c r="AR225" s="405">
        <v>0</v>
      </c>
      <c r="AS225" s="405">
        <v>0</v>
      </c>
      <c r="AT225" s="405">
        <v>0</v>
      </c>
      <c r="AU225" s="405">
        <v>0</v>
      </c>
      <c r="AV225" s="405">
        <v>0</v>
      </c>
      <c r="AW225" s="405">
        <v>0</v>
      </c>
      <c r="AX225" s="405">
        <v>342458</v>
      </c>
      <c r="AY225" s="405">
        <v>0</v>
      </c>
      <c r="AZ225" s="405">
        <v>0</v>
      </c>
      <c r="BA225" s="405">
        <v>0</v>
      </c>
      <c r="BB225" s="405">
        <v>0</v>
      </c>
      <c r="BC225" s="405">
        <v>0</v>
      </c>
      <c r="BD225" s="405">
        <v>0</v>
      </c>
      <c r="BE225" s="405">
        <v>0</v>
      </c>
      <c r="BF225" s="405">
        <v>0</v>
      </c>
      <c r="BG225" s="405">
        <v>4689</v>
      </c>
      <c r="BH225" s="405">
        <v>0</v>
      </c>
      <c r="BI225" s="405">
        <v>0</v>
      </c>
      <c r="BJ225" s="405">
        <v>0</v>
      </c>
      <c r="BK225" s="405">
        <v>22263</v>
      </c>
      <c r="BL225" s="405">
        <v>0</v>
      </c>
      <c r="BM225" s="405">
        <v>0</v>
      </c>
      <c r="BN225" s="405">
        <v>0</v>
      </c>
      <c r="BO225" s="405">
        <v>0</v>
      </c>
      <c r="BP225" s="405">
        <v>0</v>
      </c>
      <c r="BQ225" s="405">
        <v>1018900</v>
      </c>
      <c r="BR225" s="405">
        <v>0</v>
      </c>
      <c r="BS225" s="405">
        <v>0</v>
      </c>
      <c r="BT225" s="405">
        <v>0</v>
      </c>
      <c r="BU225" s="405">
        <v>0</v>
      </c>
      <c r="BV225" s="405">
        <v>0</v>
      </c>
      <c r="BW225" s="405">
        <v>0</v>
      </c>
      <c r="BX225" s="405">
        <v>0</v>
      </c>
      <c r="BY225" s="405">
        <v>0</v>
      </c>
      <c r="BZ225" s="405">
        <v>0</v>
      </c>
      <c r="CA225" s="405">
        <v>0</v>
      </c>
      <c r="CB225" s="405">
        <v>0</v>
      </c>
      <c r="CC225" s="405">
        <v>0</v>
      </c>
      <c r="CD225" s="405">
        <v>85</v>
      </c>
      <c r="CE225" s="405">
        <v>0</v>
      </c>
      <c r="CF225" s="405">
        <v>4741209</v>
      </c>
    </row>
    <row r="226" spans="1:84" s="405" customFormat="1" x14ac:dyDescent="0.3">
      <c r="A226" s="405">
        <v>576</v>
      </c>
      <c r="B226" s="406">
        <v>576</v>
      </c>
      <c r="C226" s="405">
        <v>576</v>
      </c>
      <c r="D226" s="405" t="s">
        <v>548</v>
      </c>
      <c r="E226" s="405" t="s">
        <v>643</v>
      </c>
      <c r="F226" s="405">
        <v>0</v>
      </c>
      <c r="G226" s="405">
        <v>0</v>
      </c>
      <c r="H226" s="405">
        <v>0</v>
      </c>
      <c r="I226" s="405">
        <v>40582</v>
      </c>
      <c r="J226" s="405">
        <v>110687</v>
      </c>
      <c r="K226" s="405">
        <v>0</v>
      </c>
      <c r="L226" s="405">
        <v>0</v>
      </c>
      <c r="M226" s="405">
        <v>0</v>
      </c>
      <c r="N226" s="405">
        <v>91124</v>
      </c>
      <c r="O226" s="405">
        <v>0</v>
      </c>
      <c r="P226" s="405">
        <v>0</v>
      </c>
      <c r="Q226" s="405">
        <v>0</v>
      </c>
      <c r="R226" s="405">
        <v>0</v>
      </c>
      <c r="S226" s="405">
        <v>0</v>
      </c>
      <c r="T226" s="405">
        <v>0</v>
      </c>
      <c r="U226" s="405">
        <v>0</v>
      </c>
      <c r="V226" s="405">
        <v>0</v>
      </c>
      <c r="W226" s="405">
        <v>0</v>
      </c>
      <c r="X226" s="405">
        <v>0</v>
      </c>
      <c r="Y226" s="405">
        <v>0</v>
      </c>
      <c r="Z226" s="405">
        <v>0</v>
      </c>
      <c r="AA226" s="405">
        <v>165902</v>
      </c>
      <c r="AB226" s="405">
        <v>0</v>
      </c>
      <c r="AC226" s="405">
        <v>0</v>
      </c>
      <c r="AD226" s="405">
        <v>0</v>
      </c>
      <c r="AE226" s="405">
        <v>0</v>
      </c>
      <c r="AF226" s="405">
        <v>0</v>
      </c>
      <c r="AG226" s="405">
        <v>0</v>
      </c>
      <c r="AH226" s="405">
        <v>1572845</v>
      </c>
      <c r="AI226" s="405">
        <v>386</v>
      </c>
      <c r="AJ226" s="405">
        <v>0</v>
      </c>
      <c r="AK226" s="405">
        <v>0</v>
      </c>
      <c r="AL226" s="405">
        <v>0</v>
      </c>
      <c r="AM226" s="405">
        <v>0</v>
      </c>
      <c r="AN226" s="405">
        <v>0</v>
      </c>
      <c r="AO226" s="405">
        <v>0</v>
      </c>
      <c r="AP226" s="405">
        <v>13157</v>
      </c>
      <c r="AQ226" s="405">
        <v>0</v>
      </c>
      <c r="AR226" s="405">
        <v>0</v>
      </c>
      <c r="AS226" s="405">
        <v>0</v>
      </c>
      <c r="AT226" s="405">
        <v>0</v>
      </c>
      <c r="AU226" s="405">
        <v>0</v>
      </c>
      <c r="AV226" s="405">
        <v>0</v>
      </c>
      <c r="AW226" s="405">
        <v>8683681</v>
      </c>
      <c r="AX226" s="405">
        <v>0</v>
      </c>
      <c r="AY226" s="405">
        <v>0</v>
      </c>
      <c r="AZ226" s="405">
        <v>0</v>
      </c>
      <c r="BA226" s="405">
        <v>7390</v>
      </c>
      <c r="BB226" s="405">
        <v>0</v>
      </c>
      <c r="BC226" s="405">
        <v>0</v>
      </c>
      <c r="BD226" s="405">
        <v>0</v>
      </c>
      <c r="BE226" s="405">
        <v>0</v>
      </c>
      <c r="BF226" s="405">
        <v>0</v>
      </c>
      <c r="BG226" s="405">
        <v>0</v>
      </c>
      <c r="BH226" s="405">
        <v>0</v>
      </c>
      <c r="BI226" s="405">
        <v>0</v>
      </c>
      <c r="BJ226" s="405">
        <v>0</v>
      </c>
      <c r="BK226" s="405">
        <v>0</v>
      </c>
      <c r="BL226" s="405">
        <v>0</v>
      </c>
      <c r="BM226" s="405">
        <v>0</v>
      </c>
      <c r="BN226" s="405">
        <v>0</v>
      </c>
      <c r="BO226" s="405">
        <v>0</v>
      </c>
      <c r="BP226" s="405">
        <v>0</v>
      </c>
      <c r="BQ226" s="405">
        <v>0</v>
      </c>
      <c r="BR226" s="405">
        <v>13025761</v>
      </c>
      <c r="BS226" s="405">
        <v>0</v>
      </c>
      <c r="BT226" s="405">
        <v>0</v>
      </c>
      <c r="BU226" s="405">
        <v>0</v>
      </c>
      <c r="BV226" s="405">
        <v>0</v>
      </c>
      <c r="BW226" s="405">
        <v>0</v>
      </c>
      <c r="BX226" s="405">
        <v>0</v>
      </c>
      <c r="BY226" s="405">
        <v>0</v>
      </c>
      <c r="BZ226" s="405">
        <v>0</v>
      </c>
      <c r="CA226" s="405">
        <v>7000000</v>
      </c>
      <c r="CB226" s="405">
        <v>0</v>
      </c>
      <c r="CC226" s="405">
        <v>0</v>
      </c>
      <c r="CD226" s="405">
        <v>0</v>
      </c>
      <c r="CE226" s="405">
        <v>0</v>
      </c>
      <c r="CF226" s="405">
        <v>0</v>
      </c>
    </row>
    <row r="227" spans="1:84" s="405" customFormat="1" x14ac:dyDescent="0.3">
      <c r="A227" s="405">
        <v>577</v>
      </c>
      <c r="B227" s="406">
        <v>577</v>
      </c>
      <c r="C227" s="405">
        <v>577</v>
      </c>
      <c r="D227" s="405" t="s">
        <v>644</v>
      </c>
      <c r="E227" s="405" t="s">
        <v>645</v>
      </c>
      <c r="F227" s="405">
        <v>2</v>
      </c>
      <c r="G227" s="405">
        <v>2</v>
      </c>
      <c r="H227" s="405">
        <v>2</v>
      </c>
      <c r="I227" s="405">
        <v>2</v>
      </c>
      <c r="J227" s="405">
        <v>2</v>
      </c>
      <c r="K227" s="405">
        <v>2</v>
      </c>
      <c r="L227" s="405">
        <v>2</v>
      </c>
      <c r="M227" s="405">
        <v>0</v>
      </c>
      <c r="N227" s="405">
        <v>2</v>
      </c>
      <c r="O227" s="405">
        <v>2</v>
      </c>
      <c r="P227" s="405">
        <v>2</v>
      </c>
      <c r="Q227" s="405">
        <v>0</v>
      </c>
      <c r="R227" s="405">
        <v>2</v>
      </c>
      <c r="S227" s="405">
        <v>2</v>
      </c>
      <c r="T227" s="405">
        <v>0</v>
      </c>
      <c r="U227" s="405">
        <v>2</v>
      </c>
      <c r="V227" s="405">
        <v>0</v>
      </c>
      <c r="W227" s="405">
        <v>2</v>
      </c>
      <c r="X227" s="405">
        <v>2</v>
      </c>
      <c r="Y227" s="405">
        <v>0</v>
      </c>
      <c r="Z227" s="405">
        <v>0</v>
      </c>
      <c r="AA227" s="405">
        <v>2</v>
      </c>
      <c r="AB227" s="405">
        <v>2</v>
      </c>
      <c r="AC227" s="405">
        <v>0</v>
      </c>
      <c r="AD227" s="405">
        <v>2</v>
      </c>
      <c r="AE227" s="405">
        <v>2</v>
      </c>
      <c r="AF227" s="405">
        <v>2</v>
      </c>
      <c r="AG227" s="405">
        <v>2</v>
      </c>
      <c r="AH227" s="405">
        <v>1</v>
      </c>
      <c r="AI227" s="405">
        <v>0</v>
      </c>
      <c r="AJ227" s="405">
        <v>2</v>
      </c>
      <c r="AK227" s="405">
        <v>2</v>
      </c>
      <c r="AL227" s="405">
        <v>2</v>
      </c>
      <c r="AM227" s="405">
        <v>2</v>
      </c>
      <c r="AN227" s="405">
        <v>0</v>
      </c>
      <c r="AO227" s="405">
        <v>2</v>
      </c>
      <c r="AP227" s="405">
        <v>2</v>
      </c>
      <c r="AQ227" s="405">
        <v>2</v>
      </c>
      <c r="AR227" s="405">
        <v>2</v>
      </c>
      <c r="AS227" s="405">
        <v>2</v>
      </c>
      <c r="AT227" s="405">
        <v>0</v>
      </c>
      <c r="AU227" s="405">
        <v>0</v>
      </c>
      <c r="AV227" s="405">
        <v>2</v>
      </c>
      <c r="AW227" s="405">
        <v>2</v>
      </c>
      <c r="AX227" s="405">
        <v>2</v>
      </c>
      <c r="AY227" s="405">
        <v>2</v>
      </c>
      <c r="AZ227" s="405">
        <v>2</v>
      </c>
      <c r="BA227" s="405">
        <v>2</v>
      </c>
      <c r="BB227" s="405">
        <v>2</v>
      </c>
      <c r="BC227" s="405">
        <v>0</v>
      </c>
      <c r="BD227" s="405">
        <v>2</v>
      </c>
      <c r="BE227" s="405">
        <v>2</v>
      </c>
      <c r="BF227" s="405">
        <v>2</v>
      </c>
      <c r="BG227" s="405">
        <v>0</v>
      </c>
      <c r="BH227" s="405">
        <v>2</v>
      </c>
      <c r="BI227" s="405">
        <v>0</v>
      </c>
      <c r="BJ227" s="405">
        <v>2</v>
      </c>
      <c r="BK227" s="405">
        <v>2</v>
      </c>
      <c r="BL227" s="405">
        <v>0</v>
      </c>
      <c r="BM227" s="405">
        <v>0</v>
      </c>
      <c r="BN227" s="405">
        <v>2</v>
      </c>
      <c r="BO227" s="405">
        <v>2</v>
      </c>
      <c r="BP227" s="405">
        <v>0</v>
      </c>
      <c r="BQ227" s="405">
        <v>2</v>
      </c>
      <c r="BR227" s="405">
        <v>2</v>
      </c>
      <c r="BS227" s="405">
        <v>2</v>
      </c>
      <c r="BT227" s="405">
        <v>2</v>
      </c>
      <c r="BU227" s="405">
        <v>2</v>
      </c>
      <c r="BV227" s="405">
        <v>2</v>
      </c>
      <c r="BW227" s="405">
        <v>0</v>
      </c>
      <c r="BX227" s="405">
        <v>2</v>
      </c>
      <c r="BY227" s="405">
        <v>2</v>
      </c>
      <c r="BZ227" s="405">
        <v>2</v>
      </c>
      <c r="CA227" s="405">
        <v>2</v>
      </c>
      <c r="CB227" s="405">
        <v>0</v>
      </c>
      <c r="CC227" s="405">
        <v>2</v>
      </c>
      <c r="CD227" s="405">
        <v>2</v>
      </c>
      <c r="CE227" s="405">
        <v>2</v>
      </c>
      <c r="CF227" s="405">
        <v>2</v>
      </c>
    </row>
    <row r="228" spans="1:84" s="405" customFormat="1" x14ac:dyDescent="0.3">
      <c r="A228" s="405">
        <v>578</v>
      </c>
      <c r="B228" s="406">
        <v>578</v>
      </c>
      <c r="C228" s="405">
        <v>578</v>
      </c>
      <c r="D228" s="405" t="s">
        <v>646</v>
      </c>
      <c r="E228" s="405" t="s">
        <v>647</v>
      </c>
      <c r="F228" s="405">
        <v>0</v>
      </c>
      <c r="G228" s="405">
        <v>0</v>
      </c>
      <c r="H228" s="405">
        <v>0</v>
      </c>
      <c r="I228" s="405">
        <v>0</v>
      </c>
      <c r="J228" s="405">
        <v>0</v>
      </c>
      <c r="K228" s="405">
        <v>0</v>
      </c>
      <c r="L228" s="405">
        <v>0</v>
      </c>
      <c r="M228" s="405">
        <v>0</v>
      </c>
      <c r="N228" s="405">
        <v>0</v>
      </c>
      <c r="O228" s="405">
        <v>0</v>
      </c>
      <c r="P228" s="405">
        <v>0</v>
      </c>
      <c r="Q228" s="405">
        <v>0</v>
      </c>
      <c r="R228" s="405">
        <v>0</v>
      </c>
      <c r="S228" s="405">
        <v>0</v>
      </c>
      <c r="T228" s="405">
        <v>0</v>
      </c>
      <c r="U228" s="405">
        <v>0</v>
      </c>
      <c r="V228" s="405">
        <v>0</v>
      </c>
      <c r="W228" s="405">
        <v>0</v>
      </c>
      <c r="X228" s="405">
        <v>0</v>
      </c>
      <c r="Y228" s="405">
        <v>0</v>
      </c>
      <c r="Z228" s="405">
        <v>0</v>
      </c>
      <c r="AA228" s="405">
        <v>0</v>
      </c>
      <c r="AB228" s="405">
        <v>0</v>
      </c>
      <c r="AC228" s="405">
        <v>0</v>
      </c>
      <c r="AD228" s="405">
        <v>0</v>
      </c>
      <c r="AE228" s="405">
        <v>0</v>
      </c>
      <c r="AF228" s="405">
        <v>0</v>
      </c>
      <c r="AG228" s="405">
        <v>0</v>
      </c>
      <c r="AH228" s="405">
        <v>0</v>
      </c>
      <c r="AI228" s="405">
        <v>0</v>
      </c>
      <c r="AJ228" s="405">
        <v>0</v>
      </c>
      <c r="AK228" s="405">
        <v>0</v>
      </c>
      <c r="AL228" s="405">
        <v>0</v>
      </c>
      <c r="AM228" s="405">
        <v>0</v>
      </c>
      <c r="AN228" s="405">
        <v>0</v>
      </c>
      <c r="AO228" s="405">
        <v>0</v>
      </c>
      <c r="AP228" s="405">
        <v>0</v>
      </c>
      <c r="AQ228" s="405">
        <v>0</v>
      </c>
      <c r="AR228" s="405">
        <v>0</v>
      </c>
      <c r="AS228" s="405">
        <v>0</v>
      </c>
      <c r="AT228" s="405">
        <v>0</v>
      </c>
      <c r="AU228" s="405">
        <v>0</v>
      </c>
      <c r="AV228" s="405">
        <v>0</v>
      </c>
      <c r="AW228" s="405">
        <v>0</v>
      </c>
      <c r="AX228" s="405">
        <v>0</v>
      </c>
      <c r="AY228" s="405">
        <v>0</v>
      </c>
      <c r="AZ228" s="405">
        <v>0</v>
      </c>
      <c r="BA228" s="405">
        <v>0</v>
      </c>
      <c r="BB228" s="405">
        <v>0</v>
      </c>
      <c r="BC228" s="405">
        <v>0</v>
      </c>
      <c r="BD228" s="405">
        <v>0</v>
      </c>
      <c r="BE228" s="405">
        <v>0</v>
      </c>
      <c r="BF228" s="405">
        <v>0</v>
      </c>
      <c r="BG228" s="405">
        <v>4689</v>
      </c>
      <c r="BH228" s="405">
        <v>0</v>
      </c>
      <c r="BI228" s="405">
        <v>0</v>
      </c>
      <c r="BJ228" s="405">
        <v>0</v>
      </c>
      <c r="BK228" s="405">
        <v>0</v>
      </c>
      <c r="BL228" s="405">
        <v>0</v>
      </c>
      <c r="BM228" s="405">
        <v>0</v>
      </c>
      <c r="BN228" s="405">
        <v>0</v>
      </c>
      <c r="BO228" s="405">
        <v>0</v>
      </c>
      <c r="BP228" s="405">
        <v>0</v>
      </c>
      <c r="BQ228" s="405">
        <v>0</v>
      </c>
      <c r="BR228" s="405">
        <v>0</v>
      </c>
      <c r="BS228" s="405">
        <v>0</v>
      </c>
      <c r="BT228" s="405">
        <v>0</v>
      </c>
      <c r="BU228" s="405">
        <v>0</v>
      </c>
      <c r="BV228" s="405">
        <v>0</v>
      </c>
      <c r="BW228" s="405">
        <v>0</v>
      </c>
      <c r="BX228" s="405">
        <v>0</v>
      </c>
      <c r="BY228" s="405">
        <v>0</v>
      </c>
      <c r="BZ228" s="405">
        <v>0</v>
      </c>
      <c r="CA228" s="405">
        <v>0</v>
      </c>
      <c r="CB228" s="405">
        <v>0</v>
      </c>
      <c r="CC228" s="405">
        <v>0</v>
      </c>
      <c r="CD228" s="405">
        <v>0</v>
      </c>
      <c r="CE228" s="405">
        <v>0</v>
      </c>
      <c r="CF228" s="405">
        <v>0</v>
      </c>
    </row>
    <row r="229" spans="1:84" s="405" customFormat="1" x14ac:dyDescent="0.3">
      <c r="A229" s="405">
        <v>579</v>
      </c>
      <c r="B229" s="406">
        <v>579</v>
      </c>
      <c r="C229" s="405">
        <v>579</v>
      </c>
      <c r="D229" s="405" t="s">
        <v>648</v>
      </c>
      <c r="E229" s="405" t="s">
        <v>649</v>
      </c>
      <c r="F229" s="405">
        <v>0</v>
      </c>
      <c r="G229" s="405">
        <v>0</v>
      </c>
      <c r="H229" s="405">
        <v>0</v>
      </c>
      <c r="I229" s="405">
        <v>0</v>
      </c>
      <c r="J229" s="405">
        <v>0</v>
      </c>
      <c r="K229" s="405">
        <v>0</v>
      </c>
      <c r="L229" s="405">
        <v>0</v>
      </c>
      <c r="M229" s="405">
        <v>0</v>
      </c>
      <c r="N229" s="405">
        <v>0</v>
      </c>
      <c r="O229" s="405">
        <v>0</v>
      </c>
      <c r="P229" s="405">
        <v>0</v>
      </c>
      <c r="Q229" s="405">
        <v>0</v>
      </c>
      <c r="R229" s="405">
        <v>0</v>
      </c>
      <c r="S229" s="405">
        <v>0</v>
      </c>
      <c r="T229" s="405">
        <v>0</v>
      </c>
      <c r="U229" s="405">
        <v>0</v>
      </c>
      <c r="V229" s="405">
        <v>0</v>
      </c>
      <c r="W229" s="405">
        <v>0</v>
      </c>
      <c r="X229" s="405">
        <v>0</v>
      </c>
      <c r="Y229" s="405">
        <v>0</v>
      </c>
      <c r="Z229" s="405">
        <v>0</v>
      </c>
      <c r="AA229" s="405">
        <v>0</v>
      </c>
      <c r="AB229" s="405">
        <v>0</v>
      </c>
      <c r="AC229" s="405">
        <v>0</v>
      </c>
      <c r="AD229" s="405">
        <v>0</v>
      </c>
      <c r="AE229" s="405">
        <v>0</v>
      </c>
      <c r="AF229" s="405">
        <v>0</v>
      </c>
      <c r="AG229" s="405">
        <v>0</v>
      </c>
      <c r="AH229" s="405">
        <v>0</v>
      </c>
      <c r="AI229" s="405">
        <v>0</v>
      </c>
      <c r="AJ229" s="405">
        <v>0</v>
      </c>
      <c r="AK229" s="405">
        <v>0</v>
      </c>
      <c r="AL229" s="405">
        <v>0</v>
      </c>
      <c r="AM229" s="405">
        <v>0</v>
      </c>
      <c r="AN229" s="405">
        <v>0</v>
      </c>
      <c r="AO229" s="405">
        <v>0</v>
      </c>
      <c r="AP229" s="405">
        <v>0</v>
      </c>
      <c r="AQ229" s="405">
        <v>0</v>
      </c>
      <c r="AR229" s="405">
        <v>0</v>
      </c>
      <c r="AS229" s="405">
        <v>0</v>
      </c>
      <c r="AT229" s="405">
        <v>0</v>
      </c>
      <c r="AU229" s="405">
        <v>0</v>
      </c>
      <c r="AV229" s="405">
        <v>0</v>
      </c>
      <c r="AW229" s="405">
        <v>0</v>
      </c>
      <c r="AX229" s="405">
        <v>0</v>
      </c>
      <c r="AY229" s="405">
        <v>0</v>
      </c>
      <c r="AZ229" s="405">
        <v>0</v>
      </c>
      <c r="BA229" s="405">
        <v>0</v>
      </c>
      <c r="BB229" s="405">
        <v>0</v>
      </c>
      <c r="BC229" s="405">
        <v>0</v>
      </c>
      <c r="BD229" s="405">
        <v>0</v>
      </c>
      <c r="BE229" s="405">
        <v>0</v>
      </c>
      <c r="BF229" s="405">
        <v>0</v>
      </c>
      <c r="BG229" s="405">
        <v>0</v>
      </c>
      <c r="BH229" s="405">
        <v>0</v>
      </c>
      <c r="BI229" s="405">
        <v>0</v>
      </c>
      <c r="BJ229" s="405">
        <v>0</v>
      </c>
      <c r="BK229" s="405">
        <v>0</v>
      </c>
      <c r="BL229" s="405">
        <v>0</v>
      </c>
      <c r="BM229" s="405">
        <v>0</v>
      </c>
      <c r="BN229" s="405">
        <v>0</v>
      </c>
      <c r="BO229" s="405">
        <v>0</v>
      </c>
      <c r="BP229" s="405">
        <v>0</v>
      </c>
      <c r="BQ229" s="405">
        <v>0</v>
      </c>
      <c r="BR229" s="405">
        <v>0</v>
      </c>
      <c r="BS229" s="405">
        <v>0</v>
      </c>
      <c r="BT229" s="405">
        <v>0</v>
      </c>
      <c r="BU229" s="405">
        <v>0</v>
      </c>
      <c r="BV229" s="405">
        <v>0</v>
      </c>
      <c r="BW229" s="405">
        <v>0</v>
      </c>
      <c r="BX229" s="405">
        <v>0</v>
      </c>
      <c r="BY229" s="405">
        <v>0</v>
      </c>
      <c r="BZ229" s="405">
        <v>0</v>
      </c>
      <c r="CA229" s="405">
        <v>7000000</v>
      </c>
      <c r="CB229" s="405">
        <v>0</v>
      </c>
      <c r="CC229" s="405">
        <v>0</v>
      </c>
      <c r="CD229" s="405">
        <v>0</v>
      </c>
      <c r="CE229" s="405">
        <v>0</v>
      </c>
      <c r="CF229" s="405">
        <v>0</v>
      </c>
    </row>
    <row r="230" spans="1:84" s="405" customFormat="1" x14ac:dyDescent="0.3">
      <c r="A230" s="405">
        <v>580</v>
      </c>
      <c r="B230" s="406">
        <v>580</v>
      </c>
      <c r="C230" s="405">
        <v>580</v>
      </c>
      <c r="D230" s="405" t="s">
        <v>650</v>
      </c>
      <c r="E230" s="405" t="s">
        <v>651</v>
      </c>
      <c r="F230" s="405">
        <v>0</v>
      </c>
      <c r="G230" s="405">
        <v>0</v>
      </c>
      <c r="H230" s="405">
        <v>0</v>
      </c>
      <c r="I230" s="405">
        <v>0</v>
      </c>
      <c r="J230" s="405">
        <v>0</v>
      </c>
      <c r="K230" s="405">
        <v>0</v>
      </c>
      <c r="L230" s="405">
        <v>0</v>
      </c>
      <c r="M230" s="405">
        <v>0</v>
      </c>
      <c r="N230" s="405">
        <v>0</v>
      </c>
      <c r="O230" s="405">
        <v>0</v>
      </c>
      <c r="P230" s="405">
        <v>0</v>
      </c>
      <c r="Q230" s="405">
        <v>0</v>
      </c>
      <c r="R230" s="405">
        <v>0</v>
      </c>
      <c r="S230" s="405">
        <v>0</v>
      </c>
      <c r="T230" s="405">
        <v>0</v>
      </c>
      <c r="U230" s="405">
        <v>0</v>
      </c>
      <c r="V230" s="405">
        <v>0</v>
      </c>
      <c r="W230" s="405">
        <v>0</v>
      </c>
      <c r="X230" s="405">
        <v>0</v>
      </c>
      <c r="Y230" s="405">
        <v>0</v>
      </c>
      <c r="Z230" s="405">
        <v>0</v>
      </c>
      <c r="AA230" s="405">
        <v>0</v>
      </c>
      <c r="AB230" s="405">
        <v>0</v>
      </c>
      <c r="AC230" s="405">
        <v>0</v>
      </c>
      <c r="AD230" s="405">
        <v>0</v>
      </c>
      <c r="AE230" s="405">
        <v>0</v>
      </c>
      <c r="AF230" s="405">
        <v>0</v>
      </c>
      <c r="AG230" s="405">
        <v>0</v>
      </c>
      <c r="AH230" s="405">
        <v>0</v>
      </c>
      <c r="AI230" s="405">
        <v>0</v>
      </c>
      <c r="AJ230" s="405">
        <v>0</v>
      </c>
      <c r="AK230" s="405">
        <v>0</v>
      </c>
      <c r="AL230" s="405">
        <v>0</v>
      </c>
      <c r="AM230" s="405">
        <v>0</v>
      </c>
      <c r="AN230" s="405">
        <v>0</v>
      </c>
      <c r="AO230" s="405">
        <v>0</v>
      </c>
      <c r="AP230" s="405">
        <v>0</v>
      </c>
      <c r="AQ230" s="405">
        <v>0</v>
      </c>
      <c r="AR230" s="405">
        <v>0</v>
      </c>
      <c r="AS230" s="405">
        <v>0</v>
      </c>
      <c r="AT230" s="405">
        <v>0</v>
      </c>
      <c r="AU230" s="405">
        <v>0</v>
      </c>
      <c r="AV230" s="405">
        <v>0</v>
      </c>
      <c r="AW230" s="405">
        <v>0</v>
      </c>
      <c r="AX230" s="405">
        <v>0</v>
      </c>
      <c r="AY230" s="405">
        <v>0</v>
      </c>
      <c r="AZ230" s="405">
        <v>0</v>
      </c>
      <c r="BA230" s="405">
        <v>0</v>
      </c>
      <c r="BB230" s="405">
        <v>0</v>
      </c>
      <c r="BC230" s="405">
        <v>0</v>
      </c>
      <c r="BD230" s="405">
        <v>0</v>
      </c>
      <c r="BE230" s="405">
        <v>0</v>
      </c>
      <c r="BF230" s="405">
        <v>0</v>
      </c>
      <c r="BG230" s="405">
        <v>0</v>
      </c>
      <c r="BH230" s="405">
        <v>0</v>
      </c>
      <c r="BI230" s="405">
        <v>0</v>
      </c>
      <c r="BJ230" s="405">
        <v>0</v>
      </c>
      <c r="BK230" s="405">
        <v>0</v>
      </c>
      <c r="BL230" s="405">
        <v>0</v>
      </c>
      <c r="BM230" s="405">
        <v>0</v>
      </c>
      <c r="BN230" s="405">
        <v>0</v>
      </c>
      <c r="BO230" s="405">
        <v>0</v>
      </c>
      <c r="BP230" s="405">
        <v>0</v>
      </c>
      <c r="BQ230" s="405">
        <v>0</v>
      </c>
      <c r="BR230" s="405">
        <v>0</v>
      </c>
      <c r="BS230" s="405">
        <v>0</v>
      </c>
      <c r="BT230" s="405">
        <v>0</v>
      </c>
      <c r="BU230" s="405">
        <v>0</v>
      </c>
      <c r="BV230" s="405">
        <v>0</v>
      </c>
      <c r="BW230" s="405">
        <v>0</v>
      </c>
      <c r="BX230" s="405">
        <v>0</v>
      </c>
      <c r="BY230" s="405">
        <v>0</v>
      </c>
      <c r="BZ230" s="405">
        <v>0</v>
      </c>
      <c r="CA230" s="405">
        <v>0</v>
      </c>
      <c r="CB230" s="405">
        <v>0</v>
      </c>
      <c r="CC230" s="405">
        <v>0</v>
      </c>
      <c r="CD230" s="405">
        <v>0</v>
      </c>
      <c r="CE230" s="405">
        <v>0</v>
      </c>
      <c r="CF230" s="405">
        <v>0</v>
      </c>
    </row>
    <row r="231" spans="1:84" s="405" customFormat="1" x14ac:dyDescent="0.3">
      <c r="A231" s="405">
        <v>581</v>
      </c>
      <c r="B231" s="406">
        <v>581</v>
      </c>
      <c r="C231" s="405">
        <v>581</v>
      </c>
      <c r="D231" s="405" t="s">
        <v>652</v>
      </c>
      <c r="E231" s="405" t="s">
        <v>653</v>
      </c>
      <c r="F231" s="405">
        <v>0</v>
      </c>
      <c r="G231" s="405">
        <v>0</v>
      </c>
      <c r="H231" s="405">
        <v>0</v>
      </c>
      <c r="I231" s="405">
        <v>0</v>
      </c>
      <c r="J231" s="405">
        <v>0</v>
      </c>
      <c r="K231" s="405">
        <v>0</v>
      </c>
      <c r="L231" s="405">
        <v>0</v>
      </c>
      <c r="M231" s="405">
        <v>0</v>
      </c>
      <c r="N231" s="405">
        <v>0</v>
      </c>
      <c r="O231" s="405">
        <v>0</v>
      </c>
      <c r="P231" s="405">
        <v>0</v>
      </c>
      <c r="Q231" s="405">
        <v>0</v>
      </c>
      <c r="R231" s="405">
        <v>0</v>
      </c>
      <c r="S231" s="405">
        <v>0</v>
      </c>
      <c r="T231" s="405">
        <v>0</v>
      </c>
      <c r="U231" s="405">
        <v>0</v>
      </c>
      <c r="V231" s="405">
        <v>0</v>
      </c>
      <c r="W231" s="405">
        <v>0</v>
      </c>
      <c r="X231" s="405">
        <v>0</v>
      </c>
      <c r="Y231" s="405">
        <v>0</v>
      </c>
      <c r="Z231" s="405">
        <v>0</v>
      </c>
      <c r="AA231" s="405">
        <v>0</v>
      </c>
      <c r="AB231" s="405">
        <v>0</v>
      </c>
      <c r="AC231" s="405">
        <v>0</v>
      </c>
      <c r="AD231" s="405">
        <v>0</v>
      </c>
      <c r="AE231" s="405">
        <v>0</v>
      </c>
      <c r="AF231" s="405">
        <v>0</v>
      </c>
      <c r="AG231" s="405">
        <v>0</v>
      </c>
      <c r="AH231" s="405">
        <v>0</v>
      </c>
      <c r="AI231" s="405">
        <v>0</v>
      </c>
      <c r="AJ231" s="405">
        <v>0</v>
      </c>
      <c r="AK231" s="405">
        <v>0</v>
      </c>
      <c r="AL231" s="405">
        <v>0</v>
      </c>
      <c r="AM231" s="405">
        <v>0</v>
      </c>
      <c r="AN231" s="405">
        <v>0</v>
      </c>
      <c r="AO231" s="405">
        <v>0</v>
      </c>
      <c r="AP231" s="405">
        <v>0</v>
      </c>
      <c r="AQ231" s="405">
        <v>0</v>
      </c>
      <c r="AR231" s="405">
        <v>0</v>
      </c>
      <c r="AS231" s="405">
        <v>0</v>
      </c>
      <c r="AT231" s="405">
        <v>0</v>
      </c>
      <c r="AU231" s="405">
        <v>0</v>
      </c>
      <c r="AV231" s="405">
        <v>0</v>
      </c>
      <c r="AW231" s="405">
        <v>0</v>
      </c>
      <c r="AX231" s="405">
        <v>0</v>
      </c>
      <c r="AY231" s="405">
        <v>0</v>
      </c>
      <c r="AZ231" s="405">
        <v>0</v>
      </c>
      <c r="BA231" s="405">
        <v>0</v>
      </c>
      <c r="BB231" s="405">
        <v>0</v>
      </c>
      <c r="BC231" s="405">
        <v>0</v>
      </c>
      <c r="BD231" s="405">
        <v>0</v>
      </c>
      <c r="BE231" s="405">
        <v>0</v>
      </c>
      <c r="BF231" s="405">
        <v>0</v>
      </c>
      <c r="BG231" s="405">
        <v>0</v>
      </c>
      <c r="BH231" s="405">
        <v>0</v>
      </c>
      <c r="BI231" s="405">
        <v>0</v>
      </c>
      <c r="BJ231" s="405">
        <v>0</v>
      </c>
      <c r="BK231" s="405">
        <v>0</v>
      </c>
      <c r="BL231" s="405">
        <v>0</v>
      </c>
      <c r="BM231" s="405">
        <v>0</v>
      </c>
      <c r="BN231" s="405">
        <v>0</v>
      </c>
      <c r="BO231" s="405">
        <v>0</v>
      </c>
      <c r="BP231" s="405">
        <v>0</v>
      </c>
      <c r="BQ231" s="405">
        <v>0</v>
      </c>
      <c r="BR231" s="405">
        <v>0</v>
      </c>
      <c r="BS231" s="405">
        <v>0</v>
      </c>
      <c r="BT231" s="405">
        <v>0</v>
      </c>
      <c r="BU231" s="405">
        <v>0</v>
      </c>
      <c r="BV231" s="405">
        <v>0</v>
      </c>
      <c r="BW231" s="405">
        <v>0</v>
      </c>
      <c r="BX231" s="405">
        <v>0</v>
      </c>
      <c r="BY231" s="405">
        <v>0</v>
      </c>
      <c r="BZ231" s="405">
        <v>0</v>
      </c>
      <c r="CA231" s="405">
        <v>0</v>
      </c>
      <c r="CB231" s="405">
        <v>0</v>
      </c>
      <c r="CC231" s="405">
        <v>0</v>
      </c>
      <c r="CD231" s="405">
        <v>0</v>
      </c>
      <c r="CE231" s="405">
        <v>0</v>
      </c>
      <c r="CF231" s="405">
        <v>0</v>
      </c>
    </row>
    <row r="232" spans="1:84" s="405" customFormat="1" x14ac:dyDescent="0.3">
      <c r="A232" s="405">
        <v>582</v>
      </c>
      <c r="B232" s="406"/>
      <c r="C232" s="405">
        <v>582</v>
      </c>
      <c r="D232" s="405" t="s">
        <v>654</v>
      </c>
      <c r="E232" s="405" t="s">
        <v>655</v>
      </c>
    </row>
    <row r="233" spans="1:84" s="405" customFormat="1" x14ac:dyDescent="0.3">
      <c r="A233" s="405">
        <v>583</v>
      </c>
      <c r="B233" s="406"/>
      <c r="C233" s="405">
        <v>583</v>
      </c>
      <c r="D233" s="405" t="s">
        <v>656</v>
      </c>
      <c r="E233" s="405" t="s">
        <v>657</v>
      </c>
    </row>
    <row r="234" spans="1:84" s="405" customFormat="1" x14ac:dyDescent="0.3">
      <c r="A234" s="405">
        <v>584</v>
      </c>
      <c r="B234" s="406"/>
      <c r="C234" s="405">
        <v>584</v>
      </c>
      <c r="D234" s="405" t="s">
        <v>658</v>
      </c>
      <c r="E234" s="405" t="s">
        <v>659</v>
      </c>
    </row>
    <row r="235" spans="1:84" s="405" customFormat="1" x14ac:dyDescent="0.3">
      <c r="A235" s="405">
        <v>585</v>
      </c>
      <c r="B235" s="406"/>
      <c r="C235" s="405">
        <v>585</v>
      </c>
      <c r="D235" s="405" t="s">
        <v>660</v>
      </c>
      <c r="E235" s="405" t="s">
        <v>661</v>
      </c>
    </row>
    <row r="236" spans="1:84" s="405" customFormat="1" x14ac:dyDescent="0.3">
      <c r="A236" s="405">
        <v>586</v>
      </c>
      <c r="B236" s="406">
        <v>586</v>
      </c>
      <c r="C236" s="405">
        <v>586</v>
      </c>
      <c r="D236" s="405" t="s">
        <v>662</v>
      </c>
      <c r="E236" s="405" t="s">
        <v>663</v>
      </c>
      <c r="F236" s="405">
        <v>0</v>
      </c>
      <c r="G236" s="405">
        <v>0</v>
      </c>
      <c r="H236" s="405">
        <v>0</v>
      </c>
      <c r="I236" s="405">
        <v>0</v>
      </c>
      <c r="J236" s="405">
        <v>0</v>
      </c>
      <c r="K236" s="405">
        <v>0</v>
      </c>
      <c r="L236" s="405">
        <v>0</v>
      </c>
      <c r="M236" s="405">
        <v>0</v>
      </c>
      <c r="N236" s="405">
        <v>0</v>
      </c>
      <c r="O236" s="405">
        <v>0</v>
      </c>
      <c r="P236" s="405">
        <v>0</v>
      </c>
      <c r="Q236" s="405">
        <v>0</v>
      </c>
      <c r="R236" s="405">
        <v>0</v>
      </c>
      <c r="S236" s="405">
        <v>0</v>
      </c>
      <c r="T236" s="405">
        <v>0</v>
      </c>
      <c r="U236" s="405">
        <v>0</v>
      </c>
      <c r="V236" s="405">
        <v>0</v>
      </c>
      <c r="W236" s="405">
        <v>0</v>
      </c>
      <c r="X236" s="405">
        <v>0</v>
      </c>
      <c r="Y236" s="405">
        <v>0</v>
      </c>
      <c r="Z236" s="405">
        <v>0</v>
      </c>
      <c r="AA236" s="405">
        <v>0</v>
      </c>
      <c r="AB236" s="405">
        <v>0</v>
      </c>
      <c r="AC236" s="405">
        <v>0</v>
      </c>
      <c r="AD236" s="405">
        <v>0</v>
      </c>
      <c r="AE236" s="405">
        <v>0</v>
      </c>
      <c r="AF236" s="405">
        <v>0</v>
      </c>
      <c r="AG236" s="405">
        <v>0</v>
      </c>
      <c r="AH236" s="405">
        <v>0</v>
      </c>
      <c r="AI236" s="405">
        <v>0</v>
      </c>
      <c r="AJ236" s="405">
        <v>0</v>
      </c>
      <c r="AK236" s="405">
        <v>0</v>
      </c>
      <c r="AL236" s="405">
        <v>0</v>
      </c>
      <c r="AM236" s="405">
        <v>0</v>
      </c>
      <c r="AN236" s="405">
        <v>0</v>
      </c>
      <c r="AO236" s="405">
        <v>0</v>
      </c>
      <c r="AP236" s="405">
        <v>0</v>
      </c>
      <c r="AQ236" s="405">
        <v>0</v>
      </c>
      <c r="AR236" s="405">
        <v>0</v>
      </c>
      <c r="AS236" s="405">
        <v>0</v>
      </c>
      <c r="AT236" s="405">
        <v>0</v>
      </c>
      <c r="AU236" s="405">
        <v>0</v>
      </c>
      <c r="AV236" s="405">
        <v>0</v>
      </c>
      <c r="AW236" s="405">
        <v>0</v>
      </c>
      <c r="AX236" s="405">
        <v>0</v>
      </c>
      <c r="AY236" s="405">
        <v>0</v>
      </c>
      <c r="AZ236" s="405">
        <v>0</v>
      </c>
      <c r="BA236" s="405">
        <v>0</v>
      </c>
      <c r="BB236" s="405">
        <v>0</v>
      </c>
      <c r="BC236" s="405">
        <v>0</v>
      </c>
      <c r="BD236" s="405">
        <v>0</v>
      </c>
      <c r="BE236" s="405">
        <v>0</v>
      </c>
      <c r="BF236" s="405">
        <v>0</v>
      </c>
      <c r="BG236" s="405">
        <v>0</v>
      </c>
      <c r="BH236" s="405">
        <v>0</v>
      </c>
      <c r="BI236" s="405">
        <v>0</v>
      </c>
      <c r="BJ236" s="405">
        <v>0</v>
      </c>
      <c r="BK236" s="405">
        <v>0</v>
      </c>
      <c r="BL236" s="405">
        <v>0</v>
      </c>
      <c r="BM236" s="405">
        <v>0</v>
      </c>
      <c r="BN236" s="405">
        <v>0</v>
      </c>
      <c r="BO236" s="405">
        <v>0</v>
      </c>
      <c r="BP236" s="405">
        <v>0</v>
      </c>
      <c r="BQ236" s="405">
        <v>0</v>
      </c>
      <c r="BR236" s="405">
        <v>0</v>
      </c>
      <c r="BS236" s="405">
        <v>0</v>
      </c>
      <c r="BT236" s="405">
        <v>0</v>
      </c>
      <c r="BU236" s="405">
        <v>0</v>
      </c>
      <c r="BV236" s="405">
        <v>0</v>
      </c>
      <c r="BW236" s="405">
        <v>0</v>
      </c>
      <c r="BX236" s="405">
        <v>0</v>
      </c>
      <c r="BY236" s="405">
        <v>0</v>
      </c>
      <c r="BZ236" s="405">
        <v>0</v>
      </c>
      <c r="CA236" s="405">
        <v>0</v>
      </c>
      <c r="CB236" s="405">
        <v>0</v>
      </c>
      <c r="CC236" s="405">
        <v>0</v>
      </c>
      <c r="CD236" s="405">
        <v>85</v>
      </c>
      <c r="CE236" s="405">
        <v>0</v>
      </c>
      <c r="CF236" s="405">
        <v>0</v>
      </c>
    </row>
    <row r="237" spans="1:84" s="405" customFormat="1" x14ac:dyDescent="0.3">
      <c r="A237" s="405">
        <v>587</v>
      </c>
      <c r="B237" s="406"/>
      <c r="C237" s="405">
        <v>587</v>
      </c>
      <c r="D237" s="405" t="s">
        <v>664</v>
      </c>
      <c r="E237" s="405" t="s">
        <v>665</v>
      </c>
    </row>
    <row r="238" spans="1:84" s="405" customFormat="1" x14ac:dyDescent="0.3">
      <c r="A238" s="405">
        <v>588</v>
      </c>
      <c r="B238" s="406"/>
      <c r="C238" s="405">
        <v>588</v>
      </c>
      <c r="D238" s="405" t="s">
        <v>666</v>
      </c>
      <c r="E238" s="405" t="s">
        <v>667</v>
      </c>
    </row>
    <row r="239" spans="1:84" s="405" customFormat="1" x14ac:dyDescent="0.3">
      <c r="A239" s="405">
        <v>589</v>
      </c>
      <c r="B239" s="406"/>
      <c r="C239" s="405">
        <v>589</v>
      </c>
      <c r="D239" s="405" t="s">
        <v>668</v>
      </c>
      <c r="E239" s="405" t="s">
        <v>669</v>
      </c>
    </row>
    <row r="240" spans="1:84" s="405" customFormat="1" x14ac:dyDescent="0.3">
      <c r="A240" s="405">
        <v>590</v>
      </c>
      <c r="B240" s="406"/>
      <c r="C240" s="405">
        <v>590</v>
      </c>
      <c r="D240" s="405" t="s">
        <v>670</v>
      </c>
      <c r="E240" s="405" t="s">
        <v>671</v>
      </c>
    </row>
    <row r="241" spans="1:84" s="405" customFormat="1" x14ac:dyDescent="0.3">
      <c r="A241" s="405">
        <v>992</v>
      </c>
      <c r="B241" s="406"/>
      <c r="C241" s="405">
        <v>992</v>
      </c>
      <c r="E241" s="405" t="s">
        <v>602</v>
      </c>
    </row>
    <row r="242" spans="1:84" s="409" customFormat="1" x14ac:dyDescent="0.3">
      <c r="A242" s="409">
        <v>993</v>
      </c>
      <c r="B242" s="410"/>
      <c r="C242" s="409">
        <v>993</v>
      </c>
      <c r="D242" s="409" t="s">
        <v>515</v>
      </c>
      <c r="E242" s="409" t="s">
        <v>516</v>
      </c>
    </row>
    <row r="243" spans="1:84" s="409" customFormat="1" x14ac:dyDescent="0.3">
      <c r="A243" s="409">
        <v>994</v>
      </c>
      <c r="B243" s="410"/>
      <c r="C243" s="409">
        <v>994</v>
      </c>
      <c r="D243" s="409" t="s">
        <v>517</v>
      </c>
      <c r="E243" s="409" t="s">
        <v>518</v>
      </c>
    </row>
    <row r="244" spans="1:84" s="409" customFormat="1" x14ac:dyDescent="0.3">
      <c r="A244" s="409">
        <v>995</v>
      </c>
      <c r="B244" s="410">
        <v>995</v>
      </c>
      <c r="C244" s="409">
        <v>995</v>
      </c>
      <c r="D244" s="409" t="s">
        <v>519</v>
      </c>
      <c r="E244" s="409" t="s">
        <v>520</v>
      </c>
      <c r="F244" s="409">
        <v>0</v>
      </c>
      <c r="G244" s="409">
        <v>0</v>
      </c>
      <c r="H244" s="409">
        <v>0</v>
      </c>
      <c r="I244" s="409">
        <v>0</v>
      </c>
      <c r="J244" s="409">
        <v>0</v>
      </c>
      <c r="K244" s="409">
        <v>0</v>
      </c>
      <c r="L244" s="409">
        <v>0</v>
      </c>
      <c r="M244" s="409">
        <v>0</v>
      </c>
      <c r="N244" s="409">
        <v>0.08</v>
      </c>
      <c r="O244" s="409">
        <v>0.09</v>
      </c>
      <c r="P244" s="409">
        <v>0</v>
      </c>
      <c r="Q244" s="409">
        <v>0</v>
      </c>
      <c r="R244" s="409">
        <v>0</v>
      </c>
      <c r="S244" s="409">
        <v>0.09</v>
      </c>
      <c r="T244" s="409">
        <v>0</v>
      </c>
      <c r="U244" s="409">
        <v>0.09</v>
      </c>
      <c r="V244" s="409">
        <v>0</v>
      </c>
      <c r="W244" s="409">
        <v>0</v>
      </c>
      <c r="X244" s="409">
        <v>0</v>
      </c>
      <c r="Y244" s="409">
        <v>0</v>
      </c>
      <c r="Z244" s="409">
        <v>0</v>
      </c>
      <c r="AA244" s="409">
        <v>0.08</v>
      </c>
      <c r="AB244" s="409">
        <v>0</v>
      </c>
      <c r="AC244" s="409">
        <v>0</v>
      </c>
      <c r="AD244" s="409">
        <v>0</v>
      </c>
      <c r="AE244" s="409">
        <v>0</v>
      </c>
      <c r="AF244" s="409">
        <v>0</v>
      </c>
      <c r="AG244" s="409">
        <v>0</v>
      </c>
      <c r="AH244" s="409">
        <v>7.0000000000000007E-2</v>
      </c>
      <c r="AI244" s="409">
        <v>0</v>
      </c>
      <c r="AJ244" s="409">
        <v>0</v>
      </c>
      <c r="AK244" s="409">
        <v>0</v>
      </c>
      <c r="AL244" s="409">
        <v>0</v>
      </c>
      <c r="AM244" s="409">
        <v>0</v>
      </c>
      <c r="AN244" s="409">
        <v>0</v>
      </c>
      <c r="AO244" s="409">
        <v>0</v>
      </c>
      <c r="AP244" s="409">
        <v>0</v>
      </c>
      <c r="AQ244" s="409">
        <v>0</v>
      </c>
      <c r="AR244" s="409">
        <v>7.0000000000000007E-2</v>
      </c>
      <c r="AS244" s="409">
        <v>0</v>
      </c>
      <c r="AT244" s="409">
        <v>0</v>
      </c>
      <c r="AU244" s="409">
        <v>0</v>
      </c>
      <c r="AV244" s="409">
        <v>0</v>
      </c>
      <c r="AW244" s="409">
        <v>0</v>
      </c>
      <c r="AX244" s="409">
        <v>0.08</v>
      </c>
      <c r="AY244" s="409">
        <v>0</v>
      </c>
      <c r="AZ244" s="409">
        <v>0</v>
      </c>
      <c r="BA244" s="409">
        <v>0</v>
      </c>
      <c r="BB244" s="409">
        <v>0</v>
      </c>
      <c r="BC244" s="409">
        <v>0.08</v>
      </c>
      <c r="BD244" s="409">
        <v>0</v>
      </c>
      <c r="BE244" s="409">
        <v>0</v>
      </c>
      <c r="BF244" s="409">
        <v>0</v>
      </c>
      <c r="BG244" s="409">
        <v>0</v>
      </c>
      <c r="BH244" s="409">
        <v>0</v>
      </c>
      <c r="BI244" s="409">
        <v>0</v>
      </c>
      <c r="BJ244" s="409">
        <v>0</v>
      </c>
      <c r="BK244" s="409">
        <v>0</v>
      </c>
      <c r="BL244" s="409">
        <v>0</v>
      </c>
      <c r="BM244" s="409">
        <v>0</v>
      </c>
      <c r="BN244" s="409">
        <v>0</v>
      </c>
      <c r="BO244" s="409">
        <v>0</v>
      </c>
      <c r="BP244" s="409">
        <v>0.08</v>
      </c>
      <c r="BQ244" s="409">
        <v>0</v>
      </c>
      <c r="BR244" s="409">
        <v>7.0000000000000007E-2</v>
      </c>
      <c r="BS244" s="409">
        <v>0</v>
      </c>
      <c r="BT244" s="409">
        <v>0.09</v>
      </c>
      <c r="BU244" s="409">
        <v>0</v>
      </c>
      <c r="BV244" s="409">
        <v>0</v>
      </c>
      <c r="BW244" s="409">
        <v>0.08</v>
      </c>
      <c r="BX244" s="409">
        <v>0</v>
      </c>
      <c r="BY244" s="409">
        <v>0</v>
      </c>
      <c r="BZ244" s="409">
        <v>0</v>
      </c>
      <c r="CA244" s="409">
        <v>0</v>
      </c>
      <c r="CB244" s="409">
        <v>0.08</v>
      </c>
      <c r="CC244" s="409">
        <v>0</v>
      </c>
      <c r="CD244" s="409">
        <v>0</v>
      </c>
      <c r="CE244" s="409">
        <v>0</v>
      </c>
      <c r="CF244" s="409">
        <v>7.0000000000000007E-2</v>
      </c>
    </row>
    <row r="245" spans="1:84" s="409" customFormat="1" x14ac:dyDescent="0.3">
      <c r="A245" s="409">
        <v>996</v>
      </c>
      <c r="B245" s="410">
        <v>996</v>
      </c>
      <c r="C245" s="409">
        <v>996</v>
      </c>
      <c r="D245" s="409" t="s">
        <v>521</v>
      </c>
      <c r="E245" s="409" t="s">
        <v>522</v>
      </c>
      <c r="F245" s="409">
        <v>0.01</v>
      </c>
      <c r="G245" s="409">
        <v>0.01</v>
      </c>
      <c r="H245" s="409">
        <v>0</v>
      </c>
      <c r="I245" s="409">
        <v>0.01</v>
      </c>
      <c r="J245" s="409">
        <v>0.01</v>
      </c>
      <c r="K245" s="409">
        <v>0.01</v>
      </c>
      <c r="L245" s="409">
        <v>0</v>
      </c>
      <c r="M245" s="409">
        <v>0.01</v>
      </c>
      <c r="N245" s="409">
        <v>0.01</v>
      </c>
      <c r="O245" s="409">
        <v>0</v>
      </c>
      <c r="P245" s="409">
        <v>0</v>
      </c>
      <c r="Q245" s="409">
        <v>0</v>
      </c>
      <c r="R245" s="409">
        <v>0.01</v>
      </c>
      <c r="S245" s="409">
        <v>0.01</v>
      </c>
      <c r="T245" s="409">
        <v>0</v>
      </c>
      <c r="U245" s="409">
        <v>0.01</v>
      </c>
      <c r="V245" s="409">
        <v>0.01</v>
      </c>
      <c r="W245" s="409">
        <v>0.01</v>
      </c>
      <c r="X245" s="409">
        <v>0.01</v>
      </c>
      <c r="Y245" s="409">
        <v>0</v>
      </c>
      <c r="Z245" s="409">
        <v>0.01</v>
      </c>
      <c r="AA245" s="409">
        <v>0.01</v>
      </c>
      <c r="AB245" s="409">
        <v>0.01</v>
      </c>
      <c r="AC245" s="409">
        <v>0.01</v>
      </c>
      <c r="AD245" s="409">
        <v>0.01</v>
      </c>
      <c r="AE245" s="409">
        <v>0</v>
      </c>
      <c r="AF245" s="409">
        <v>0</v>
      </c>
      <c r="AG245" s="409">
        <v>0</v>
      </c>
      <c r="AH245" s="409">
        <v>0.01</v>
      </c>
      <c r="AI245" s="409">
        <v>0</v>
      </c>
      <c r="AJ245" s="409">
        <v>0.01</v>
      </c>
      <c r="AK245" s="409">
        <v>0.01</v>
      </c>
      <c r="AL245" s="409">
        <v>0.01</v>
      </c>
      <c r="AM245" s="409">
        <v>0.01</v>
      </c>
      <c r="AN245" s="409">
        <v>0.01</v>
      </c>
      <c r="AO245" s="409">
        <v>0.01</v>
      </c>
      <c r="AP245" s="409">
        <v>0.01</v>
      </c>
      <c r="AQ245" s="409">
        <v>0</v>
      </c>
      <c r="AR245" s="409">
        <v>0.01</v>
      </c>
      <c r="AS245" s="409">
        <v>0</v>
      </c>
      <c r="AT245" s="409">
        <v>0</v>
      </c>
      <c r="AU245" s="409">
        <v>0.01</v>
      </c>
      <c r="AV245" s="409">
        <v>0.01</v>
      </c>
      <c r="AW245" s="409">
        <v>0.01</v>
      </c>
      <c r="AX245" s="409">
        <v>0.01</v>
      </c>
      <c r="AY245" s="409">
        <v>0.01</v>
      </c>
      <c r="AZ245" s="409">
        <v>0.01</v>
      </c>
      <c r="BA245" s="409">
        <v>0.01</v>
      </c>
      <c r="BB245" s="409">
        <v>0.01</v>
      </c>
      <c r="BC245" s="409">
        <v>0.01</v>
      </c>
      <c r="BD245" s="409">
        <v>0.01</v>
      </c>
      <c r="BE245" s="409">
        <v>0.01</v>
      </c>
      <c r="BF245" s="409">
        <v>0</v>
      </c>
      <c r="BG245" s="409">
        <v>0.01</v>
      </c>
      <c r="BH245" s="409">
        <v>0.01</v>
      </c>
      <c r="BI245" s="409">
        <v>0</v>
      </c>
      <c r="BJ245" s="409">
        <v>0.01</v>
      </c>
      <c r="BK245" s="409">
        <v>0.01</v>
      </c>
      <c r="BL245" s="409">
        <v>0</v>
      </c>
      <c r="BM245" s="409">
        <v>0</v>
      </c>
      <c r="BN245" s="409">
        <v>0.01</v>
      </c>
      <c r="BO245" s="409">
        <v>0.01</v>
      </c>
      <c r="BP245" s="409">
        <v>0.01</v>
      </c>
      <c r="BQ245" s="409">
        <v>0.01</v>
      </c>
      <c r="BR245" s="409">
        <v>0.01</v>
      </c>
      <c r="BS245" s="409">
        <v>0.01</v>
      </c>
      <c r="BT245" s="409">
        <v>0.01</v>
      </c>
      <c r="BU245" s="409">
        <v>0</v>
      </c>
      <c r="BV245" s="409">
        <v>0.01</v>
      </c>
      <c r="BW245" s="409">
        <v>0.01</v>
      </c>
      <c r="BX245" s="409">
        <v>0</v>
      </c>
      <c r="BY245" s="409">
        <v>0.01</v>
      </c>
      <c r="BZ245" s="409">
        <v>0</v>
      </c>
      <c r="CA245" s="409">
        <v>0.01</v>
      </c>
      <c r="CB245" s="409">
        <v>0.01</v>
      </c>
      <c r="CC245" s="409">
        <v>0</v>
      </c>
      <c r="CD245" s="409">
        <v>0.01</v>
      </c>
      <c r="CE245" s="409">
        <v>0</v>
      </c>
      <c r="CF245" s="409">
        <v>0</v>
      </c>
    </row>
    <row r="246" spans="1:84" s="405" customFormat="1" x14ac:dyDescent="0.3">
      <c r="A246" s="405">
        <v>997</v>
      </c>
      <c r="B246" s="406"/>
      <c r="C246" s="405">
        <v>997</v>
      </c>
    </row>
    <row r="247" spans="1:84" s="405" customFormat="1" x14ac:dyDescent="0.3">
      <c r="A247" s="405">
        <v>998</v>
      </c>
      <c r="B247" s="406">
        <v>998</v>
      </c>
      <c r="C247" s="405">
        <v>998</v>
      </c>
      <c r="D247" s="405" t="s">
        <v>292</v>
      </c>
      <c r="E247" s="405" t="s">
        <v>523</v>
      </c>
      <c r="F247" s="405">
        <v>50</v>
      </c>
      <c r="G247" s="405">
        <v>50</v>
      </c>
      <c r="H247" s="405">
        <v>50</v>
      </c>
      <c r="I247" s="405">
        <v>50</v>
      </c>
      <c r="J247" s="405">
        <v>50</v>
      </c>
      <c r="K247" s="405">
        <v>50</v>
      </c>
      <c r="L247" s="405">
        <v>50</v>
      </c>
      <c r="M247" s="405">
        <v>50</v>
      </c>
      <c r="N247" s="405">
        <v>50</v>
      </c>
      <c r="O247" s="405">
        <v>50</v>
      </c>
      <c r="P247" s="405">
        <v>50</v>
      </c>
      <c r="Q247" s="405">
        <v>50</v>
      </c>
      <c r="R247" s="405">
        <v>50</v>
      </c>
      <c r="S247" s="405">
        <v>50</v>
      </c>
      <c r="T247" s="405">
        <v>50</v>
      </c>
      <c r="U247" s="405">
        <v>50</v>
      </c>
      <c r="V247" s="405">
        <v>50</v>
      </c>
      <c r="W247" s="405">
        <v>50</v>
      </c>
      <c r="X247" s="405">
        <v>50</v>
      </c>
      <c r="Y247" s="405">
        <v>50</v>
      </c>
      <c r="Z247" s="405">
        <v>50</v>
      </c>
      <c r="AA247" s="405">
        <v>50</v>
      </c>
      <c r="AB247" s="405">
        <v>50</v>
      </c>
      <c r="AC247" s="405">
        <v>50</v>
      </c>
      <c r="AD247" s="405">
        <v>50</v>
      </c>
      <c r="AE247" s="405">
        <v>50</v>
      </c>
      <c r="AF247" s="405">
        <v>50</v>
      </c>
      <c r="AG247" s="405">
        <v>50</v>
      </c>
      <c r="AH247" s="405">
        <v>50</v>
      </c>
      <c r="AI247" s="405">
        <v>50</v>
      </c>
      <c r="AJ247" s="405">
        <v>50</v>
      </c>
      <c r="AK247" s="405">
        <v>50</v>
      </c>
      <c r="AL247" s="405">
        <v>50</v>
      </c>
      <c r="AM247" s="405">
        <v>50</v>
      </c>
      <c r="AN247" s="405">
        <v>50</v>
      </c>
      <c r="AO247" s="405">
        <v>50</v>
      </c>
      <c r="AP247" s="405">
        <v>50</v>
      </c>
      <c r="AQ247" s="405">
        <v>50</v>
      </c>
      <c r="AR247" s="405">
        <v>50</v>
      </c>
      <c r="AS247" s="405">
        <v>50</v>
      </c>
      <c r="AT247" s="405">
        <v>50</v>
      </c>
      <c r="AU247" s="405">
        <v>50</v>
      </c>
      <c r="AV247" s="405">
        <v>50</v>
      </c>
      <c r="AW247" s="405">
        <v>50</v>
      </c>
      <c r="AX247" s="405">
        <v>50</v>
      </c>
      <c r="AY247" s="405">
        <v>50</v>
      </c>
      <c r="AZ247" s="405">
        <v>50</v>
      </c>
      <c r="BA247" s="405">
        <v>50</v>
      </c>
      <c r="BB247" s="405">
        <v>50</v>
      </c>
      <c r="BC247" s="405">
        <v>50</v>
      </c>
      <c r="BD247" s="405">
        <v>50</v>
      </c>
      <c r="BE247" s="405">
        <v>50</v>
      </c>
      <c r="BF247" s="405">
        <v>50</v>
      </c>
      <c r="BG247" s="405">
        <v>50</v>
      </c>
      <c r="BH247" s="405">
        <v>50</v>
      </c>
      <c r="BI247" s="405">
        <v>50</v>
      </c>
      <c r="BJ247" s="405">
        <v>50</v>
      </c>
      <c r="BK247" s="405">
        <v>50</v>
      </c>
      <c r="BL247" s="405">
        <v>50</v>
      </c>
      <c r="BM247" s="405">
        <v>50</v>
      </c>
      <c r="BN247" s="405">
        <v>50</v>
      </c>
      <c r="BO247" s="405">
        <v>50</v>
      </c>
      <c r="BP247" s="405">
        <v>50</v>
      </c>
      <c r="BQ247" s="405">
        <v>50</v>
      </c>
      <c r="BR247" s="405">
        <v>50</v>
      </c>
      <c r="BS247" s="405">
        <v>50</v>
      </c>
      <c r="BT247" s="405">
        <v>50</v>
      </c>
      <c r="BU247" s="405">
        <v>50</v>
      </c>
      <c r="BV247" s="405">
        <v>50</v>
      </c>
      <c r="BW247" s="405">
        <v>50</v>
      </c>
      <c r="BX247" s="405">
        <v>50</v>
      </c>
      <c r="BY247" s="405">
        <v>50</v>
      </c>
      <c r="BZ247" s="405">
        <v>50</v>
      </c>
      <c r="CA247" s="405">
        <v>50</v>
      </c>
      <c r="CB247" s="405">
        <v>50</v>
      </c>
      <c r="CC247" s="405">
        <v>50</v>
      </c>
      <c r="CD247" s="405">
        <v>50</v>
      </c>
      <c r="CE247" s="405">
        <v>50</v>
      </c>
      <c r="CF247" s="405">
        <v>50</v>
      </c>
    </row>
    <row r="248" spans="1:84" s="405" customFormat="1" x14ac:dyDescent="0.3">
      <c r="A248" s="405">
        <v>999</v>
      </c>
      <c r="B248" s="406">
        <v>999</v>
      </c>
      <c r="C248" s="405">
        <v>999</v>
      </c>
      <c r="D248" s="405" t="s">
        <v>293</v>
      </c>
      <c r="E248" s="405" t="s">
        <v>524</v>
      </c>
      <c r="F248" s="405">
        <v>50129</v>
      </c>
      <c r="G248" s="405">
        <v>50130</v>
      </c>
      <c r="H248" s="405">
        <v>50560</v>
      </c>
      <c r="I248" s="405">
        <v>50131</v>
      </c>
      <c r="J248" s="405">
        <v>50132</v>
      </c>
      <c r="K248" s="405">
        <v>50133</v>
      </c>
      <c r="L248" s="405">
        <v>50134</v>
      </c>
      <c r="M248" s="405">
        <v>50473</v>
      </c>
      <c r="N248" s="405">
        <v>50135</v>
      </c>
      <c r="O248" s="405">
        <v>50136</v>
      </c>
      <c r="P248" s="405">
        <v>50514</v>
      </c>
      <c r="Q248" s="405">
        <v>50515</v>
      </c>
      <c r="R248" s="405">
        <v>50570</v>
      </c>
      <c r="S248" s="405">
        <v>50137</v>
      </c>
      <c r="T248" s="405">
        <v>50549</v>
      </c>
      <c r="U248" s="405">
        <v>50138</v>
      </c>
      <c r="V248" s="405">
        <v>50139</v>
      </c>
      <c r="W248" s="405">
        <v>50474</v>
      </c>
      <c r="X248" s="405">
        <v>50140</v>
      </c>
      <c r="Y248" s="405">
        <v>50141</v>
      </c>
      <c r="Z248" s="405">
        <v>50142</v>
      </c>
      <c r="AA248" s="405">
        <v>50143</v>
      </c>
      <c r="AB248" s="405">
        <v>50144</v>
      </c>
      <c r="AC248" s="405">
        <v>50492</v>
      </c>
      <c r="AD248" s="405">
        <v>50145</v>
      </c>
      <c r="AE248" s="405">
        <v>50146</v>
      </c>
      <c r="AF248" s="405">
        <v>50147</v>
      </c>
      <c r="AG248" s="405">
        <v>50148</v>
      </c>
      <c r="AH248" s="405">
        <v>50149</v>
      </c>
      <c r="AI248" s="405">
        <v>50150</v>
      </c>
      <c r="AJ248" s="405">
        <v>50151</v>
      </c>
      <c r="AK248" s="405">
        <v>50152</v>
      </c>
      <c r="AL248" s="405">
        <v>50153</v>
      </c>
      <c r="AM248" s="405">
        <v>50475</v>
      </c>
      <c r="AN248" s="405">
        <v>50154</v>
      </c>
      <c r="AO248" s="405">
        <v>50155</v>
      </c>
      <c r="AP248" s="405">
        <v>50156</v>
      </c>
      <c r="AQ248" s="405">
        <v>50516</v>
      </c>
      <c r="AR248" s="405">
        <v>50157</v>
      </c>
      <c r="AS248" s="405">
        <v>50158</v>
      </c>
      <c r="AT248" s="405">
        <v>50545</v>
      </c>
      <c r="AU248" s="405">
        <v>50517</v>
      </c>
      <c r="AV248" s="405">
        <v>50448</v>
      </c>
      <c r="AW248" s="405">
        <v>50159</v>
      </c>
      <c r="AX248" s="405">
        <v>50160</v>
      </c>
      <c r="AY248" s="405">
        <v>50161</v>
      </c>
      <c r="AZ248" s="405">
        <v>50162</v>
      </c>
      <c r="BA248" s="405">
        <v>50163</v>
      </c>
      <c r="BB248" s="405">
        <v>50165</v>
      </c>
      <c r="BC248" s="405">
        <v>50165</v>
      </c>
      <c r="BD248" s="405">
        <v>50167</v>
      </c>
      <c r="BE248" s="405">
        <v>50168</v>
      </c>
      <c r="BF248" s="405">
        <v>50169</v>
      </c>
      <c r="BG248" s="405">
        <v>50170</v>
      </c>
      <c r="BH248" s="405">
        <v>50451</v>
      </c>
      <c r="BI248" s="405">
        <v>50171</v>
      </c>
      <c r="BJ248" s="405">
        <v>50172</v>
      </c>
      <c r="BK248" s="405">
        <v>50440</v>
      </c>
      <c r="BL248" s="405">
        <v>50173</v>
      </c>
      <c r="BM248" s="405">
        <v>50547</v>
      </c>
      <c r="BN248" s="405">
        <v>50175</v>
      </c>
      <c r="BO248" s="405">
        <v>50176</v>
      </c>
      <c r="BP248" s="405">
        <v>50177</v>
      </c>
      <c r="BQ248" s="405">
        <v>50178</v>
      </c>
      <c r="BR248" s="405">
        <v>50180</v>
      </c>
      <c r="BS248" s="405">
        <v>50447</v>
      </c>
      <c r="BT248" s="405">
        <v>50179</v>
      </c>
      <c r="BU248" s="405">
        <v>50462</v>
      </c>
      <c r="BV248" s="405">
        <v>50181</v>
      </c>
      <c r="BW248" s="405">
        <v>50182</v>
      </c>
      <c r="BX248" s="405">
        <v>50183</v>
      </c>
      <c r="BY248" s="405">
        <v>50446</v>
      </c>
      <c r="BZ248" s="405">
        <v>50184</v>
      </c>
      <c r="CA248" s="405">
        <v>50185</v>
      </c>
      <c r="CB248" s="405">
        <v>50186</v>
      </c>
      <c r="CC248" s="405">
        <v>50187</v>
      </c>
      <c r="CD248" s="405">
        <v>50188</v>
      </c>
      <c r="CE248" s="405">
        <v>50189</v>
      </c>
      <c r="CF248" s="405">
        <v>50190</v>
      </c>
    </row>
    <row r="249" spans="1:84" x14ac:dyDescent="0.3">
      <c r="A249" s="99">
        <v>1000</v>
      </c>
      <c r="C249" s="99">
        <v>1000</v>
      </c>
      <c r="F249" s="99" t="s">
        <v>1771</v>
      </c>
      <c r="G249" s="99" t="s">
        <v>1771</v>
      </c>
      <c r="I249" s="99" t="s">
        <v>1771</v>
      </c>
      <c r="J249" s="99" t="s">
        <v>1771</v>
      </c>
      <c r="K249" s="99" t="s">
        <v>1771</v>
      </c>
      <c r="M249" s="99" t="s">
        <v>1771</v>
      </c>
      <c r="N249" s="99" t="s">
        <v>1771</v>
      </c>
      <c r="R249" s="99" t="s">
        <v>1771</v>
      </c>
      <c r="S249" s="99" t="s">
        <v>1771</v>
      </c>
      <c r="U249" s="99" t="s">
        <v>1771</v>
      </c>
      <c r="V249" s="99" t="s">
        <v>1771</v>
      </c>
      <c r="W249" s="99" t="s">
        <v>1771</v>
      </c>
      <c r="X249" s="99" t="s">
        <v>1771</v>
      </c>
      <c r="Z249" s="99" t="s">
        <v>1771</v>
      </c>
      <c r="AA249" s="99" t="s">
        <v>1771</v>
      </c>
      <c r="AB249" s="99" t="s">
        <v>1771</v>
      </c>
      <c r="AC249" s="99" t="s">
        <v>1771</v>
      </c>
      <c r="AD249" s="99" t="s">
        <v>1771</v>
      </c>
      <c r="AH249" s="99" t="s">
        <v>1771</v>
      </c>
      <c r="AJ249" s="99" t="s">
        <v>1771</v>
      </c>
      <c r="AK249" s="99" t="s">
        <v>1771</v>
      </c>
      <c r="AL249" s="99" t="s">
        <v>1771</v>
      </c>
      <c r="AM249" s="99" t="s">
        <v>1771</v>
      </c>
      <c r="AN249" s="99" t="s">
        <v>1771</v>
      </c>
      <c r="AO249" s="99" t="s">
        <v>1771</v>
      </c>
      <c r="AP249" s="99" t="s">
        <v>1771</v>
      </c>
      <c r="AR249" s="99" t="s">
        <v>1771</v>
      </c>
      <c r="AU249" s="99" t="s">
        <v>1771</v>
      </c>
      <c r="AV249" s="99" t="s">
        <v>1771</v>
      </c>
      <c r="AW249" s="99" t="s">
        <v>1771</v>
      </c>
      <c r="AX249" s="99" t="s">
        <v>1771</v>
      </c>
      <c r="AY249" s="99" t="s">
        <v>1771</v>
      </c>
      <c r="AZ249" s="99" t="s">
        <v>1771</v>
      </c>
      <c r="BA249" s="99" t="s">
        <v>1771</v>
      </c>
      <c r="BB249" s="99" t="s">
        <v>1771</v>
      </c>
      <c r="BC249" s="99" t="s">
        <v>1771</v>
      </c>
      <c r="BD249" s="99" t="s">
        <v>1771</v>
      </c>
      <c r="BE249" s="99" t="s">
        <v>1771</v>
      </c>
      <c r="BG249" s="99" t="s">
        <v>1771</v>
      </c>
      <c r="BH249" s="99" t="s">
        <v>1771</v>
      </c>
      <c r="BJ249" s="99" t="s">
        <v>1771</v>
      </c>
      <c r="BK249" s="99" t="s">
        <v>1771</v>
      </c>
      <c r="BN249" s="99" t="s">
        <v>1771</v>
      </c>
      <c r="BO249" s="99" t="s">
        <v>1771</v>
      </c>
      <c r="BP249" s="99" t="s">
        <v>1771</v>
      </c>
      <c r="BQ249" s="99" t="s">
        <v>1771</v>
      </c>
      <c r="BR249" s="99" t="s">
        <v>1771</v>
      </c>
      <c r="BS249" s="99" t="s">
        <v>1771</v>
      </c>
      <c r="BT249" s="99" t="s">
        <v>1771</v>
      </c>
      <c r="BV249" s="99" t="s">
        <v>1771</v>
      </c>
      <c r="BW249" s="99" t="s">
        <v>1771</v>
      </c>
      <c r="BY249" s="99" t="s">
        <v>1771</v>
      </c>
      <c r="CA249" s="99" t="s">
        <v>1771</v>
      </c>
      <c r="CB249" s="99" t="s">
        <v>1771</v>
      </c>
      <c r="CD249" s="99" t="s">
        <v>1771</v>
      </c>
    </row>
    <row r="250" spans="1:84" x14ac:dyDescent="0.3">
      <c r="A250" s="99">
        <v>537</v>
      </c>
      <c r="C250" s="99">
        <v>537</v>
      </c>
      <c r="F250" s="99" t="s">
        <v>52</v>
      </c>
      <c r="G250" s="99" t="s">
        <v>51</v>
      </c>
      <c r="H250" s="99" t="s">
        <v>52</v>
      </c>
      <c r="I250" s="99" t="s">
        <v>52</v>
      </c>
      <c r="J250" s="99" t="s">
        <v>52</v>
      </c>
      <c r="K250" s="99" t="s">
        <v>52</v>
      </c>
      <c r="L250" s="99" t="s">
        <v>52</v>
      </c>
      <c r="M250" s="99" t="s">
        <v>52</v>
      </c>
      <c r="N250" s="99" t="s">
        <v>52</v>
      </c>
      <c r="O250" s="99" t="s">
        <v>52</v>
      </c>
      <c r="P250" s="99" t="s">
        <v>52</v>
      </c>
      <c r="Q250" s="99" t="s">
        <v>52</v>
      </c>
      <c r="R250" s="99" t="s">
        <v>52</v>
      </c>
      <c r="S250" s="99" t="s">
        <v>51</v>
      </c>
      <c r="T250" s="99" t="s">
        <v>52</v>
      </c>
      <c r="U250" s="99" t="s">
        <v>52</v>
      </c>
      <c r="W250" s="99" t="s">
        <v>52</v>
      </c>
      <c r="X250" s="99" t="s">
        <v>51</v>
      </c>
      <c r="Y250" s="99" t="s">
        <v>52</v>
      </c>
      <c r="AA250" s="99" t="s">
        <v>51</v>
      </c>
      <c r="AB250" s="99" t="s">
        <v>51</v>
      </c>
      <c r="AC250" s="99" t="s">
        <v>52</v>
      </c>
      <c r="AD250" s="99" t="s">
        <v>52</v>
      </c>
      <c r="AE250" s="99" t="s">
        <v>52</v>
      </c>
      <c r="AF250" s="99" t="s">
        <v>52</v>
      </c>
      <c r="AG250" s="99" t="s">
        <v>52</v>
      </c>
      <c r="AH250" s="99" t="s">
        <v>52</v>
      </c>
      <c r="AI250" s="99" t="s">
        <v>52</v>
      </c>
      <c r="AJ250" s="99" t="s">
        <v>52</v>
      </c>
      <c r="AK250" s="99" t="s">
        <v>52</v>
      </c>
      <c r="AL250" s="99" t="s">
        <v>52</v>
      </c>
      <c r="AM250" s="99" t="s">
        <v>52</v>
      </c>
      <c r="AO250" s="99" t="s">
        <v>52</v>
      </c>
      <c r="AP250" s="99" t="s">
        <v>52</v>
      </c>
      <c r="AQ250" s="99" t="s">
        <v>52</v>
      </c>
      <c r="AR250" s="99" t="s">
        <v>51</v>
      </c>
      <c r="AS250" s="99" t="s">
        <v>52</v>
      </c>
      <c r="AT250" s="99" t="s">
        <v>52</v>
      </c>
      <c r="AV250" s="99" t="s">
        <v>52</v>
      </c>
      <c r="AW250" s="99" t="s">
        <v>51</v>
      </c>
      <c r="AX250" s="99" t="s">
        <v>51</v>
      </c>
      <c r="AY250" s="99" t="s">
        <v>52</v>
      </c>
      <c r="AZ250" s="99" t="s">
        <v>52</v>
      </c>
      <c r="BA250" s="99" t="s">
        <v>52</v>
      </c>
      <c r="BB250" s="99" t="s">
        <v>51</v>
      </c>
      <c r="BD250" s="99" t="s">
        <v>52</v>
      </c>
      <c r="BE250" s="99" t="s">
        <v>52</v>
      </c>
      <c r="BF250" s="99" t="s">
        <v>52</v>
      </c>
      <c r="BG250" s="99" t="s">
        <v>52</v>
      </c>
      <c r="BH250" s="99" t="s">
        <v>51</v>
      </c>
      <c r="BI250" s="99" t="s">
        <v>52</v>
      </c>
      <c r="BJ250" s="99" t="s">
        <v>51</v>
      </c>
      <c r="BK250" s="99" t="s">
        <v>51</v>
      </c>
      <c r="BL250" s="99" t="s">
        <v>52</v>
      </c>
      <c r="BM250" s="99" t="s">
        <v>52</v>
      </c>
      <c r="BN250" s="99" t="s">
        <v>51</v>
      </c>
      <c r="BO250" s="99" t="s">
        <v>51</v>
      </c>
      <c r="BQ250" s="99" t="s">
        <v>51</v>
      </c>
      <c r="BR250" s="99" t="s">
        <v>51</v>
      </c>
      <c r="BS250" s="99" t="s">
        <v>52</v>
      </c>
      <c r="BT250" s="99" t="s">
        <v>52</v>
      </c>
      <c r="BU250" s="99" t="s">
        <v>52</v>
      </c>
      <c r="BV250" s="99" t="s">
        <v>52</v>
      </c>
      <c r="BW250" s="99" t="s">
        <v>52</v>
      </c>
      <c r="BX250" s="99" t="s">
        <v>52</v>
      </c>
      <c r="BY250" s="99" t="s">
        <v>52</v>
      </c>
      <c r="BZ250" s="99" t="s">
        <v>52</v>
      </c>
      <c r="CA250" s="99" t="s">
        <v>51</v>
      </c>
      <c r="CC250" s="99" t="s">
        <v>52</v>
      </c>
      <c r="CD250" s="99" t="s">
        <v>51</v>
      </c>
      <c r="CE250" s="99" t="s">
        <v>52</v>
      </c>
      <c r="CF250" s="99" t="s">
        <v>52</v>
      </c>
    </row>
    <row r="251" spans="1:84" x14ac:dyDescent="0.3">
      <c r="A251" s="99">
        <v>538</v>
      </c>
      <c r="C251" s="99">
        <v>538</v>
      </c>
      <c r="F251" s="99" t="s">
        <v>52</v>
      </c>
      <c r="G251" s="99" t="s">
        <v>52</v>
      </c>
      <c r="H251" s="99" t="s">
        <v>52</v>
      </c>
      <c r="I251" s="99" t="s">
        <v>52</v>
      </c>
      <c r="J251" s="99" t="s">
        <v>52</v>
      </c>
      <c r="K251" s="99" t="s">
        <v>52</v>
      </c>
      <c r="L251" s="99" t="s">
        <v>52</v>
      </c>
      <c r="M251" s="99" t="s">
        <v>52</v>
      </c>
      <c r="N251" s="99" t="s">
        <v>52</v>
      </c>
      <c r="O251" s="99" t="s">
        <v>52</v>
      </c>
      <c r="P251" s="99" t="s">
        <v>52</v>
      </c>
      <c r="Q251" s="99" t="s">
        <v>52</v>
      </c>
      <c r="R251" s="99" t="s">
        <v>52</v>
      </c>
      <c r="S251" s="99" t="s">
        <v>52</v>
      </c>
      <c r="T251" s="99" t="s">
        <v>52</v>
      </c>
      <c r="U251" s="99" t="s">
        <v>52</v>
      </c>
      <c r="W251" s="99" t="s">
        <v>52</v>
      </c>
      <c r="X251" s="99" t="s">
        <v>51</v>
      </c>
      <c r="Y251" s="99" t="s">
        <v>52</v>
      </c>
      <c r="AA251" s="99" t="s">
        <v>52</v>
      </c>
      <c r="AB251" s="99" t="s">
        <v>52</v>
      </c>
      <c r="AC251" s="99" t="s">
        <v>52</v>
      </c>
      <c r="AD251" s="99" t="s">
        <v>51</v>
      </c>
      <c r="AE251" s="99" t="s">
        <v>52</v>
      </c>
      <c r="AF251" s="99" t="s">
        <v>52</v>
      </c>
      <c r="AG251" s="99" t="s">
        <v>52</v>
      </c>
      <c r="AH251" s="99" t="s">
        <v>52</v>
      </c>
      <c r="AI251" s="99" t="s">
        <v>52</v>
      </c>
      <c r="AJ251" s="99" t="s">
        <v>52</v>
      </c>
      <c r="AK251" s="99" t="s">
        <v>52</v>
      </c>
      <c r="AL251" s="99" t="s">
        <v>52</v>
      </c>
      <c r="AM251" s="99" t="s">
        <v>52</v>
      </c>
      <c r="AO251" s="99" t="s">
        <v>52</v>
      </c>
      <c r="AP251" s="99" t="s">
        <v>51</v>
      </c>
      <c r="AQ251" s="99" t="s">
        <v>52</v>
      </c>
      <c r="AR251" s="99" t="s">
        <v>51</v>
      </c>
      <c r="AS251" s="99" t="s">
        <v>52</v>
      </c>
      <c r="AT251" s="99" t="s">
        <v>52</v>
      </c>
      <c r="AV251" s="99" t="s">
        <v>52</v>
      </c>
      <c r="AW251" s="99" t="s">
        <v>52</v>
      </c>
      <c r="AX251" s="99" t="s">
        <v>52</v>
      </c>
      <c r="AY251" s="99" t="s">
        <v>52</v>
      </c>
      <c r="AZ251" s="99" t="s">
        <v>52</v>
      </c>
      <c r="BA251" s="99" t="s">
        <v>52</v>
      </c>
      <c r="BB251" s="99" t="s">
        <v>52</v>
      </c>
      <c r="BD251" s="99" t="s">
        <v>52</v>
      </c>
      <c r="BE251" s="99" t="s">
        <v>52</v>
      </c>
      <c r="BF251" s="99" t="s">
        <v>52</v>
      </c>
      <c r="BG251" s="99" t="s">
        <v>52</v>
      </c>
      <c r="BH251" s="99" t="s">
        <v>52</v>
      </c>
      <c r="BI251" s="99" t="s">
        <v>52</v>
      </c>
      <c r="BJ251" s="99" t="s">
        <v>51</v>
      </c>
      <c r="BK251" s="99" t="s">
        <v>51</v>
      </c>
      <c r="BL251" s="99" t="s">
        <v>52</v>
      </c>
      <c r="BM251" s="99" t="s">
        <v>52</v>
      </c>
      <c r="BN251" s="99" t="s">
        <v>52</v>
      </c>
      <c r="BO251" s="99" t="s">
        <v>51</v>
      </c>
      <c r="BQ251" s="99" t="s">
        <v>51</v>
      </c>
      <c r="BR251" s="99" t="s">
        <v>51</v>
      </c>
      <c r="BS251" s="99" t="s">
        <v>52</v>
      </c>
      <c r="BT251" s="99" t="s">
        <v>52</v>
      </c>
      <c r="BU251" s="99" t="s">
        <v>52</v>
      </c>
      <c r="BV251" s="99" t="s">
        <v>52</v>
      </c>
      <c r="BW251" s="99" t="s">
        <v>52</v>
      </c>
      <c r="BX251" s="99" t="s">
        <v>52</v>
      </c>
      <c r="BY251" s="99" t="s">
        <v>52</v>
      </c>
      <c r="BZ251" s="99" t="s">
        <v>52</v>
      </c>
      <c r="CA251" s="99" t="s">
        <v>52</v>
      </c>
      <c r="CC251" s="99" t="s">
        <v>52</v>
      </c>
      <c r="CD251" s="99" t="s">
        <v>52</v>
      </c>
      <c r="CE251" s="99" t="s">
        <v>52</v>
      </c>
      <c r="CF251" s="99" t="s">
        <v>52</v>
      </c>
    </row>
    <row r="252" spans="1:84" s="405" customFormat="1" x14ac:dyDescent="0.3">
      <c r="A252" s="405">
        <v>591</v>
      </c>
      <c r="B252" s="406">
        <v>591</v>
      </c>
      <c r="C252" s="405">
        <v>591</v>
      </c>
      <c r="D252" s="405" t="s">
        <v>609</v>
      </c>
      <c r="F252" s="405">
        <v>518214</v>
      </c>
      <c r="G252" s="405">
        <v>1469452</v>
      </c>
      <c r="H252" s="405">
        <v>0</v>
      </c>
      <c r="I252" s="405">
        <v>865415</v>
      </c>
      <c r="J252" s="405">
        <v>461613</v>
      </c>
      <c r="K252" s="405">
        <v>150406</v>
      </c>
      <c r="L252" s="405">
        <v>0</v>
      </c>
      <c r="M252" s="405">
        <v>319122</v>
      </c>
      <c r="N252" s="405">
        <v>12622851</v>
      </c>
      <c r="O252" s="405">
        <v>40990783</v>
      </c>
      <c r="P252" s="405">
        <v>0</v>
      </c>
      <c r="Q252" s="405">
        <v>0</v>
      </c>
      <c r="R252" s="405">
        <v>166354</v>
      </c>
      <c r="S252" s="405">
        <v>13042919</v>
      </c>
      <c r="T252" s="405">
        <v>0</v>
      </c>
      <c r="U252" s="405">
        <v>1039260</v>
      </c>
      <c r="V252" s="405">
        <v>0</v>
      </c>
      <c r="W252" s="405">
        <v>184113</v>
      </c>
      <c r="X252" s="405">
        <v>3229450</v>
      </c>
      <c r="Y252" s="405">
        <v>0</v>
      </c>
      <c r="Z252" s="405">
        <v>0</v>
      </c>
      <c r="AA252" s="405">
        <v>3100836</v>
      </c>
      <c r="AB252" s="405">
        <v>13430400</v>
      </c>
      <c r="AC252" s="405">
        <v>132738</v>
      </c>
      <c r="AD252" s="405">
        <v>277314</v>
      </c>
      <c r="AE252" s="405">
        <v>0</v>
      </c>
      <c r="AF252" s="405">
        <v>0</v>
      </c>
      <c r="AG252" s="405">
        <v>0</v>
      </c>
      <c r="AH252" s="405">
        <v>118758548</v>
      </c>
      <c r="AI252" s="405">
        <v>277</v>
      </c>
      <c r="AJ252" s="405">
        <v>218774</v>
      </c>
      <c r="AK252" s="405">
        <v>3358662</v>
      </c>
      <c r="AL252" s="405">
        <v>85298</v>
      </c>
      <c r="AM252" s="405">
        <v>79464</v>
      </c>
      <c r="AN252" s="405">
        <v>0</v>
      </c>
      <c r="AO252" s="405">
        <v>350810</v>
      </c>
      <c r="AP252" s="405">
        <v>7181929</v>
      </c>
      <c r="AQ252" s="405">
        <v>0</v>
      </c>
      <c r="AR252" s="405">
        <v>9440668</v>
      </c>
      <c r="AS252" s="405">
        <v>0</v>
      </c>
      <c r="AT252" s="405">
        <v>0</v>
      </c>
      <c r="AU252" s="405">
        <v>0</v>
      </c>
      <c r="AV252" s="405">
        <v>372890</v>
      </c>
      <c r="AW252" s="405">
        <v>209786702</v>
      </c>
      <c r="AX252" s="405">
        <v>253932088</v>
      </c>
      <c r="AY252" s="405">
        <v>1250766</v>
      </c>
      <c r="AZ252" s="405">
        <v>463367</v>
      </c>
      <c r="BA252" s="405">
        <v>533536</v>
      </c>
      <c r="BB252" s="405">
        <v>276763</v>
      </c>
      <c r="BC252" s="405">
        <v>0</v>
      </c>
      <c r="BD252" s="405">
        <v>3224541</v>
      </c>
      <c r="BE252" s="405">
        <v>280756</v>
      </c>
      <c r="BF252" s="405">
        <v>0</v>
      </c>
      <c r="BG252" s="405">
        <v>153539</v>
      </c>
      <c r="BH252" s="405">
        <v>8914767</v>
      </c>
      <c r="BI252" s="405">
        <v>0</v>
      </c>
      <c r="BJ252" s="405">
        <v>7983961</v>
      </c>
      <c r="BK252" s="405">
        <v>2196966</v>
      </c>
      <c r="BL252" s="405">
        <v>0</v>
      </c>
      <c r="BM252" s="405">
        <v>0</v>
      </c>
      <c r="BN252" s="405">
        <v>14610392</v>
      </c>
      <c r="BO252" s="405">
        <v>18824333</v>
      </c>
      <c r="BP252" s="405">
        <v>0</v>
      </c>
      <c r="BQ252" s="405">
        <v>35658199</v>
      </c>
      <c r="BR252" s="405">
        <v>194475148</v>
      </c>
      <c r="BS252" s="405">
        <v>240319</v>
      </c>
      <c r="BT252" s="405">
        <v>8288344</v>
      </c>
      <c r="BU252" s="405">
        <v>0</v>
      </c>
      <c r="BV252" s="405">
        <v>9334745</v>
      </c>
      <c r="BW252" s="405">
        <v>769237</v>
      </c>
      <c r="BX252" s="405">
        <v>0</v>
      </c>
      <c r="BY252" s="405">
        <v>3215672</v>
      </c>
      <c r="BZ252" s="405">
        <v>0</v>
      </c>
      <c r="CA252" s="405">
        <v>20393847</v>
      </c>
      <c r="CB252" s="405">
        <v>0</v>
      </c>
      <c r="CC252" s="405">
        <v>0</v>
      </c>
      <c r="CD252" s="405">
        <v>280984</v>
      </c>
      <c r="CE252" s="405">
        <v>0</v>
      </c>
      <c r="CF252" s="405">
        <v>24684093</v>
      </c>
    </row>
    <row r="253" spans="1:84" s="405" customFormat="1" x14ac:dyDescent="0.3">
      <c r="A253" s="405">
        <v>592</v>
      </c>
      <c r="B253" s="406">
        <v>592</v>
      </c>
      <c r="C253" s="405">
        <v>592</v>
      </c>
      <c r="D253" s="405" t="s">
        <v>610</v>
      </c>
      <c r="F253" s="405">
        <v>944707</v>
      </c>
      <c r="G253" s="405">
        <v>-166217</v>
      </c>
      <c r="H253" s="405">
        <v>0</v>
      </c>
      <c r="I253" s="405">
        <v>54149</v>
      </c>
      <c r="J253" s="405">
        <v>-56274</v>
      </c>
      <c r="K253" s="405">
        <v>11259</v>
      </c>
      <c r="L253" s="405">
        <v>0</v>
      </c>
      <c r="M253" s="405">
        <v>633661</v>
      </c>
      <c r="N253" s="405">
        <v>-270447</v>
      </c>
      <c r="O253" s="405">
        <v>7441654</v>
      </c>
      <c r="P253" s="405">
        <v>0</v>
      </c>
      <c r="Q253" s="405">
        <v>0</v>
      </c>
      <c r="R253" s="405">
        <v>-43490</v>
      </c>
      <c r="S253" s="405">
        <v>819999</v>
      </c>
      <c r="T253" s="405">
        <v>0</v>
      </c>
      <c r="U253" s="405">
        <v>1213956</v>
      </c>
      <c r="V253" s="405">
        <v>0</v>
      </c>
      <c r="W253" s="405">
        <v>112647</v>
      </c>
      <c r="X253" s="405">
        <v>1147130</v>
      </c>
      <c r="Y253" s="405">
        <v>0</v>
      </c>
      <c r="Z253" s="405">
        <v>0</v>
      </c>
      <c r="AA253" s="405">
        <v>936815</v>
      </c>
      <c r="AB253" s="405">
        <v>19563078</v>
      </c>
      <c r="AC253" s="405">
        <v>-69283</v>
      </c>
      <c r="AD253" s="405">
        <v>452835</v>
      </c>
      <c r="AE253" s="405">
        <v>0</v>
      </c>
      <c r="AF253" s="405">
        <v>0</v>
      </c>
      <c r="AG253" s="405">
        <v>0</v>
      </c>
      <c r="AH253" s="405">
        <v>20124070</v>
      </c>
      <c r="AI253" s="405">
        <v>-277</v>
      </c>
      <c r="AJ253" s="405">
        <v>-82995</v>
      </c>
      <c r="AK253" s="405">
        <v>231411</v>
      </c>
      <c r="AL253" s="405">
        <v>-71086</v>
      </c>
      <c r="AM253" s="405">
        <v>12905</v>
      </c>
      <c r="AN253" s="405">
        <v>0</v>
      </c>
      <c r="AO253" s="405">
        <v>-30718</v>
      </c>
      <c r="AP253" s="405">
        <v>118165</v>
      </c>
      <c r="AQ253" s="405">
        <v>0</v>
      </c>
      <c r="AR253" s="405">
        <v>664772</v>
      </c>
      <c r="AS253" s="405">
        <v>0</v>
      </c>
      <c r="AT253" s="405">
        <v>0</v>
      </c>
      <c r="AU253" s="405">
        <v>0</v>
      </c>
      <c r="AV253" s="405">
        <v>341356</v>
      </c>
      <c r="AW253" s="405">
        <v>55036091</v>
      </c>
      <c r="AX253" s="405">
        <v>18486433</v>
      </c>
      <c r="AY253" s="405">
        <v>-77053</v>
      </c>
      <c r="AZ253" s="405">
        <v>-168024</v>
      </c>
      <c r="BA253" s="405">
        <v>-95950</v>
      </c>
      <c r="BB253" s="405">
        <v>-131375</v>
      </c>
      <c r="BC253" s="405">
        <v>0</v>
      </c>
      <c r="BD253" s="405">
        <v>-61142</v>
      </c>
      <c r="BE253" s="405">
        <v>-129974</v>
      </c>
      <c r="BF253" s="405">
        <v>0</v>
      </c>
      <c r="BG253" s="405">
        <v>-10056</v>
      </c>
      <c r="BH253" s="405">
        <v>2031851</v>
      </c>
      <c r="BI253" s="405">
        <v>0</v>
      </c>
      <c r="BJ253" s="405">
        <v>1010886</v>
      </c>
      <c r="BK253" s="405">
        <v>-162899</v>
      </c>
      <c r="BL253" s="405">
        <v>0</v>
      </c>
      <c r="BM253" s="405">
        <v>0</v>
      </c>
      <c r="BN253" s="405">
        <v>3962311</v>
      </c>
      <c r="BO253" s="405">
        <v>2128730</v>
      </c>
      <c r="BP253" s="405">
        <v>0</v>
      </c>
      <c r="BQ253" s="405">
        <v>7723250</v>
      </c>
      <c r="BR253" s="405">
        <v>32573282</v>
      </c>
      <c r="BS253" s="405">
        <v>1478872</v>
      </c>
      <c r="BT253" s="405">
        <v>-162120</v>
      </c>
      <c r="BU253" s="405">
        <v>0</v>
      </c>
      <c r="BV253" s="405">
        <v>2492642</v>
      </c>
      <c r="BW253" s="405">
        <v>-158734</v>
      </c>
      <c r="BX253" s="405">
        <v>875985</v>
      </c>
      <c r="BY253" s="405">
        <v>579557</v>
      </c>
      <c r="BZ253" s="405">
        <v>0</v>
      </c>
      <c r="CA253" s="405">
        <v>6563679</v>
      </c>
      <c r="CB253" s="405">
        <v>0</v>
      </c>
      <c r="CC253" s="405">
        <v>0</v>
      </c>
      <c r="CD253" s="405">
        <v>16074</v>
      </c>
      <c r="CE253" s="405">
        <v>0</v>
      </c>
      <c r="CF253" s="405">
        <v>1720829</v>
      </c>
    </row>
    <row r="254" spans="1:84" s="405" customFormat="1" x14ac:dyDescent="0.3">
      <c r="A254" s="405">
        <v>595</v>
      </c>
      <c r="B254" s="406"/>
      <c r="C254" s="405">
        <v>595</v>
      </c>
      <c r="D254" s="405" t="s">
        <v>682</v>
      </c>
    </row>
    <row r="255" spans="1:84" s="405" customFormat="1" x14ac:dyDescent="0.3">
      <c r="A255" s="405">
        <v>596</v>
      </c>
      <c r="B255" s="406">
        <v>596</v>
      </c>
      <c r="C255" s="405">
        <v>596</v>
      </c>
      <c r="D255" s="405" t="s">
        <v>616</v>
      </c>
      <c r="F255" s="405">
        <v>52</v>
      </c>
      <c r="G255" s="405">
        <v>52</v>
      </c>
      <c r="H255" s="405">
        <v>0</v>
      </c>
      <c r="I255" s="405">
        <v>52</v>
      </c>
      <c r="J255" s="405">
        <v>52</v>
      </c>
      <c r="K255" s="405">
        <v>52</v>
      </c>
      <c r="L255" s="405">
        <v>52</v>
      </c>
      <c r="M255" s="405">
        <v>52</v>
      </c>
      <c r="N255" s="405">
        <v>52</v>
      </c>
      <c r="O255" s="405">
        <v>52</v>
      </c>
      <c r="P255" s="405">
        <v>0</v>
      </c>
      <c r="Q255" s="405">
        <v>52</v>
      </c>
      <c r="R255" s="405">
        <v>52</v>
      </c>
      <c r="S255" s="405">
        <v>52</v>
      </c>
      <c r="T255" s="405">
        <v>52</v>
      </c>
      <c r="U255" s="405">
        <v>52</v>
      </c>
      <c r="V255" s="405">
        <v>0</v>
      </c>
      <c r="W255" s="405">
        <v>52</v>
      </c>
      <c r="X255" s="405">
        <v>52</v>
      </c>
      <c r="Y255" s="405">
        <v>0</v>
      </c>
      <c r="Z255" s="405">
        <v>0</v>
      </c>
      <c r="AA255" s="405">
        <v>52</v>
      </c>
      <c r="AB255" s="405">
        <v>52</v>
      </c>
      <c r="AC255" s="405">
        <v>52</v>
      </c>
      <c r="AD255" s="405">
        <v>52</v>
      </c>
      <c r="AE255" s="405">
        <v>52</v>
      </c>
      <c r="AF255" s="405">
        <v>52</v>
      </c>
      <c r="AG255" s="405">
        <v>52</v>
      </c>
      <c r="AH255" s="405">
        <v>52</v>
      </c>
      <c r="AI255" s="405">
        <v>52</v>
      </c>
      <c r="AJ255" s="405">
        <v>52</v>
      </c>
      <c r="AK255" s="405">
        <v>52</v>
      </c>
      <c r="AL255" s="405">
        <v>52</v>
      </c>
      <c r="AM255" s="405">
        <v>52</v>
      </c>
      <c r="AN255" s="405">
        <v>0</v>
      </c>
      <c r="AO255" s="405">
        <v>52</v>
      </c>
      <c r="AP255" s="405">
        <v>52</v>
      </c>
      <c r="AQ255" s="405">
        <v>52</v>
      </c>
      <c r="AR255" s="405">
        <v>52</v>
      </c>
      <c r="AS255" s="405">
        <v>52</v>
      </c>
      <c r="AT255" s="405">
        <v>52</v>
      </c>
      <c r="AU255" s="405">
        <v>0</v>
      </c>
      <c r="AV255" s="405">
        <v>52</v>
      </c>
      <c r="AW255" s="405">
        <v>52</v>
      </c>
      <c r="AX255" s="405">
        <v>52</v>
      </c>
      <c r="AY255" s="405">
        <v>52</v>
      </c>
      <c r="AZ255" s="405">
        <v>52</v>
      </c>
      <c r="BA255" s="405">
        <v>52</v>
      </c>
      <c r="BB255" s="405">
        <v>52</v>
      </c>
      <c r="BC255" s="405">
        <v>0</v>
      </c>
      <c r="BD255" s="405">
        <v>52</v>
      </c>
      <c r="BE255" s="405">
        <v>52</v>
      </c>
      <c r="BF255" s="405">
        <v>0</v>
      </c>
      <c r="BG255" s="405">
        <v>52</v>
      </c>
      <c r="BH255" s="405">
        <v>52</v>
      </c>
      <c r="BI255" s="405">
        <v>0</v>
      </c>
      <c r="BJ255" s="405">
        <v>52</v>
      </c>
      <c r="BK255" s="405">
        <v>52</v>
      </c>
      <c r="BL255" s="405">
        <v>52</v>
      </c>
      <c r="BM255" s="405">
        <v>0</v>
      </c>
      <c r="BN255" s="405">
        <v>52</v>
      </c>
      <c r="BO255" s="405">
        <v>52</v>
      </c>
      <c r="BP255" s="405">
        <v>0</v>
      </c>
      <c r="BQ255" s="405">
        <v>52</v>
      </c>
      <c r="BR255" s="405">
        <v>52</v>
      </c>
      <c r="BS255" s="405">
        <v>52</v>
      </c>
      <c r="BT255" s="405">
        <v>52</v>
      </c>
      <c r="BU255" s="405">
        <v>51</v>
      </c>
      <c r="BV255" s="405">
        <v>52</v>
      </c>
      <c r="BW255" s="405">
        <v>52</v>
      </c>
      <c r="BX255" s="405">
        <v>52</v>
      </c>
      <c r="BY255" s="405">
        <v>52</v>
      </c>
      <c r="BZ255" s="405">
        <v>52</v>
      </c>
      <c r="CA255" s="405">
        <v>52</v>
      </c>
      <c r="CB255" s="405">
        <v>0</v>
      </c>
      <c r="CC255" s="405">
        <v>52</v>
      </c>
      <c r="CD255" s="405">
        <v>52</v>
      </c>
      <c r="CE255" s="405">
        <v>52</v>
      </c>
      <c r="CF255" s="405">
        <v>52</v>
      </c>
    </row>
    <row r="256" spans="1:84" s="405" customFormat="1" x14ac:dyDescent="0.3">
      <c r="A256" s="405">
        <v>597</v>
      </c>
      <c r="B256" s="406">
        <v>597</v>
      </c>
      <c r="C256" s="405">
        <v>597</v>
      </c>
      <c r="D256" s="405" t="s">
        <v>683</v>
      </c>
      <c r="F256" s="405">
        <v>1091</v>
      </c>
      <c r="G256" s="405">
        <v>3244</v>
      </c>
      <c r="H256" s="405">
        <v>2199</v>
      </c>
      <c r="I256" s="405">
        <v>41060</v>
      </c>
      <c r="J256" s="405">
        <v>7096</v>
      </c>
      <c r="K256" s="405">
        <v>3511</v>
      </c>
      <c r="L256" s="405">
        <v>777</v>
      </c>
      <c r="M256" s="405">
        <v>2665</v>
      </c>
      <c r="N256" s="405">
        <v>46214</v>
      </c>
      <c r="O256" s="405">
        <v>3090983</v>
      </c>
      <c r="P256" s="405">
        <v>36518</v>
      </c>
      <c r="Q256" s="405">
        <v>38505</v>
      </c>
      <c r="R256" s="405">
        <v>0</v>
      </c>
      <c r="S256" s="405">
        <v>136156</v>
      </c>
      <c r="T256" s="405">
        <v>536</v>
      </c>
      <c r="U256" s="405">
        <v>2949</v>
      </c>
      <c r="V256" s="405">
        <v>0</v>
      </c>
      <c r="W256" s="405">
        <v>431</v>
      </c>
      <c r="X256" s="405">
        <v>61947</v>
      </c>
      <c r="Y256" s="405">
        <v>6959</v>
      </c>
      <c r="Z256" s="405">
        <v>0</v>
      </c>
      <c r="AA256" s="405">
        <v>3572</v>
      </c>
      <c r="AB256" s="405">
        <v>702474</v>
      </c>
      <c r="AC256" s="405">
        <v>9492</v>
      </c>
      <c r="AD256" s="405">
        <v>3619</v>
      </c>
      <c r="AE256" s="405">
        <v>671126</v>
      </c>
      <c r="AF256" s="405">
        <v>2160</v>
      </c>
      <c r="AG256" s="405">
        <v>3308</v>
      </c>
      <c r="AH256" s="405">
        <v>1920804</v>
      </c>
      <c r="AI256" s="405">
        <v>2009</v>
      </c>
      <c r="AJ256" s="405">
        <v>4104</v>
      </c>
      <c r="AK256" s="405">
        <v>30219</v>
      </c>
      <c r="AL256" s="405">
        <v>27</v>
      </c>
      <c r="AM256" s="405">
        <v>0</v>
      </c>
      <c r="AN256" s="405">
        <v>0</v>
      </c>
      <c r="AO256" s="405">
        <v>2303</v>
      </c>
      <c r="AP256" s="405">
        <v>235452</v>
      </c>
      <c r="AQ256" s="405">
        <v>231</v>
      </c>
      <c r="AR256" s="405">
        <v>173619</v>
      </c>
      <c r="AS256" s="405">
        <v>20632</v>
      </c>
      <c r="AT256" s="405">
        <v>1086</v>
      </c>
      <c r="AU256" s="405">
        <v>0</v>
      </c>
      <c r="AV256" s="405">
        <v>8438</v>
      </c>
      <c r="AW256" s="405">
        <v>9411716</v>
      </c>
      <c r="AX256" s="405">
        <v>7156329</v>
      </c>
      <c r="AY256" s="405">
        <v>629</v>
      </c>
      <c r="AZ256" s="405">
        <v>4190</v>
      </c>
      <c r="BA256" s="405">
        <v>5688</v>
      </c>
      <c r="BB256" s="405">
        <v>38</v>
      </c>
      <c r="BC256" s="405">
        <v>0</v>
      </c>
      <c r="BD256" s="405">
        <v>61733</v>
      </c>
      <c r="BE256" s="405">
        <v>17114</v>
      </c>
      <c r="BF256" s="405">
        <v>116</v>
      </c>
      <c r="BG256" s="405">
        <v>2963</v>
      </c>
      <c r="BH256" s="405">
        <v>434310</v>
      </c>
      <c r="BI256" s="405">
        <v>228</v>
      </c>
      <c r="BJ256" s="405">
        <v>282007</v>
      </c>
      <c r="BK256" s="405">
        <v>23751</v>
      </c>
      <c r="BL256" s="405">
        <v>6062</v>
      </c>
      <c r="BM256" s="405">
        <v>1632</v>
      </c>
      <c r="BN256" s="405">
        <v>419662</v>
      </c>
      <c r="BO256" s="405">
        <v>285248</v>
      </c>
      <c r="BP256" s="405">
        <v>0</v>
      </c>
      <c r="BQ256" s="405">
        <v>2234097</v>
      </c>
      <c r="BR256" s="405">
        <v>5097546</v>
      </c>
      <c r="BS256" s="405">
        <v>2286</v>
      </c>
      <c r="BT256" s="405">
        <v>142014</v>
      </c>
      <c r="BU256" s="405">
        <v>10119</v>
      </c>
      <c r="BV256" s="405">
        <v>290625</v>
      </c>
      <c r="BW256" s="405">
        <v>0</v>
      </c>
      <c r="BX256" s="405">
        <v>2780</v>
      </c>
      <c r="BY256" s="405">
        <v>149185</v>
      </c>
      <c r="BZ256" s="405">
        <v>5178</v>
      </c>
      <c r="CA256" s="405">
        <v>643115</v>
      </c>
      <c r="CB256" s="405">
        <v>0</v>
      </c>
      <c r="CC256" s="405">
        <v>88401</v>
      </c>
      <c r="CD256" s="405">
        <v>0</v>
      </c>
      <c r="CE256" s="405">
        <v>19847</v>
      </c>
      <c r="CF256" s="405">
        <v>897896</v>
      </c>
    </row>
    <row r="257" spans="1:84" s="405" customFormat="1" x14ac:dyDescent="0.3">
      <c r="B257" s="406"/>
      <c r="F257" s="405" t="s">
        <v>1771</v>
      </c>
    </row>
    <row r="258" spans="1:84" s="405" customFormat="1" x14ac:dyDescent="0.3">
      <c r="A258" s="405">
        <v>598</v>
      </c>
      <c r="B258" s="406">
        <v>598</v>
      </c>
      <c r="C258" s="405">
        <v>598</v>
      </c>
      <c r="D258" s="405" t="s">
        <v>677</v>
      </c>
      <c r="F258" s="405">
        <v>0</v>
      </c>
      <c r="G258" s="405">
        <v>0</v>
      </c>
      <c r="H258" s="405">
        <v>0</v>
      </c>
      <c r="I258" s="405">
        <v>0</v>
      </c>
      <c r="J258" s="405">
        <v>0</v>
      </c>
      <c r="K258" s="405">
        <v>0</v>
      </c>
      <c r="L258" s="405">
        <v>0</v>
      </c>
      <c r="M258" s="405">
        <v>0</v>
      </c>
      <c r="N258" s="405">
        <v>25110</v>
      </c>
      <c r="O258" s="405">
        <v>973963</v>
      </c>
      <c r="P258" s="405">
        <v>0</v>
      </c>
      <c r="Q258" s="405">
        <v>0</v>
      </c>
      <c r="R258" s="405">
        <v>0</v>
      </c>
      <c r="S258" s="405">
        <v>27980</v>
      </c>
      <c r="T258" s="405">
        <v>0</v>
      </c>
      <c r="U258" s="405">
        <v>0</v>
      </c>
      <c r="V258" s="405">
        <v>0</v>
      </c>
      <c r="W258" s="405">
        <v>0</v>
      </c>
      <c r="X258" s="405">
        <v>31821</v>
      </c>
      <c r="Y258" s="405">
        <v>9848</v>
      </c>
      <c r="Z258" s="405">
        <v>0</v>
      </c>
      <c r="AA258" s="405">
        <v>8170</v>
      </c>
      <c r="AB258" s="405">
        <v>31178</v>
      </c>
      <c r="AC258" s="405">
        <v>0</v>
      </c>
      <c r="AD258" s="405">
        <v>0</v>
      </c>
      <c r="AE258" s="405">
        <v>257816</v>
      </c>
      <c r="AF258" s="405">
        <v>0</v>
      </c>
      <c r="AG258" s="405">
        <v>0</v>
      </c>
      <c r="AH258" s="405">
        <v>1555524</v>
      </c>
      <c r="AI258" s="405">
        <v>0</v>
      </c>
      <c r="AJ258" s="405">
        <v>0</v>
      </c>
      <c r="AK258" s="405">
        <v>11872</v>
      </c>
      <c r="AL258" s="405">
        <v>0</v>
      </c>
      <c r="AM258" s="405">
        <v>0</v>
      </c>
      <c r="AN258" s="405">
        <v>0</v>
      </c>
      <c r="AO258" s="405">
        <v>0</v>
      </c>
      <c r="AP258" s="405">
        <v>40284</v>
      </c>
      <c r="AQ258" s="405">
        <v>0</v>
      </c>
      <c r="AR258" s="405">
        <v>0</v>
      </c>
      <c r="AS258" s="405">
        <v>0</v>
      </c>
      <c r="AT258" s="405">
        <v>0</v>
      </c>
      <c r="AU258" s="405">
        <v>0</v>
      </c>
      <c r="AV258" s="405">
        <v>0</v>
      </c>
      <c r="AW258" s="405">
        <v>2843206</v>
      </c>
      <c r="AX258" s="405">
        <v>501747</v>
      </c>
      <c r="AY258" s="405">
        <v>0</v>
      </c>
      <c r="AZ258" s="405">
        <v>0</v>
      </c>
      <c r="BA258" s="405">
        <v>0</v>
      </c>
      <c r="BB258" s="405">
        <v>0</v>
      </c>
      <c r="BC258" s="405">
        <v>0</v>
      </c>
      <c r="BD258" s="405">
        <v>28499</v>
      </c>
      <c r="BE258" s="405">
        <v>0</v>
      </c>
      <c r="BF258" s="405">
        <v>0</v>
      </c>
      <c r="BG258" s="405">
        <v>0</v>
      </c>
      <c r="BH258" s="405">
        <v>0</v>
      </c>
      <c r="BI258" s="405">
        <v>0</v>
      </c>
      <c r="BJ258" s="405">
        <v>55775</v>
      </c>
      <c r="BK258" s="405">
        <v>40704</v>
      </c>
      <c r="BL258" s="405">
        <v>0</v>
      </c>
      <c r="BM258" s="405">
        <v>0</v>
      </c>
      <c r="BN258" s="405">
        <v>119945</v>
      </c>
      <c r="BO258" s="405">
        <v>34748</v>
      </c>
      <c r="BP258" s="405">
        <v>0</v>
      </c>
      <c r="BQ258" s="405">
        <v>275209</v>
      </c>
      <c r="BR258" s="405">
        <v>790516</v>
      </c>
      <c r="BS258" s="405">
        <v>0</v>
      </c>
      <c r="BT258" s="405">
        <v>28346</v>
      </c>
      <c r="BU258" s="405">
        <v>0</v>
      </c>
      <c r="BV258" s="405">
        <v>13652</v>
      </c>
      <c r="BW258" s="405">
        <v>0</v>
      </c>
      <c r="BX258" s="405">
        <v>0</v>
      </c>
      <c r="BY258" s="405">
        <v>5690</v>
      </c>
      <c r="BZ258" s="405">
        <v>19559</v>
      </c>
      <c r="CA258" s="405">
        <v>13374</v>
      </c>
      <c r="CB258" s="405">
        <v>0</v>
      </c>
      <c r="CC258" s="405">
        <v>17021</v>
      </c>
      <c r="CD258" s="405">
        <v>0</v>
      </c>
      <c r="CE258" s="405">
        <v>16906</v>
      </c>
      <c r="CF258" s="405">
        <v>26799</v>
      </c>
    </row>
    <row r="259" spans="1:84" s="405" customFormat="1" x14ac:dyDescent="0.3">
      <c r="A259" s="405">
        <v>599</v>
      </c>
      <c r="B259" s="406">
        <v>599</v>
      </c>
      <c r="C259" s="405">
        <v>599</v>
      </c>
      <c r="D259" s="405" t="s">
        <v>678</v>
      </c>
      <c r="F259" s="405">
        <v>33728</v>
      </c>
      <c r="G259" s="405">
        <v>103542</v>
      </c>
      <c r="H259" s="405">
        <v>0</v>
      </c>
      <c r="I259" s="405">
        <v>0</v>
      </c>
      <c r="J259" s="405">
        <v>0</v>
      </c>
      <c r="K259" s="405">
        <v>0</v>
      </c>
      <c r="L259" s="405">
        <v>0</v>
      </c>
      <c r="M259" s="405">
        <v>0</v>
      </c>
      <c r="N259" s="405">
        <v>680508</v>
      </c>
      <c r="O259" s="405">
        <v>16619221</v>
      </c>
      <c r="P259" s="405">
        <v>0</v>
      </c>
      <c r="Q259" s="405">
        <v>388730</v>
      </c>
      <c r="R259" s="405">
        <v>0</v>
      </c>
      <c r="S259" s="405">
        <v>1043440</v>
      </c>
      <c r="T259" s="405">
        <v>0</v>
      </c>
      <c r="U259" s="405">
        <v>0</v>
      </c>
      <c r="V259" s="405">
        <v>0</v>
      </c>
      <c r="W259" s="405">
        <v>67923</v>
      </c>
      <c r="X259" s="405">
        <v>995982</v>
      </c>
      <c r="Y259" s="405">
        <v>253654</v>
      </c>
      <c r="Z259" s="405">
        <v>0</v>
      </c>
      <c r="AA259" s="405">
        <v>150359</v>
      </c>
      <c r="AB259" s="405">
        <v>1137538</v>
      </c>
      <c r="AC259" s="405">
        <v>0</v>
      </c>
      <c r="AD259" s="405">
        <v>0</v>
      </c>
      <c r="AE259" s="405">
        <v>3530245</v>
      </c>
      <c r="AF259" s="405">
        <v>29022</v>
      </c>
      <c r="AG259" s="405">
        <v>35422</v>
      </c>
      <c r="AH259" s="405">
        <v>20320317</v>
      </c>
      <c r="AI259" s="405">
        <v>0</v>
      </c>
      <c r="AJ259" s="405">
        <v>0</v>
      </c>
      <c r="AK259" s="405">
        <v>309783</v>
      </c>
      <c r="AL259" s="405">
        <v>58193</v>
      </c>
      <c r="AM259" s="405">
        <v>0</v>
      </c>
      <c r="AN259" s="405">
        <v>0</v>
      </c>
      <c r="AO259" s="405">
        <v>0</v>
      </c>
      <c r="AP259" s="405">
        <v>1186980</v>
      </c>
      <c r="AQ259" s="405">
        <v>0</v>
      </c>
      <c r="AR259" s="405">
        <v>326690</v>
      </c>
      <c r="AS259" s="405">
        <v>86134</v>
      </c>
      <c r="AT259" s="405">
        <v>0</v>
      </c>
      <c r="AU259" s="405">
        <v>0</v>
      </c>
      <c r="AV259" s="405">
        <v>0</v>
      </c>
      <c r="AW259" s="405">
        <v>29760903</v>
      </c>
      <c r="AX259" s="405">
        <v>8202185</v>
      </c>
      <c r="AY259" s="405">
        <v>33526</v>
      </c>
      <c r="AZ259" s="405">
        <v>0</v>
      </c>
      <c r="BA259" s="405">
        <v>0</v>
      </c>
      <c r="BB259" s="405">
        <v>0</v>
      </c>
      <c r="BC259" s="405">
        <v>0</v>
      </c>
      <c r="BD259" s="405">
        <v>485437</v>
      </c>
      <c r="BE259" s="405">
        <v>0</v>
      </c>
      <c r="BF259" s="405">
        <v>0</v>
      </c>
      <c r="BG259" s="405">
        <v>0</v>
      </c>
      <c r="BH259" s="405">
        <v>0</v>
      </c>
      <c r="BI259" s="405">
        <v>0</v>
      </c>
      <c r="BJ259" s="405">
        <v>340996</v>
      </c>
      <c r="BK259" s="405">
        <v>246396</v>
      </c>
      <c r="BL259" s="405">
        <v>0</v>
      </c>
      <c r="BM259" s="405">
        <v>0</v>
      </c>
      <c r="BN259" s="405">
        <v>1277165</v>
      </c>
      <c r="BO259" s="405">
        <v>1193484</v>
      </c>
      <c r="BP259" s="405">
        <v>0</v>
      </c>
      <c r="BQ259" s="405">
        <v>3582170</v>
      </c>
      <c r="BR259" s="405">
        <v>13696771</v>
      </c>
      <c r="BS259" s="405">
        <v>0</v>
      </c>
      <c r="BT259" s="405">
        <v>464222</v>
      </c>
      <c r="BU259" s="405">
        <v>0</v>
      </c>
      <c r="BV259" s="405">
        <v>783583</v>
      </c>
      <c r="BW259" s="405">
        <v>0</v>
      </c>
      <c r="BX259" s="405">
        <v>0</v>
      </c>
      <c r="BY259" s="405">
        <v>268329</v>
      </c>
      <c r="BZ259" s="405">
        <v>255817</v>
      </c>
      <c r="CA259" s="405">
        <v>1983823</v>
      </c>
      <c r="CB259" s="405">
        <v>0</v>
      </c>
      <c r="CC259" s="405">
        <v>624878</v>
      </c>
      <c r="CD259" s="405">
        <v>0</v>
      </c>
      <c r="CE259" s="405">
        <v>331971</v>
      </c>
      <c r="CF259" s="405">
        <v>2965090</v>
      </c>
    </row>
    <row r="260" spans="1:84" s="405" customFormat="1" ht="100.8" x14ac:dyDescent="0.3">
      <c r="A260" s="405">
        <v>600</v>
      </c>
      <c r="B260" s="406"/>
      <c r="C260" s="405">
        <v>600</v>
      </c>
      <c r="D260" s="1127" t="s">
        <v>1772</v>
      </c>
    </row>
    <row r="261" spans="1:84" s="405" customFormat="1" x14ac:dyDescent="0.3">
      <c r="A261" s="405">
        <v>601</v>
      </c>
      <c r="B261" s="406"/>
      <c r="C261" s="405">
        <v>601</v>
      </c>
      <c r="D261" s="1127" t="s">
        <v>1773</v>
      </c>
    </row>
    <row r="262" spans="1:84" s="405" customFormat="1" x14ac:dyDescent="0.3">
      <c r="A262" s="405">
        <v>602</v>
      </c>
      <c r="B262" s="406">
        <v>602</v>
      </c>
      <c r="C262" s="405">
        <v>602</v>
      </c>
      <c r="D262" s="405" t="s">
        <v>705</v>
      </c>
      <c r="F262" s="405">
        <v>0</v>
      </c>
      <c r="G262" s="405">
        <v>0</v>
      </c>
      <c r="H262" s="405">
        <v>0</v>
      </c>
      <c r="I262" s="405">
        <v>0</v>
      </c>
      <c r="J262" s="405">
        <v>0</v>
      </c>
      <c r="K262" s="405">
        <v>0</v>
      </c>
      <c r="L262" s="405">
        <v>0</v>
      </c>
      <c r="M262" s="405">
        <v>0</v>
      </c>
      <c r="N262" s="405">
        <v>0</v>
      </c>
      <c r="O262" s="405">
        <v>0</v>
      </c>
      <c r="P262" s="405">
        <v>0</v>
      </c>
      <c r="Q262" s="405">
        <v>0</v>
      </c>
      <c r="R262" s="405">
        <v>0</v>
      </c>
      <c r="S262" s="405">
        <v>0</v>
      </c>
      <c r="T262" s="405">
        <v>0</v>
      </c>
      <c r="U262" s="405">
        <v>0</v>
      </c>
      <c r="V262" s="405">
        <v>0</v>
      </c>
      <c r="W262" s="405">
        <v>0</v>
      </c>
      <c r="X262" s="405">
        <v>0</v>
      </c>
      <c r="Y262" s="405">
        <v>0</v>
      </c>
      <c r="Z262" s="405">
        <v>0</v>
      </c>
      <c r="AA262" s="405">
        <v>0</v>
      </c>
      <c r="AB262" s="405">
        <v>0</v>
      </c>
      <c r="AC262" s="405">
        <v>0</v>
      </c>
      <c r="AD262" s="405">
        <v>0</v>
      </c>
      <c r="AE262" s="405">
        <v>0</v>
      </c>
      <c r="AF262" s="405">
        <v>0</v>
      </c>
      <c r="AG262" s="405">
        <v>0</v>
      </c>
      <c r="AH262" s="405">
        <v>0</v>
      </c>
      <c r="AI262" s="405">
        <v>0</v>
      </c>
      <c r="AJ262" s="405">
        <v>0</v>
      </c>
      <c r="AK262" s="405">
        <v>0</v>
      </c>
      <c r="AL262" s="405">
        <v>0</v>
      </c>
      <c r="AM262" s="405">
        <v>0</v>
      </c>
      <c r="AN262" s="405">
        <v>0</v>
      </c>
      <c r="AO262" s="405">
        <v>0</v>
      </c>
      <c r="AP262" s="405">
        <v>0</v>
      </c>
      <c r="AQ262" s="405">
        <v>0</v>
      </c>
      <c r="AR262" s="405">
        <v>0</v>
      </c>
      <c r="AS262" s="405">
        <v>0</v>
      </c>
      <c r="AT262" s="405">
        <v>0</v>
      </c>
      <c r="AU262" s="405">
        <v>0</v>
      </c>
      <c r="AV262" s="405">
        <v>0</v>
      </c>
      <c r="AW262" s="405">
        <v>7350209</v>
      </c>
      <c r="AX262" s="405">
        <v>0</v>
      </c>
      <c r="AY262" s="405">
        <v>0</v>
      </c>
      <c r="AZ262" s="405">
        <v>0</v>
      </c>
      <c r="BA262" s="405">
        <v>0</v>
      </c>
      <c r="BB262" s="405">
        <v>0</v>
      </c>
      <c r="BC262" s="405">
        <v>0</v>
      </c>
      <c r="BD262" s="405">
        <v>0</v>
      </c>
      <c r="BE262" s="405">
        <v>0</v>
      </c>
      <c r="BF262" s="405">
        <v>0</v>
      </c>
      <c r="BG262" s="405">
        <v>0</v>
      </c>
      <c r="BH262" s="405">
        <v>0</v>
      </c>
      <c r="BI262" s="405">
        <v>0</v>
      </c>
      <c r="BJ262" s="405">
        <v>0</v>
      </c>
      <c r="BK262" s="405">
        <v>0</v>
      </c>
      <c r="BL262" s="405">
        <v>0</v>
      </c>
      <c r="BM262" s="405">
        <v>0</v>
      </c>
      <c r="BN262" s="405">
        <v>0</v>
      </c>
      <c r="BO262" s="405">
        <v>0</v>
      </c>
      <c r="BP262" s="405">
        <v>0</v>
      </c>
      <c r="BQ262" s="405">
        <v>0</v>
      </c>
      <c r="BR262" s="405">
        <v>0</v>
      </c>
      <c r="BS262" s="405">
        <v>0</v>
      </c>
      <c r="BT262" s="405">
        <v>0</v>
      </c>
      <c r="BU262" s="405">
        <v>0</v>
      </c>
      <c r="BV262" s="405">
        <v>0</v>
      </c>
      <c r="BW262" s="405">
        <v>0</v>
      </c>
      <c r="BX262" s="405">
        <v>0</v>
      </c>
      <c r="BY262" s="405">
        <v>0</v>
      </c>
      <c r="BZ262" s="405">
        <v>0</v>
      </c>
      <c r="CA262" s="405">
        <v>0</v>
      </c>
      <c r="CB262" s="405">
        <v>0</v>
      </c>
      <c r="CC262" s="405">
        <v>0</v>
      </c>
      <c r="CD262" s="405">
        <v>0</v>
      </c>
      <c r="CE262" s="405">
        <v>0</v>
      </c>
      <c r="CF262" s="405">
        <v>0</v>
      </c>
    </row>
    <row r="263" spans="1:84" s="405" customFormat="1" ht="172.8" x14ac:dyDescent="0.3">
      <c r="A263" s="405">
        <v>603</v>
      </c>
      <c r="B263" s="406"/>
      <c r="C263" s="405">
        <v>603</v>
      </c>
      <c r="D263" s="1127" t="s">
        <v>692</v>
      </c>
    </row>
    <row r="264" spans="1:84" s="405" customFormat="1" ht="129.6" x14ac:dyDescent="0.3">
      <c r="A264" s="405">
        <v>604</v>
      </c>
      <c r="B264" s="406"/>
      <c r="C264" s="405">
        <v>604</v>
      </c>
      <c r="D264" s="1127" t="s">
        <v>693</v>
      </c>
    </row>
    <row r="265" spans="1:84" s="405" customFormat="1" x14ac:dyDescent="0.3">
      <c r="A265" s="405">
        <v>605</v>
      </c>
      <c r="B265" s="406"/>
      <c r="C265" s="405">
        <v>605</v>
      </c>
      <c r="D265" s="405" t="s">
        <v>695</v>
      </c>
      <c r="F265" s="405">
        <v>0</v>
      </c>
      <c r="G265" s="405">
        <v>0</v>
      </c>
      <c r="H265" s="405">
        <v>0</v>
      </c>
      <c r="I265" s="405">
        <v>0</v>
      </c>
      <c r="J265" s="405">
        <v>0</v>
      </c>
      <c r="K265" s="405">
        <v>0</v>
      </c>
      <c r="L265" s="405">
        <v>0</v>
      </c>
      <c r="M265" s="405">
        <v>0</v>
      </c>
      <c r="N265" s="405">
        <v>0</v>
      </c>
      <c r="O265" s="405">
        <v>0</v>
      </c>
      <c r="P265" s="405">
        <v>0</v>
      </c>
      <c r="Q265" s="405">
        <v>0</v>
      </c>
      <c r="R265" s="405">
        <v>0</v>
      </c>
      <c r="S265" s="405">
        <v>0</v>
      </c>
      <c r="T265" s="405">
        <v>0</v>
      </c>
      <c r="U265" s="405">
        <v>0</v>
      </c>
      <c r="V265" s="405">
        <v>0</v>
      </c>
      <c r="W265" s="405">
        <v>0</v>
      </c>
      <c r="X265" s="405">
        <v>0</v>
      </c>
      <c r="Y265" s="405">
        <v>0</v>
      </c>
      <c r="Z265" s="405">
        <v>0</v>
      </c>
      <c r="AA265" s="405">
        <v>0</v>
      </c>
      <c r="AB265" s="405">
        <v>0</v>
      </c>
      <c r="AC265" s="405">
        <v>0</v>
      </c>
      <c r="AD265" s="405">
        <v>0</v>
      </c>
      <c r="AE265" s="405">
        <v>0</v>
      </c>
      <c r="AF265" s="405">
        <v>0</v>
      </c>
      <c r="AG265" s="405">
        <v>0</v>
      </c>
      <c r="AH265" s="405">
        <v>0</v>
      </c>
      <c r="AI265" s="405">
        <v>0</v>
      </c>
      <c r="AJ265" s="405">
        <v>0</v>
      </c>
      <c r="AK265" s="405">
        <v>0</v>
      </c>
      <c r="AL265" s="405">
        <v>0</v>
      </c>
      <c r="AM265" s="405">
        <v>0</v>
      </c>
      <c r="AN265" s="405">
        <v>0</v>
      </c>
      <c r="AO265" s="405">
        <v>0</v>
      </c>
      <c r="AP265" s="405">
        <v>0</v>
      </c>
      <c r="AQ265" s="405">
        <v>0</v>
      </c>
      <c r="AR265" s="405">
        <v>0</v>
      </c>
      <c r="AS265" s="405">
        <v>0</v>
      </c>
      <c r="AT265" s="405">
        <v>0</v>
      </c>
      <c r="AU265" s="405">
        <v>0</v>
      </c>
      <c r="AV265" s="405">
        <v>0</v>
      </c>
      <c r="AW265" s="405">
        <v>0</v>
      </c>
      <c r="AX265" s="405">
        <v>0</v>
      </c>
      <c r="AY265" s="405">
        <v>0</v>
      </c>
      <c r="AZ265" s="405">
        <v>0</v>
      </c>
      <c r="BA265" s="405">
        <v>0</v>
      </c>
      <c r="BB265" s="405">
        <v>0</v>
      </c>
      <c r="BC265" s="405">
        <v>0</v>
      </c>
      <c r="BD265" s="405">
        <v>0</v>
      </c>
      <c r="BE265" s="405">
        <v>0</v>
      </c>
      <c r="BF265" s="405">
        <v>0</v>
      </c>
      <c r="BG265" s="405">
        <v>0</v>
      </c>
      <c r="BH265" s="405">
        <v>0</v>
      </c>
      <c r="BI265" s="405">
        <v>0</v>
      </c>
      <c r="BJ265" s="405">
        <v>0</v>
      </c>
      <c r="BK265" s="405">
        <v>0</v>
      </c>
      <c r="BL265" s="405">
        <v>0</v>
      </c>
      <c r="BM265" s="405">
        <v>0</v>
      </c>
      <c r="BN265" s="405">
        <v>0</v>
      </c>
      <c r="BO265" s="405">
        <v>0</v>
      </c>
      <c r="BP265" s="405">
        <v>0</v>
      </c>
      <c r="BQ265" s="405">
        <v>0</v>
      </c>
      <c r="BR265" s="405">
        <v>0</v>
      </c>
      <c r="BS265" s="405">
        <v>0</v>
      </c>
      <c r="BT265" s="405">
        <v>0</v>
      </c>
      <c r="BU265" s="405">
        <v>0</v>
      </c>
      <c r="BV265" s="405">
        <v>0</v>
      </c>
      <c r="BW265" s="405">
        <v>0</v>
      </c>
      <c r="BX265" s="405">
        <v>0</v>
      </c>
      <c r="BY265" s="405">
        <v>0</v>
      </c>
      <c r="BZ265" s="405">
        <v>0</v>
      </c>
      <c r="CA265" s="405">
        <v>0</v>
      </c>
      <c r="CB265" s="405">
        <v>0</v>
      </c>
      <c r="CC265" s="405">
        <v>0</v>
      </c>
      <c r="CD265" s="405">
        <v>0</v>
      </c>
      <c r="CE265" s="405">
        <v>0</v>
      </c>
      <c r="CF265" s="405">
        <v>0</v>
      </c>
    </row>
    <row r="266" spans="1:84" s="405" customFormat="1" x14ac:dyDescent="0.3">
      <c r="A266" s="405">
        <v>606</v>
      </c>
      <c r="B266" s="406">
        <v>606</v>
      </c>
      <c r="C266" s="405">
        <v>606</v>
      </c>
      <c r="D266" s="405" t="s">
        <v>713</v>
      </c>
      <c r="F266" s="405">
        <v>1</v>
      </c>
      <c r="G266" s="405">
        <v>0</v>
      </c>
      <c r="H266" s="405">
        <v>0</v>
      </c>
      <c r="I266" s="405">
        <v>0</v>
      </c>
      <c r="J266" s="405">
        <v>0</v>
      </c>
      <c r="K266" s="405">
        <v>0</v>
      </c>
      <c r="L266" s="405">
        <v>0</v>
      </c>
      <c r="M266" s="405">
        <v>1</v>
      </c>
      <c r="N266" s="405">
        <v>1</v>
      </c>
      <c r="O266" s="405">
        <v>1</v>
      </c>
      <c r="P266" s="405">
        <v>0</v>
      </c>
      <c r="Q266" s="405">
        <v>0</v>
      </c>
      <c r="R266" s="405">
        <v>0</v>
      </c>
      <c r="S266" s="405">
        <v>1</v>
      </c>
      <c r="T266" s="405">
        <v>0</v>
      </c>
      <c r="U266" s="405">
        <v>1</v>
      </c>
      <c r="V266" s="405">
        <v>0</v>
      </c>
      <c r="W266" s="405">
        <v>0</v>
      </c>
      <c r="X266" s="405">
        <v>0</v>
      </c>
      <c r="Y266" s="405">
        <v>0</v>
      </c>
      <c r="Z266" s="405">
        <v>0</v>
      </c>
      <c r="AA266" s="405">
        <v>1</v>
      </c>
      <c r="AB266" s="405">
        <v>1</v>
      </c>
      <c r="AC266" s="405">
        <v>0</v>
      </c>
      <c r="AD266" s="405">
        <v>0</v>
      </c>
      <c r="AE266" s="405">
        <v>1</v>
      </c>
      <c r="AF266" s="405">
        <v>0</v>
      </c>
      <c r="AG266" s="405">
        <v>0</v>
      </c>
      <c r="AH266" s="405">
        <v>1</v>
      </c>
      <c r="AI266" s="405">
        <v>0</v>
      </c>
      <c r="AJ266" s="405">
        <v>0</v>
      </c>
      <c r="AK266" s="405">
        <v>1</v>
      </c>
      <c r="AL266" s="405">
        <v>0</v>
      </c>
      <c r="AM266" s="405">
        <v>0</v>
      </c>
      <c r="AN266" s="405">
        <v>0</v>
      </c>
      <c r="AO266" s="405">
        <v>0</v>
      </c>
      <c r="AP266" s="405">
        <v>1</v>
      </c>
      <c r="AQ266" s="405">
        <v>0</v>
      </c>
      <c r="AR266" s="405">
        <v>0</v>
      </c>
      <c r="AS266" s="405">
        <v>0</v>
      </c>
      <c r="AT266" s="405">
        <v>0</v>
      </c>
      <c r="AU266" s="405">
        <v>0</v>
      </c>
      <c r="AV266" s="405">
        <v>0</v>
      </c>
      <c r="AW266" s="405">
        <v>1</v>
      </c>
      <c r="AX266" s="405">
        <v>1</v>
      </c>
      <c r="AY266" s="405">
        <v>0</v>
      </c>
      <c r="AZ266" s="405">
        <v>0</v>
      </c>
      <c r="BA266" s="405">
        <v>0</v>
      </c>
      <c r="BB266" s="405">
        <v>0</v>
      </c>
      <c r="BC266" s="405">
        <v>0</v>
      </c>
      <c r="BD266" s="405">
        <v>0</v>
      </c>
      <c r="BE266" s="405">
        <v>0</v>
      </c>
      <c r="BF266" s="405">
        <v>0</v>
      </c>
      <c r="BG266" s="405">
        <v>0</v>
      </c>
      <c r="BH266" s="405">
        <v>1</v>
      </c>
      <c r="BI266" s="405">
        <v>0</v>
      </c>
      <c r="BJ266" s="405">
        <v>1</v>
      </c>
      <c r="BK266" s="405">
        <v>1</v>
      </c>
      <c r="BL266" s="405">
        <v>0</v>
      </c>
      <c r="BM266" s="405">
        <v>0</v>
      </c>
      <c r="BN266" s="405">
        <v>1</v>
      </c>
      <c r="BO266" s="405">
        <v>1</v>
      </c>
      <c r="BP266" s="405">
        <v>0</v>
      </c>
      <c r="BQ266" s="405">
        <v>1</v>
      </c>
      <c r="BR266" s="405">
        <v>1</v>
      </c>
      <c r="BS266" s="405">
        <v>1</v>
      </c>
      <c r="BT266" s="405">
        <v>0</v>
      </c>
      <c r="BU266" s="405">
        <v>0</v>
      </c>
      <c r="BV266" s="405">
        <v>0</v>
      </c>
      <c r="BW266" s="405">
        <v>0</v>
      </c>
      <c r="BX266" s="405">
        <v>1</v>
      </c>
      <c r="BY266" s="405">
        <v>0</v>
      </c>
      <c r="BZ266" s="405">
        <v>0</v>
      </c>
      <c r="CA266" s="405">
        <v>1</v>
      </c>
      <c r="CB266" s="405">
        <v>0</v>
      </c>
      <c r="CC266" s="405">
        <v>0</v>
      </c>
      <c r="CD266" s="405">
        <v>0</v>
      </c>
      <c r="CE266" s="405">
        <v>0</v>
      </c>
      <c r="CF266" s="405">
        <v>1</v>
      </c>
    </row>
    <row r="267" spans="1:84" s="405" customFormat="1" x14ac:dyDescent="0.3">
      <c r="A267" s="405">
        <v>607</v>
      </c>
      <c r="B267" s="406"/>
      <c r="C267" s="405">
        <v>607</v>
      </c>
      <c r="D267" s="405" t="s">
        <v>685</v>
      </c>
      <c r="F267" s="405">
        <v>0</v>
      </c>
      <c r="G267" s="405">
        <v>0</v>
      </c>
      <c r="H267" s="405">
        <v>0</v>
      </c>
      <c r="I267" s="405">
        <v>0</v>
      </c>
      <c r="J267" s="405">
        <v>0</v>
      </c>
      <c r="K267" s="405">
        <v>0</v>
      </c>
      <c r="L267" s="405">
        <v>0</v>
      </c>
      <c r="M267" s="405">
        <v>0</v>
      </c>
      <c r="N267" s="405">
        <v>0</v>
      </c>
      <c r="O267" s="405">
        <v>0</v>
      </c>
      <c r="P267" s="405">
        <v>0</v>
      </c>
      <c r="Q267" s="405">
        <v>0</v>
      </c>
      <c r="R267" s="405">
        <v>0</v>
      </c>
      <c r="S267" s="405">
        <v>0</v>
      </c>
      <c r="T267" s="405">
        <v>0</v>
      </c>
      <c r="U267" s="405">
        <v>0</v>
      </c>
      <c r="V267" s="405">
        <v>0</v>
      </c>
      <c r="W267" s="405">
        <v>0</v>
      </c>
      <c r="X267" s="405">
        <v>0</v>
      </c>
      <c r="Y267" s="405">
        <v>0</v>
      </c>
      <c r="Z267" s="405">
        <v>0</v>
      </c>
      <c r="AA267" s="405">
        <v>0</v>
      </c>
      <c r="AB267" s="405">
        <v>0</v>
      </c>
      <c r="AC267" s="405">
        <v>0</v>
      </c>
      <c r="AD267" s="405">
        <v>0</v>
      </c>
      <c r="AE267" s="405">
        <v>0</v>
      </c>
      <c r="AF267" s="405">
        <v>0</v>
      </c>
      <c r="AG267" s="405">
        <v>0</v>
      </c>
      <c r="AH267" s="405">
        <v>0</v>
      </c>
      <c r="AI267" s="405">
        <v>0</v>
      </c>
      <c r="AJ267" s="405">
        <v>0</v>
      </c>
      <c r="AK267" s="405">
        <v>0</v>
      </c>
      <c r="AL267" s="405">
        <v>0</v>
      </c>
      <c r="AM267" s="405">
        <v>0</v>
      </c>
      <c r="AN267" s="405">
        <v>0</v>
      </c>
      <c r="AO267" s="405">
        <v>0</v>
      </c>
      <c r="AP267" s="405">
        <v>0</v>
      </c>
      <c r="AQ267" s="405">
        <v>0</v>
      </c>
      <c r="AR267" s="405">
        <v>0</v>
      </c>
      <c r="AS267" s="405">
        <v>0</v>
      </c>
      <c r="AT267" s="405">
        <v>0</v>
      </c>
      <c r="AU267" s="405">
        <v>0</v>
      </c>
      <c r="AV267" s="405">
        <v>0</v>
      </c>
      <c r="AW267" s="405">
        <v>0</v>
      </c>
      <c r="AX267" s="405">
        <v>0</v>
      </c>
      <c r="AY267" s="405">
        <v>0</v>
      </c>
      <c r="AZ267" s="405">
        <v>0</v>
      </c>
      <c r="BA267" s="405">
        <v>0</v>
      </c>
      <c r="BB267" s="405">
        <v>0</v>
      </c>
      <c r="BC267" s="405">
        <v>0</v>
      </c>
      <c r="BD267" s="405">
        <v>0</v>
      </c>
      <c r="BE267" s="405">
        <v>0</v>
      </c>
      <c r="BF267" s="405">
        <v>0</v>
      </c>
      <c r="BG267" s="405">
        <v>0</v>
      </c>
      <c r="BH267" s="405">
        <v>0</v>
      </c>
      <c r="BI267" s="405">
        <v>0</v>
      </c>
      <c r="BJ267" s="405">
        <v>0</v>
      </c>
      <c r="BK267" s="405">
        <v>0</v>
      </c>
      <c r="BL267" s="405">
        <v>0</v>
      </c>
      <c r="BM267" s="405">
        <v>0</v>
      </c>
      <c r="BN267" s="405">
        <v>0</v>
      </c>
      <c r="BO267" s="405">
        <v>0</v>
      </c>
      <c r="BP267" s="405">
        <v>0</v>
      </c>
      <c r="BQ267" s="405">
        <v>0</v>
      </c>
      <c r="BR267" s="405">
        <v>0</v>
      </c>
      <c r="BS267" s="405">
        <v>0</v>
      </c>
      <c r="BT267" s="405">
        <v>0</v>
      </c>
      <c r="BU267" s="405">
        <v>0</v>
      </c>
      <c r="BV267" s="405">
        <v>0</v>
      </c>
      <c r="BW267" s="405">
        <v>0</v>
      </c>
      <c r="BX267" s="405">
        <v>0</v>
      </c>
      <c r="BY267" s="405">
        <v>0</v>
      </c>
      <c r="BZ267" s="405">
        <v>0</v>
      </c>
      <c r="CA267" s="405">
        <v>0</v>
      </c>
      <c r="CB267" s="405">
        <v>0</v>
      </c>
      <c r="CC267" s="405">
        <v>0</v>
      </c>
      <c r="CD267" s="405">
        <v>0</v>
      </c>
      <c r="CE267" s="405">
        <v>0</v>
      </c>
      <c r="CF267" s="405">
        <v>0</v>
      </c>
    </row>
    <row r="268" spans="1:84" s="405" customFormat="1" x14ac:dyDescent="0.3">
      <c r="A268" s="405">
        <v>608</v>
      </c>
      <c r="B268" s="406"/>
      <c r="C268" s="405">
        <v>608</v>
      </c>
      <c r="D268" s="405" t="s">
        <v>686</v>
      </c>
      <c r="F268" s="405">
        <v>0</v>
      </c>
      <c r="G268" s="405">
        <v>0</v>
      </c>
      <c r="H268" s="405">
        <v>0</v>
      </c>
      <c r="I268" s="405">
        <v>0</v>
      </c>
      <c r="J268" s="405">
        <v>0</v>
      </c>
      <c r="K268" s="405">
        <v>0</v>
      </c>
      <c r="L268" s="405">
        <v>0</v>
      </c>
      <c r="M268" s="405">
        <v>0</v>
      </c>
      <c r="N268" s="405">
        <v>0</v>
      </c>
      <c r="O268" s="405">
        <v>0</v>
      </c>
      <c r="P268" s="405">
        <v>0</v>
      </c>
      <c r="Q268" s="405">
        <v>0</v>
      </c>
      <c r="R268" s="405">
        <v>0</v>
      </c>
      <c r="S268" s="405">
        <v>0</v>
      </c>
      <c r="T268" s="405">
        <v>0</v>
      </c>
      <c r="U268" s="405">
        <v>0</v>
      </c>
      <c r="V268" s="405">
        <v>0</v>
      </c>
      <c r="W268" s="405">
        <v>0</v>
      </c>
      <c r="X268" s="405">
        <v>0</v>
      </c>
      <c r="Y268" s="405">
        <v>0</v>
      </c>
      <c r="Z268" s="405">
        <v>0</v>
      </c>
      <c r="AA268" s="405">
        <v>0</v>
      </c>
      <c r="AB268" s="405">
        <v>0</v>
      </c>
      <c r="AC268" s="405">
        <v>0</v>
      </c>
      <c r="AD268" s="405">
        <v>0</v>
      </c>
      <c r="AE268" s="405">
        <v>0</v>
      </c>
      <c r="AF268" s="405">
        <v>0</v>
      </c>
      <c r="AG268" s="405">
        <v>0</v>
      </c>
      <c r="AH268" s="405">
        <v>0</v>
      </c>
      <c r="AI268" s="405">
        <v>0</v>
      </c>
      <c r="AJ268" s="405">
        <v>0</v>
      </c>
      <c r="AK268" s="405">
        <v>0</v>
      </c>
      <c r="AL268" s="405">
        <v>0</v>
      </c>
      <c r="AM268" s="405">
        <v>0</v>
      </c>
      <c r="AN268" s="405">
        <v>0</v>
      </c>
      <c r="AO268" s="405">
        <v>0</v>
      </c>
      <c r="AP268" s="405">
        <v>0</v>
      </c>
      <c r="AQ268" s="405">
        <v>0</v>
      </c>
      <c r="AR268" s="405">
        <v>0</v>
      </c>
      <c r="AS268" s="405">
        <v>0</v>
      </c>
      <c r="AT268" s="405">
        <v>0</v>
      </c>
      <c r="AU268" s="405">
        <v>0</v>
      </c>
      <c r="AV268" s="405">
        <v>0</v>
      </c>
      <c r="AW268" s="405">
        <v>0</v>
      </c>
      <c r="AX268" s="405">
        <v>0</v>
      </c>
      <c r="AY268" s="405">
        <v>0</v>
      </c>
      <c r="AZ268" s="405">
        <v>0</v>
      </c>
      <c r="BA268" s="405">
        <v>0</v>
      </c>
      <c r="BB268" s="405">
        <v>0</v>
      </c>
      <c r="BC268" s="405">
        <v>0</v>
      </c>
      <c r="BD268" s="405">
        <v>0</v>
      </c>
      <c r="BE268" s="405">
        <v>0</v>
      </c>
      <c r="BF268" s="405">
        <v>0</v>
      </c>
      <c r="BG268" s="405">
        <v>0</v>
      </c>
      <c r="BH268" s="405">
        <v>0</v>
      </c>
      <c r="BI268" s="405">
        <v>0</v>
      </c>
      <c r="BJ268" s="405">
        <v>0</v>
      </c>
      <c r="BK268" s="405">
        <v>0</v>
      </c>
      <c r="BL268" s="405">
        <v>0</v>
      </c>
      <c r="BM268" s="405">
        <v>0</v>
      </c>
      <c r="BN268" s="405">
        <v>0</v>
      </c>
      <c r="BO268" s="405">
        <v>0</v>
      </c>
      <c r="BP268" s="405">
        <v>0</v>
      </c>
      <c r="BQ268" s="405">
        <v>0</v>
      </c>
      <c r="BR268" s="405">
        <v>0</v>
      </c>
      <c r="BS268" s="405">
        <v>0</v>
      </c>
      <c r="BT268" s="405">
        <v>0</v>
      </c>
      <c r="BU268" s="405">
        <v>0</v>
      </c>
      <c r="BV268" s="405">
        <v>0</v>
      </c>
      <c r="BW268" s="405">
        <v>0</v>
      </c>
      <c r="BX268" s="405">
        <v>0</v>
      </c>
      <c r="BY268" s="405">
        <v>0</v>
      </c>
      <c r="BZ268" s="405">
        <v>0</v>
      </c>
      <c r="CA268" s="405">
        <v>0</v>
      </c>
      <c r="CB268" s="405">
        <v>0</v>
      </c>
      <c r="CC268" s="405">
        <v>0</v>
      </c>
      <c r="CD268" s="405">
        <v>0</v>
      </c>
      <c r="CE268" s="405">
        <v>0</v>
      </c>
      <c r="CF268" s="405">
        <v>0</v>
      </c>
    </row>
    <row r="269" spans="1:84" s="405" customFormat="1" x14ac:dyDescent="0.3">
      <c r="A269" s="405">
        <v>609</v>
      </c>
      <c r="B269" s="406"/>
      <c r="C269" s="405">
        <v>609</v>
      </c>
      <c r="D269" s="405" t="s">
        <v>706</v>
      </c>
      <c r="F269" s="405">
        <v>0</v>
      </c>
      <c r="G269" s="405">
        <v>0</v>
      </c>
      <c r="H269" s="405">
        <v>0</v>
      </c>
      <c r="I269" s="405">
        <v>0</v>
      </c>
      <c r="J269" s="405">
        <v>0</v>
      </c>
      <c r="K269" s="405">
        <v>0</v>
      </c>
      <c r="L269" s="405">
        <v>0</v>
      </c>
      <c r="M269" s="405">
        <v>0</v>
      </c>
      <c r="N269" s="405">
        <v>0</v>
      </c>
      <c r="O269" s="405">
        <v>0</v>
      </c>
      <c r="P269" s="405">
        <v>0</v>
      </c>
      <c r="Q269" s="405">
        <v>0</v>
      </c>
      <c r="R269" s="405">
        <v>0</v>
      </c>
      <c r="S269" s="405">
        <v>0</v>
      </c>
      <c r="T269" s="405">
        <v>0</v>
      </c>
      <c r="U269" s="405">
        <v>0</v>
      </c>
      <c r="V269" s="405">
        <v>0</v>
      </c>
      <c r="W269" s="405">
        <v>0</v>
      </c>
      <c r="X269" s="405">
        <v>0</v>
      </c>
      <c r="Y269" s="405">
        <v>0</v>
      </c>
      <c r="Z269" s="405">
        <v>0</v>
      </c>
      <c r="AA269" s="405">
        <v>0</v>
      </c>
      <c r="AB269" s="405">
        <v>0</v>
      </c>
      <c r="AC269" s="405">
        <v>0</v>
      </c>
      <c r="AD269" s="405">
        <v>0</v>
      </c>
      <c r="AE269" s="405">
        <v>0</v>
      </c>
      <c r="AF269" s="405">
        <v>0</v>
      </c>
      <c r="AG269" s="405">
        <v>0</v>
      </c>
      <c r="AH269" s="405">
        <v>0</v>
      </c>
      <c r="AI269" s="405">
        <v>0</v>
      </c>
      <c r="AJ269" s="405">
        <v>0</v>
      </c>
      <c r="AK269" s="405">
        <v>0</v>
      </c>
      <c r="AL269" s="405">
        <v>0</v>
      </c>
      <c r="AM269" s="405">
        <v>0</v>
      </c>
      <c r="AN269" s="405">
        <v>0</v>
      </c>
      <c r="AO269" s="405">
        <v>0</v>
      </c>
      <c r="AP269" s="405">
        <v>0</v>
      </c>
      <c r="AQ269" s="405">
        <v>0</v>
      </c>
      <c r="AR269" s="405">
        <v>0</v>
      </c>
      <c r="AS269" s="405">
        <v>0</v>
      </c>
      <c r="AT269" s="405">
        <v>0</v>
      </c>
      <c r="AU269" s="405">
        <v>0</v>
      </c>
      <c r="AV269" s="405">
        <v>0</v>
      </c>
      <c r="AW269" s="405">
        <v>0</v>
      </c>
      <c r="AX269" s="405">
        <v>0</v>
      </c>
      <c r="AY269" s="405">
        <v>0</v>
      </c>
      <c r="AZ269" s="405">
        <v>0</v>
      </c>
      <c r="BA269" s="405">
        <v>0</v>
      </c>
      <c r="BB269" s="405">
        <v>0</v>
      </c>
      <c r="BC269" s="405">
        <v>0</v>
      </c>
      <c r="BD269" s="405">
        <v>0</v>
      </c>
      <c r="BE269" s="405">
        <v>0</v>
      </c>
      <c r="BF269" s="405">
        <v>0</v>
      </c>
      <c r="BG269" s="405">
        <v>0</v>
      </c>
      <c r="BH269" s="405">
        <v>0</v>
      </c>
      <c r="BI269" s="405">
        <v>0</v>
      </c>
      <c r="BJ269" s="405">
        <v>0</v>
      </c>
      <c r="BK269" s="405">
        <v>0</v>
      </c>
      <c r="BL269" s="405">
        <v>0</v>
      </c>
      <c r="BM269" s="405">
        <v>0</v>
      </c>
      <c r="BN269" s="405">
        <v>0</v>
      </c>
      <c r="BO269" s="405">
        <v>0</v>
      </c>
      <c r="BP269" s="405">
        <v>0</v>
      </c>
      <c r="BQ269" s="405">
        <v>0</v>
      </c>
      <c r="BR269" s="405">
        <v>0</v>
      </c>
      <c r="BS269" s="405">
        <v>0</v>
      </c>
      <c r="BT269" s="405">
        <v>0</v>
      </c>
      <c r="BU269" s="405">
        <v>0</v>
      </c>
      <c r="BV269" s="405">
        <v>0</v>
      </c>
      <c r="BW269" s="405">
        <v>0</v>
      </c>
      <c r="BX269" s="405">
        <v>0</v>
      </c>
      <c r="BY269" s="405">
        <v>0</v>
      </c>
      <c r="BZ269" s="405">
        <v>0</v>
      </c>
      <c r="CA269" s="405">
        <v>0</v>
      </c>
      <c r="CB269" s="405">
        <v>0</v>
      </c>
      <c r="CC269" s="405">
        <v>0</v>
      </c>
      <c r="CD269" s="405">
        <v>0</v>
      </c>
      <c r="CE269" s="405">
        <v>0</v>
      </c>
      <c r="CF269" s="405">
        <v>0</v>
      </c>
    </row>
    <row r="270" spans="1:84" s="405" customFormat="1" x14ac:dyDescent="0.3">
      <c r="A270" s="405">
        <v>610</v>
      </c>
      <c r="B270" s="406"/>
      <c r="C270" s="405">
        <v>610</v>
      </c>
      <c r="D270" s="405" t="s">
        <v>687</v>
      </c>
      <c r="F270" s="405">
        <v>0</v>
      </c>
      <c r="G270" s="405">
        <v>0</v>
      </c>
      <c r="H270" s="405">
        <v>0</v>
      </c>
      <c r="I270" s="405">
        <v>0</v>
      </c>
      <c r="J270" s="405">
        <v>0</v>
      </c>
      <c r="K270" s="405">
        <v>0</v>
      </c>
      <c r="L270" s="405">
        <v>0</v>
      </c>
      <c r="M270" s="405">
        <v>0</v>
      </c>
      <c r="N270" s="405">
        <v>0</v>
      </c>
      <c r="O270" s="405">
        <v>0</v>
      </c>
      <c r="P270" s="405">
        <v>0</v>
      </c>
      <c r="Q270" s="405">
        <v>0</v>
      </c>
      <c r="R270" s="405">
        <v>0</v>
      </c>
      <c r="S270" s="405">
        <v>0</v>
      </c>
      <c r="T270" s="405">
        <v>0</v>
      </c>
      <c r="U270" s="405">
        <v>0</v>
      </c>
      <c r="V270" s="405">
        <v>0</v>
      </c>
      <c r="W270" s="405">
        <v>0</v>
      </c>
      <c r="X270" s="405">
        <v>0</v>
      </c>
      <c r="Y270" s="405">
        <v>0</v>
      </c>
      <c r="Z270" s="405">
        <v>0</v>
      </c>
      <c r="AA270" s="405">
        <v>0</v>
      </c>
      <c r="AB270" s="405">
        <v>0</v>
      </c>
      <c r="AC270" s="405">
        <v>0</v>
      </c>
      <c r="AD270" s="405">
        <v>0</v>
      </c>
      <c r="AE270" s="405">
        <v>0</v>
      </c>
      <c r="AF270" s="405">
        <v>0</v>
      </c>
      <c r="AG270" s="405">
        <v>0</v>
      </c>
      <c r="AH270" s="405">
        <v>0</v>
      </c>
      <c r="AI270" s="405">
        <v>0</v>
      </c>
      <c r="AJ270" s="405">
        <v>0</v>
      </c>
      <c r="AK270" s="405">
        <v>0</v>
      </c>
      <c r="AL270" s="405">
        <v>0</v>
      </c>
      <c r="AM270" s="405">
        <v>0</v>
      </c>
      <c r="AN270" s="405">
        <v>0</v>
      </c>
      <c r="AO270" s="405">
        <v>0</v>
      </c>
      <c r="AP270" s="405">
        <v>0</v>
      </c>
      <c r="AQ270" s="405">
        <v>0</v>
      </c>
      <c r="AR270" s="405">
        <v>0</v>
      </c>
      <c r="AS270" s="405">
        <v>0</v>
      </c>
      <c r="AT270" s="405">
        <v>0</v>
      </c>
      <c r="AU270" s="405">
        <v>0</v>
      </c>
      <c r="AV270" s="405">
        <v>0</v>
      </c>
      <c r="AW270" s="405">
        <v>0</v>
      </c>
      <c r="AX270" s="405">
        <v>0</v>
      </c>
      <c r="AY270" s="405">
        <v>0</v>
      </c>
      <c r="AZ270" s="405">
        <v>0</v>
      </c>
      <c r="BA270" s="405">
        <v>0</v>
      </c>
      <c r="BB270" s="405">
        <v>0</v>
      </c>
      <c r="BC270" s="405">
        <v>0</v>
      </c>
      <c r="BD270" s="405">
        <v>0</v>
      </c>
      <c r="BE270" s="405">
        <v>0</v>
      </c>
      <c r="BF270" s="405">
        <v>0</v>
      </c>
      <c r="BG270" s="405">
        <v>0</v>
      </c>
      <c r="BH270" s="405">
        <v>0</v>
      </c>
      <c r="BI270" s="405">
        <v>0</v>
      </c>
      <c r="BJ270" s="405">
        <v>0</v>
      </c>
      <c r="BK270" s="405">
        <v>0</v>
      </c>
      <c r="BL270" s="405">
        <v>0</v>
      </c>
      <c r="BM270" s="405">
        <v>0</v>
      </c>
      <c r="BN270" s="405">
        <v>0</v>
      </c>
      <c r="BO270" s="405">
        <v>0</v>
      </c>
      <c r="BP270" s="405">
        <v>0</v>
      </c>
      <c r="BQ270" s="405">
        <v>0</v>
      </c>
      <c r="BR270" s="405">
        <v>0</v>
      </c>
      <c r="BS270" s="405">
        <v>0</v>
      </c>
      <c r="BT270" s="405">
        <v>0</v>
      </c>
      <c r="BU270" s="405">
        <v>0</v>
      </c>
      <c r="BV270" s="405">
        <v>0</v>
      </c>
      <c r="BW270" s="405">
        <v>0</v>
      </c>
      <c r="BX270" s="405">
        <v>0</v>
      </c>
      <c r="BY270" s="405">
        <v>0</v>
      </c>
      <c r="BZ270" s="405">
        <v>0</v>
      </c>
      <c r="CA270" s="405">
        <v>0</v>
      </c>
      <c r="CB270" s="405">
        <v>0</v>
      </c>
      <c r="CC270" s="405">
        <v>0</v>
      </c>
      <c r="CD270" s="405">
        <v>0</v>
      </c>
      <c r="CE270" s="405">
        <v>0</v>
      </c>
      <c r="CF270" s="405">
        <v>0</v>
      </c>
    </row>
    <row r="271" spans="1:84" s="405" customFormat="1" x14ac:dyDescent="0.3">
      <c r="A271" s="405">
        <v>611</v>
      </c>
      <c r="B271" s="406"/>
      <c r="C271" s="405">
        <v>611</v>
      </c>
      <c r="D271" s="405" t="s">
        <v>688</v>
      </c>
      <c r="F271" s="405">
        <v>0</v>
      </c>
      <c r="G271" s="405">
        <v>0</v>
      </c>
      <c r="H271" s="405">
        <v>0</v>
      </c>
      <c r="I271" s="405">
        <v>0</v>
      </c>
      <c r="J271" s="405">
        <v>0</v>
      </c>
      <c r="K271" s="405">
        <v>0</v>
      </c>
      <c r="L271" s="405">
        <v>0</v>
      </c>
      <c r="M271" s="405">
        <v>0</v>
      </c>
      <c r="N271" s="405">
        <v>0</v>
      </c>
      <c r="O271" s="405">
        <v>0</v>
      </c>
      <c r="P271" s="405">
        <v>0</v>
      </c>
      <c r="Q271" s="405">
        <v>0</v>
      </c>
      <c r="R271" s="405">
        <v>0</v>
      </c>
      <c r="S271" s="405">
        <v>0</v>
      </c>
      <c r="T271" s="405">
        <v>0</v>
      </c>
      <c r="U271" s="405">
        <v>0</v>
      </c>
      <c r="V271" s="405">
        <v>0</v>
      </c>
      <c r="W271" s="405">
        <v>0</v>
      </c>
      <c r="X271" s="405">
        <v>0</v>
      </c>
      <c r="Y271" s="405">
        <v>0</v>
      </c>
      <c r="Z271" s="405">
        <v>0</v>
      </c>
      <c r="AA271" s="405">
        <v>0</v>
      </c>
      <c r="AB271" s="405">
        <v>0</v>
      </c>
      <c r="AC271" s="405">
        <v>0</v>
      </c>
      <c r="AD271" s="405">
        <v>0</v>
      </c>
      <c r="AE271" s="405">
        <v>0</v>
      </c>
      <c r="AF271" s="405">
        <v>0</v>
      </c>
      <c r="AG271" s="405">
        <v>0</v>
      </c>
      <c r="AH271" s="405">
        <v>0</v>
      </c>
      <c r="AI271" s="405">
        <v>0</v>
      </c>
      <c r="AJ271" s="405">
        <v>0</v>
      </c>
      <c r="AK271" s="405">
        <v>0</v>
      </c>
      <c r="AL271" s="405">
        <v>0</v>
      </c>
      <c r="AM271" s="405">
        <v>0</v>
      </c>
      <c r="AN271" s="405">
        <v>0</v>
      </c>
      <c r="AO271" s="405">
        <v>0</v>
      </c>
      <c r="AP271" s="405">
        <v>0</v>
      </c>
      <c r="AQ271" s="405">
        <v>0</v>
      </c>
      <c r="AR271" s="405">
        <v>0</v>
      </c>
      <c r="AS271" s="405">
        <v>0</v>
      </c>
      <c r="AT271" s="405">
        <v>0</v>
      </c>
      <c r="AU271" s="405">
        <v>0</v>
      </c>
      <c r="AV271" s="405">
        <v>0</v>
      </c>
      <c r="AW271" s="405">
        <v>0</v>
      </c>
      <c r="AX271" s="405">
        <v>0</v>
      </c>
      <c r="AY271" s="405">
        <v>0</v>
      </c>
      <c r="AZ271" s="405">
        <v>0</v>
      </c>
      <c r="BA271" s="405">
        <v>0</v>
      </c>
      <c r="BB271" s="405">
        <v>0</v>
      </c>
      <c r="BC271" s="405">
        <v>0</v>
      </c>
      <c r="BD271" s="405">
        <v>0</v>
      </c>
      <c r="BE271" s="405">
        <v>0</v>
      </c>
      <c r="BF271" s="405">
        <v>0</v>
      </c>
      <c r="BG271" s="405">
        <v>0</v>
      </c>
      <c r="BH271" s="405">
        <v>0</v>
      </c>
      <c r="BI271" s="405">
        <v>0</v>
      </c>
      <c r="BJ271" s="405">
        <v>0</v>
      </c>
      <c r="BK271" s="405">
        <v>0</v>
      </c>
      <c r="BL271" s="405">
        <v>0</v>
      </c>
      <c r="BM271" s="405">
        <v>0</v>
      </c>
      <c r="BN271" s="405">
        <v>0</v>
      </c>
      <c r="BO271" s="405">
        <v>0</v>
      </c>
      <c r="BP271" s="405">
        <v>0</v>
      </c>
      <c r="BQ271" s="405">
        <v>0</v>
      </c>
      <c r="BR271" s="405">
        <v>0</v>
      </c>
      <c r="BS271" s="405">
        <v>0</v>
      </c>
      <c r="BT271" s="405">
        <v>0</v>
      </c>
      <c r="BU271" s="405">
        <v>0</v>
      </c>
      <c r="BV271" s="405">
        <v>0</v>
      </c>
      <c r="BW271" s="405">
        <v>0</v>
      </c>
      <c r="BX271" s="405">
        <v>0</v>
      </c>
      <c r="BY271" s="405">
        <v>0</v>
      </c>
      <c r="BZ271" s="405">
        <v>0</v>
      </c>
      <c r="CA271" s="405">
        <v>0</v>
      </c>
      <c r="CB271" s="405">
        <v>0</v>
      </c>
      <c r="CC271" s="405">
        <v>0</v>
      </c>
      <c r="CD271" s="405">
        <v>0</v>
      </c>
      <c r="CE271" s="405">
        <v>0</v>
      </c>
      <c r="CF271" s="405">
        <v>0</v>
      </c>
    </row>
    <row r="272" spans="1:84" s="405" customFormat="1" x14ac:dyDescent="0.3">
      <c r="A272" s="405">
        <v>612</v>
      </c>
      <c r="B272" s="406"/>
      <c r="C272" s="405">
        <v>612</v>
      </c>
      <c r="D272" s="405" t="s">
        <v>707</v>
      </c>
      <c r="F272" s="405">
        <v>0</v>
      </c>
      <c r="G272" s="405">
        <v>0</v>
      </c>
      <c r="H272" s="405">
        <v>0</v>
      </c>
      <c r="I272" s="405">
        <v>0</v>
      </c>
      <c r="J272" s="405">
        <v>0</v>
      </c>
      <c r="K272" s="405">
        <v>0</v>
      </c>
      <c r="L272" s="405">
        <v>0</v>
      </c>
      <c r="M272" s="405">
        <v>0</v>
      </c>
      <c r="N272" s="405">
        <v>0</v>
      </c>
      <c r="O272" s="405">
        <v>0</v>
      </c>
      <c r="P272" s="405">
        <v>0</v>
      </c>
      <c r="Q272" s="405">
        <v>0</v>
      </c>
      <c r="R272" s="405">
        <v>0</v>
      </c>
      <c r="S272" s="405">
        <v>0</v>
      </c>
      <c r="T272" s="405">
        <v>0</v>
      </c>
      <c r="U272" s="405">
        <v>0</v>
      </c>
      <c r="V272" s="405">
        <v>0</v>
      </c>
      <c r="W272" s="405">
        <v>0</v>
      </c>
      <c r="X272" s="405">
        <v>0</v>
      </c>
      <c r="Y272" s="405">
        <v>0</v>
      </c>
      <c r="Z272" s="405">
        <v>0</v>
      </c>
      <c r="AA272" s="405">
        <v>0</v>
      </c>
      <c r="AB272" s="405">
        <v>0</v>
      </c>
      <c r="AC272" s="405">
        <v>0</v>
      </c>
      <c r="AD272" s="405">
        <v>0</v>
      </c>
      <c r="AE272" s="405">
        <v>0</v>
      </c>
      <c r="AF272" s="405">
        <v>0</v>
      </c>
      <c r="AG272" s="405">
        <v>0</v>
      </c>
      <c r="AH272" s="405">
        <v>0</v>
      </c>
      <c r="AI272" s="405">
        <v>0</v>
      </c>
      <c r="AJ272" s="405">
        <v>0</v>
      </c>
      <c r="AK272" s="405">
        <v>0</v>
      </c>
      <c r="AL272" s="405">
        <v>0</v>
      </c>
      <c r="AM272" s="405">
        <v>0</v>
      </c>
      <c r="AN272" s="405">
        <v>0</v>
      </c>
      <c r="AO272" s="405">
        <v>0</v>
      </c>
      <c r="AP272" s="405">
        <v>0</v>
      </c>
      <c r="AQ272" s="405">
        <v>0</v>
      </c>
      <c r="AR272" s="405">
        <v>0</v>
      </c>
      <c r="AS272" s="405">
        <v>0</v>
      </c>
      <c r="AT272" s="405">
        <v>0</v>
      </c>
      <c r="AU272" s="405">
        <v>0</v>
      </c>
      <c r="AV272" s="405">
        <v>0</v>
      </c>
      <c r="AW272" s="405">
        <v>0</v>
      </c>
      <c r="AX272" s="405">
        <v>0</v>
      </c>
      <c r="AY272" s="405">
        <v>0</v>
      </c>
      <c r="AZ272" s="405">
        <v>0</v>
      </c>
      <c r="BA272" s="405">
        <v>0</v>
      </c>
      <c r="BB272" s="405">
        <v>0</v>
      </c>
      <c r="BC272" s="405">
        <v>0</v>
      </c>
      <c r="BD272" s="405">
        <v>0</v>
      </c>
      <c r="BE272" s="405">
        <v>0</v>
      </c>
      <c r="BF272" s="405">
        <v>0</v>
      </c>
      <c r="BG272" s="405">
        <v>0</v>
      </c>
      <c r="BH272" s="405">
        <v>0</v>
      </c>
      <c r="BI272" s="405">
        <v>0</v>
      </c>
      <c r="BJ272" s="405">
        <v>0</v>
      </c>
      <c r="BK272" s="405">
        <v>0</v>
      </c>
      <c r="BL272" s="405">
        <v>0</v>
      </c>
      <c r="BM272" s="405">
        <v>0</v>
      </c>
      <c r="BN272" s="405">
        <v>0</v>
      </c>
      <c r="BO272" s="405">
        <v>0</v>
      </c>
      <c r="BP272" s="405">
        <v>0</v>
      </c>
      <c r="BQ272" s="405">
        <v>0</v>
      </c>
      <c r="BR272" s="405">
        <v>0</v>
      </c>
      <c r="BS272" s="405">
        <v>0</v>
      </c>
      <c r="BT272" s="405">
        <v>0</v>
      </c>
      <c r="BU272" s="405">
        <v>0</v>
      </c>
      <c r="BV272" s="405">
        <v>0</v>
      </c>
      <c r="BW272" s="405">
        <v>0</v>
      </c>
      <c r="BX272" s="405">
        <v>0</v>
      </c>
      <c r="BY272" s="405">
        <v>0</v>
      </c>
      <c r="BZ272" s="405">
        <v>0</v>
      </c>
      <c r="CA272" s="405">
        <v>0</v>
      </c>
      <c r="CB272" s="405">
        <v>0</v>
      </c>
      <c r="CC272" s="405">
        <v>0</v>
      </c>
      <c r="CD272" s="405">
        <v>0</v>
      </c>
      <c r="CE272" s="405">
        <v>0</v>
      </c>
      <c r="CF272" s="405">
        <v>0</v>
      </c>
    </row>
    <row r="273" spans="1:84" s="405" customFormat="1" x14ac:dyDescent="0.3">
      <c r="A273" s="405">
        <v>613</v>
      </c>
      <c r="B273" s="406"/>
      <c r="C273" s="405">
        <v>613</v>
      </c>
      <c r="D273" s="405" t="s">
        <v>696</v>
      </c>
      <c r="F273" s="405">
        <v>0</v>
      </c>
      <c r="G273" s="405">
        <v>0</v>
      </c>
      <c r="H273" s="405">
        <v>0</v>
      </c>
      <c r="I273" s="405">
        <v>0</v>
      </c>
      <c r="J273" s="405">
        <v>0</v>
      </c>
      <c r="K273" s="405">
        <v>0</v>
      </c>
      <c r="L273" s="405">
        <v>0</v>
      </c>
      <c r="M273" s="405">
        <v>0</v>
      </c>
      <c r="N273" s="405">
        <v>0</v>
      </c>
      <c r="O273" s="405">
        <v>0</v>
      </c>
      <c r="P273" s="405">
        <v>0</v>
      </c>
      <c r="Q273" s="405">
        <v>0</v>
      </c>
      <c r="R273" s="405">
        <v>0</v>
      </c>
      <c r="S273" s="405">
        <v>0</v>
      </c>
      <c r="T273" s="405">
        <v>0</v>
      </c>
      <c r="U273" s="405">
        <v>0</v>
      </c>
      <c r="V273" s="405">
        <v>0</v>
      </c>
      <c r="W273" s="405">
        <v>0</v>
      </c>
      <c r="X273" s="405">
        <v>0</v>
      </c>
      <c r="Y273" s="405">
        <v>0</v>
      </c>
      <c r="Z273" s="405">
        <v>0</v>
      </c>
      <c r="AA273" s="405">
        <v>0</v>
      </c>
      <c r="AB273" s="405">
        <v>0</v>
      </c>
      <c r="AC273" s="405">
        <v>0</v>
      </c>
      <c r="AD273" s="405">
        <v>0</v>
      </c>
      <c r="AE273" s="405">
        <v>0</v>
      </c>
      <c r="AF273" s="405">
        <v>0</v>
      </c>
      <c r="AG273" s="405">
        <v>0</v>
      </c>
      <c r="AH273" s="405">
        <v>0</v>
      </c>
      <c r="AI273" s="405">
        <v>0</v>
      </c>
      <c r="AJ273" s="405">
        <v>0</v>
      </c>
      <c r="AK273" s="405">
        <v>0</v>
      </c>
      <c r="AL273" s="405">
        <v>0</v>
      </c>
      <c r="AM273" s="405">
        <v>0</v>
      </c>
      <c r="AN273" s="405">
        <v>0</v>
      </c>
      <c r="AO273" s="405">
        <v>0</v>
      </c>
      <c r="AP273" s="405">
        <v>0</v>
      </c>
      <c r="AQ273" s="405">
        <v>0</v>
      </c>
      <c r="AR273" s="405">
        <v>0</v>
      </c>
      <c r="AS273" s="405">
        <v>0</v>
      </c>
      <c r="AT273" s="405">
        <v>0</v>
      </c>
      <c r="AU273" s="405">
        <v>0</v>
      </c>
      <c r="AV273" s="405">
        <v>0</v>
      </c>
      <c r="AW273" s="405">
        <v>0</v>
      </c>
      <c r="AX273" s="405">
        <v>0</v>
      </c>
      <c r="AY273" s="405">
        <v>0</v>
      </c>
      <c r="AZ273" s="405">
        <v>0</v>
      </c>
      <c r="BA273" s="405">
        <v>0</v>
      </c>
      <c r="BB273" s="405">
        <v>0</v>
      </c>
      <c r="BC273" s="405">
        <v>0</v>
      </c>
      <c r="BD273" s="405">
        <v>0</v>
      </c>
      <c r="BE273" s="405">
        <v>0</v>
      </c>
      <c r="BF273" s="405">
        <v>0</v>
      </c>
      <c r="BG273" s="405">
        <v>0</v>
      </c>
      <c r="BH273" s="405">
        <v>0</v>
      </c>
      <c r="BI273" s="405">
        <v>0</v>
      </c>
      <c r="BJ273" s="405">
        <v>0</v>
      </c>
      <c r="BK273" s="405">
        <v>0</v>
      </c>
      <c r="BL273" s="405">
        <v>0</v>
      </c>
      <c r="BM273" s="405">
        <v>0</v>
      </c>
      <c r="BN273" s="405">
        <v>0</v>
      </c>
      <c r="BO273" s="405">
        <v>0</v>
      </c>
      <c r="BP273" s="405">
        <v>0</v>
      </c>
      <c r="BQ273" s="405">
        <v>0</v>
      </c>
      <c r="BR273" s="405">
        <v>0</v>
      </c>
      <c r="BS273" s="405">
        <v>0</v>
      </c>
      <c r="BT273" s="405">
        <v>0</v>
      </c>
      <c r="BU273" s="405">
        <v>0</v>
      </c>
      <c r="BV273" s="405">
        <v>0</v>
      </c>
      <c r="BW273" s="405">
        <v>0</v>
      </c>
      <c r="BX273" s="405">
        <v>0</v>
      </c>
      <c r="BY273" s="405">
        <v>0</v>
      </c>
      <c r="BZ273" s="405">
        <v>0</v>
      </c>
      <c r="CA273" s="405">
        <v>0</v>
      </c>
      <c r="CB273" s="405">
        <v>0</v>
      </c>
      <c r="CC273" s="405">
        <v>0</v>
      </c>
      <c r="CD273" s="405">
        <v>0</v>
      </c>
      <c r="CE273" s="405">
        <v>0</v>
      </c>
      <c r="CF273" s="405">
        <v>0</v>
      </c>
    </row>
    <row r="274" spans="1:84" s="405" customFormat="1" x14ac:dyDescent="0.3">
      <c r="A274" s="405">
        <v>614</v>
      </c>
      <c r="B274" s="406"/>
      <c r="C274" s="405">
        <v>614</v>
      </c>
      <c r="D274" s="405" t="s">
        <v>689</v>
      </c>
      <c r="F274" s="405">
        <v>0</v>
      </c>
      <c r="G274" s="405">
        <v>0</v>
      </c>
      <c r="H274" s="405">
        <v>0</v>
      </c>
      <c r="I274" s="405">
        <v>0</v>
      </c>
      <c r="J274" s="405">
        <v>0</v>
      </c>
      <c r="K274" s="405">
        <v>0</v>
      </c>
      <c r="L274" s="405">
        <v>0</v>
      </c>
      <c r="M274" s="405">
        <v>0</v>
      </c>
      <c r="N274" s="405">
        <v>0</v>
      </c>
      <c r="O274" s="405">
        <v>0</v>
      </c>
      <c r="P274" s="405">
        <v>0</v>
      </c>
      <c r="Q274" s="405">
        <v>0</v>
      </c>
      <c r="R274" s="405">
        <v>0</v>
      </c>
      <c r="S274" s="405">
        <v>0</v>
      </c>
      <c r="T274" s="405">
        <v>0</v>
      </c>
      <c r="U274" s="405">
        <v>0</v>
      </c>
      <c r="V274" s="405">
        <v>0</v>
      </c>
      <c r="W274" s="405">
        <v>0</v>
      </c>
      <c r="X274" s="405">
        <v>0</v>
      </c>
      <c r="Y274" s="405">
        <v>0</v>
      </c>
      <c r="Z274" s="405">
        <v>0</v>
      </c>
      <c r="AA274" s="405">
        <v>0</v>
      </c>
      <c r="AB274" s="405">
        <v>0</v>
      </c>
      <c r="AC274" s="405">
        <v>0</v>
      </c>
      <c r="AD274" s="405">
        <v>0</v>
      </c>
      <c r="AE274" s="405">
        <v>0</v>
      </c>
      <c r="AF274" s="405">
        <v>0</v>
      </c>
      <c r="AG274" s="405">
        <v>0</v>
      </c>
      <c r="AH274" s="405">
        <v>0</v>
      </c>
      <c r="AI274" s="405">
        <v>0</v>
      </c>
      <c r="AJ274" s="405">
        <v>0</v>
      </c>
      <c r="AK274" s="405">
        <v>0</v>
      </c>
      <c r="AL274" s="405">
        <v>0</v>
      </c>
      <c r="AM274" s="405">
        <v>0</v>
      </c>
      <c r="AN274" s="405">
        <v>0</v>
      </c>
      <c r="AO274" s="405">
        <v>0</v>
      </c>
      <c r="AP274" s="405">
        <v>0</v>
      </c>
      <c r="AQ274" s="405">
        <v>0</v>
      </c>
      <c r="AR274" s="405">
        <v>0</v>
      </c>
      <c r="AS274" s="405">
        <v>0</v>
      </c>
      <c r="AT274" s="405">
        <v>0</v>
      </c>
      <c r="AU274" s="405">
        <v>0</v>
      </c>
      <c r="AV274" s="405">
        <v>0</v>
      </c>
      <c r="AW274" s="405">
        <v>0</v>
      </c>
      <c r="AX274" s="405">
        <v>0</v>
      </c>
      <c r="AY274" s="405">
        <v>0</v>
      </c>
      <c r="AZ274" s="405">
        <v>0</v>
      </c>
      <c r="BA274" s="405">
        <v>0</v>
      </c>
      <c r="BB274" s="405">
        <v>0</v>
      </c>
      <c r="BC274" s="405">
        <v>0</v>
      </c>
      <c r="BD274" s="405">
        <v>0</v>
      </c>
      <c r="BE274" s="405">
        <v>0</v>
      </c>
      <c r="BF274" s="405">
        <v>0</v>
      </c>
      <c r="BG274" s="405">
        <v>0</v>
      </c>
      <c r="BH274" s="405">
        <v>0</v>
      </c>
      <c r="BI274" s="405">
        <v>0</v>
      </c>
      <c r="BJ274" s="405">
        <v>0</v>
      </c>
      <c r="BK274" s="405">
        <v>0</v>
      </c>
      <c r="BL274" s="405">
        <v>0</v>
      </c>
      <c r="BM274" s="405">
        <v>0</v>
      </c>
      <c r="BN274" s="405">
        <v>0</v>
      </c>
      <c r="BO274" s="405">
        <v>0</v>
      </c>
      <c r="BP274" s="405">
        <v>0</v>
      </c>
      <c r="BQ274" s="405">
        <v>0</v>
      </c>
      <c r="BR274" s="405">
        <v>0</v>
      </c>
      <c r="BS274" s="405">
        <v>0</v>
      </c>
      <c r="BT274" s="405">
        <v>0</v>
      </c>
      <c r="BU274" s="405">
        <v>0</v>
      </c>
      <c r="BV274" s="405">
        <v>0</v>
      </c>
      <c r="BW274" s="405">
        <v>0</v>
      </c>
      <c r="BX274" s="405">
        <v>0</v>
      </c>
      <c r="BY274" s="405">
        <v>0</v>
      </c>
      <c r="BZ274" s="405">
        <v>0</v>
      </c>
      <c r="CA274" s="405">
        <v>0</v>
      </c>
      <c r="CB274" s="405">
        <v>0</v>
      </c>
      <c r="CC274" s="405">
        <v>0</v>
      </c>
      <c r="CD274" s="405">
        <v>0</v>
      </c>
      <c r="CE274" s="405">
        <v>0</v>
      </c>
      <c r="CF274" s="405">
        <v>0</v>
      </c>
    </row>
    <row r="275" spans="1:84" s="405" customFormat="1" x14ac:dyDescent="0.3">
      <c r="A275" s="405">
        <v>615</v>
      </c>
      <c r="B275" s="406"/>
      <c r="C275" s="405">
        <v>615</v>
      </c>
      <c r="D275" s="405" t="s">
        <v>708</v>
      </c>
      <c r="F275" s="405">
        <v>0</v>
      </c>
      <c r="G275" s="405">
        <v>0</v>
      </c>
      <c r="H275" s="405">
        <v>0</v>
      </c>
      <c r="I275" s="405">
        <v>0</v>
      </c>
      <c r="J275" s="405">
        <v>0</v>
      </c>
      <c r="K275" s="405">
        <v>0</v>
      </c>
      <c r="L275" s="405">
        <v>0</v>
      </c>
      <c r="M275" s="405">
        <v>0</v>
      </c>
      <c r="N275" s="405">
        <v>0</v>
      </c>
      <c r="O275" s="405">
        <v>0</v>
      </c>
      <c r="P275" s="405">
        <v>0</v>
      </c>
      <c r="Q275" s="405">
        <v>0</v>
      </c>
      <c r="R275" s="405">
        <v>0</v>
      </c>
      <c r="S275" s="405">
        <v>0</v>
      </c>
      <c r="T275" s="405">
        <v>0</v>
      </c>
      <c r="U275" s="405">
        <v>0</v>
      </c>
      <c r="V275" s="405">
        <v>0</v>
      </c>
      <c r="W275" s="405">
        <v>0</v>
      </c>
      <c r="X275" s="405">
        <v>0</v>
      </c>
      <c r="Y275" s="405">
        <v>0</v>
      </c>
      <c r="Z275" s="405">
        <v>0</v>
      </c>
      <c r="AA275" s="405">
        <v>0</v>
      </c>
      <c r="AB275" s="405">
        <v>0</v>
      </c>
      <c r="AC275" s="405">
        <v>0</v>
      </c>
      <c r="AD275" s="405">
        <v>0</v>
      </c>
      <c r="AE275" s="405">
        <v>0</v>
      </c>
      <c r="AF275" s="405">
        <v>0</v>
      </c>
      <c r="AG275" s="405">
        <v>0</v>
      </c>
      <c r="AH275" s="405">
        <v>0</v>
      </c>
      <c r="AI275" s="405">
        <v>0</v>
      </c>
      <c r="AJ275" s="405">
        <v>0</v>
      </c>
      <c r="AK275" s="405">
        <v>0</v>
      </c>
      <c r="AL275" s="405">
        <v>0</v>
      </c>
      <c r="AM275" s="405">
        <v>0</v>
      </c>
      <c r="AN275" s="405">
        <v>0</v>
      </c>
      <c r="AO275" s="405">
        <v>0</v>
      </c>
      <c r="AP275" s="405">
        <v>0</v>
      </c>
      <c r="AQ275" s="405">
        <v>0</v>
      </c>
      <c r="AR275" s="405">
        <v>0</v>
      </c>
      <c r="AS275" s="405">
        <v>0</v>
      </c>
      <c r="AT275" s="405">
        <v>0</v>
      </c>
      <c r="AU275" s="405">
        <v>0</v>
      </c>
      <c r="AV275" s="405">
        <v>0</v>
      </c>
      <c r="AW275" s="405">
        <v>0</v>
      </c>
      <c r="AX275" s="405">
        <v>0</v>
      </c>
      <c r="AY275" s="405">
        <v>0</v>
      </c>
      <c r="AZ275" s="405">
        <v>0</v>
      </c>
      <c r="BA275" s="405">
        <v>0</v>
      </c>
      <c r="BB275" s="405">
        <v>0</v>
      </c>
      <c r="BC275" s="405">
        <v>0</v>
      </c>
      <c r="BD275" s="405">
        <v>0</v>
      </c>
      <c r="BE275" s="405">
        <v>0</v>
      </c>
      <c r="BF275" s="405">
        <v>0</v>
      </c>
      <c r="BG275" s="405">
        <v>0</v>
      </c>
      <c r="BH275" s="405">
        <v>0</v>
      </c>
      <c r="BI275" s="405">
        <v>0</v>
      </c>
      <c r="BJ275" s="405">
        <v>0</v>
      </c>
      <c r="BK275" s="405">
        <v>0</v>
      </c>
      <c r="BL275" s="405">
        <v>0</v>
      </c>
      <c r="BM275" s="405">
        <v>0</v>
      </c>
      <c r="BN275" s="405">
        <v>0</v>
      </c>
      <c r="BO275" s="405">
        <v>0</v>
      </c>
      <c r="BP275" s="405">
        <v>0</v>
      </c>
      <c r="BQ275" s="405">
        <v>0</v>
      </c>
      <c r="BR275" s="405">
        <v>0</v>
      </c>
      <c r="BS275" s="405">
        <v>0</v>
      </c>
      <c r="BT275" s="405">
        <v>0</v>
      </c>
      <c r="BU275" s="405">
        <v>0</v>
      </c>
      <c r="BV275" s="405">
        <v>0</v>
      </c>
      <c r="BW275" s="405">
        <v>0</v>
      </c>
      <c r="BX275" s="405">
        <v>0</v>
      </c>
      <c r="BY275" s="405">
        <v>0</v>
      </c>
      <c r="BZ275" s="405">
        <v>0</v>
      </c>
      <c r="CA275" s="405">
        <v>0</v>
      </c>
      <c r="CB275" s="405">
        <v>0</v>
      </c>
      <c r="CC275" s="405">
        <v>0</v>
      </c>
      <c r="CD275" s="405">
        <v>0</v>
      </c>
      <c r="CE275" s="405">
        <v>0</v>
      </c>
      <c r="CF275" s="405">
        <v>0</v>
      </c>
    </row>
    <row r="276" spans="1:84" s="405" customFormat="1" x14ac:dyDescent="0.3">
      <c r="A276" s="405">
        <v>616</v>
      </c>
      <c r="B276" s="406"/>
      <c r="C276" s="405">
        <v>616</v>
      </c>
      <c r="D276" s="405" t="s">
        <v>690</v>
      </c>
      <c r="F276" s="405">
        <v>0</v>
      </c>
      <c r="G276" s="405">
        <v>0</v>
      </c>
      <c r="H276" s="405">
        <v>0</v>
      </c>
      <c r="I276" s="405">
        <v>0</v>
      </c>
      <c r="J276" s="405">
        <v>0</v>
      </c>
      <c r="K276" s="405">
        <v>0</v>
      </c>
      <c r="L276" s="405">
        <v>0</v>
      </c>
      <c r="M276" s="405">
        <v>0</v>
      </c>
      <c r="N276" s="405">
        <v>0</v>
      </c>
      <c r="O276" s="405">
        <v>0</v>
      </c>
      <c r="P276" s="405">
        <v>0</v>
      </c>
      <c r="Q276" s="405">
        <v>0</v>
      </c>
      <c r="R276" s="405">
        <v>0</v>
      </c>
      <c r="S276" s="405">
        <v>0</v>
      </c>
      <c r="T276" s="405">
        <v>0</v>
      </c>
      <c r="U276" s="405">
        <v>0</v>
      </c>
      <c r="V276" s="405">
        <v>0</v>
      </c>
      <c r="W276" s="405">
        <v>0</v>
      </c>
      <c r="X276" s="405">
        <v>0</v>
      </c>
      <c r="Y276" s="405">
        <v>0</v>
      </c>
      <c r="Z276" s="405">
        <v>0</v>
      </c>
      <c r="AA276" s="405">
        <v>0</v>
      </c>
      <c r="AB276" s="405">
        <v>0</v>
      </c>
      <c r="AC276" s="405">
        <v>0</v>
      </c>
      <c r="AD276" s="405">
        <v>0</v>
      </c>
      <c r="AE276" s="405">
        <v>0</v>
      </c>
      <c r="AF276" s="405">
        <v>0</v>
      </c>
      <c r="AG276" s="405">
        <v>0</v>
      </c>
      <c r="AH276" s="405">
        <v>0</v>
      </c>
      <c r="AI276" s="405">
        <v>0</v>
      </c>
      <c r="AJ276" s="405">
        <v>0</v>
      </c>
      <c r="AK276" s="405">
        <v>0</v>
      </c>
      <c r="AL276" s="405">
        <v>0</v>
      </c>
      <c r="AM276" s="405">
        <v>0</v>
      </c>
      <c r="AN276" s="405">
        <v>0</v>
      </c>
      <c r="AO276" s="405">
        <v>0</v>
      </c>
      <c r="AP276" s="405">
        <v>0</v>
      </c>
      <c r="AQ276" s="405">
        <v>0</v>
      </c>
      <c r="AR276" s="405">
        <v>0</v>
      </c>
      <c r="AS276" s="405">
        <v>0</v>
      </c>
      <c r="AT276" s="405">
        <v>0</v>
      </c>
      <c r="AU276" s="405">
        <v>0</v>
      </c>
      <c r="AV276" s="405">
        <v>0</v>
      </c>
      <c r="AW276" s="405">
        <v>0</v>
      </c>
      <c r="AX276" s="405">
        <v>0</v>
      </c>
      <c r="AY276" s="405">
        <v>0</v>
      </c>
      <c r="AZ276" s="405">
        <v>0</v>
      </c>
      <c r="BA276" s="405">
        <v>0</v>
      </c>
      <c r="BB276" s="405">
        <v>0</v>
      </c>
      <c r="BC276" s="405">
        <v>0</v>
      </c>
      <c r="BD276" s="405">
        <v>0</v>
      </c>
      <c r="BE276" s="405">
        <v>0</v>
      </c>
      <c r="BF276" s="405">
        <v>0</v>
      </c>
      <c r="BG276" s="405">
        <v>0</v>
      </c>
      <c r="BH276" s="405">
        <v>0</v>
      </c>
      <c r="BI276" s="405">
        <v>0</v>
      </c>
      <c r="BJ276" s="405">
        <v>0</v>
      </c>
      <c r="BK276" s="405">
        <v>0</v>
      </c>
      <c r="BL276" s="405">
        <v>0</v>
      </c>
      <c r="BM276" s="405">
        <v>0</v>
      </c>
      <c r="BN276" s="405">
        <v>0</v>
      </c>
      <c r="BO276" s="405">
        <v>0</v>
      </c>
      <c r="BP276" s="405">
        <v>0</v>
      </c>
      <c r="BQ276" s="405">
        <v>0</v>
      </c>
      <c r="BR276" s="405">
        <v>0</v>
      </c>
      <c r="BS276" s="405">
        <v>0</v>
      </c>
      <c r="BT276" s="405">
        <v>0</v>
      </c>
      <c r="BU276" s="405">
        <v>0</v>
      </c>
      <c r="BV276" s="405">
        <v>0</v>
      </c>
      <c r="BW276" s="405">
        <v>0</v>
      </c>
      <c r="BX276" s="405">
        <v>0</v>
      </c>
      <c r="BY276" s="405">
        <v>0</v>
      </c>
      <c r="BZ276" s="405">
        <v>0</v>
      </c>
      <c r="CA276" s="405">
        <v>0</v>
      </c>
      <c r="CB276" s="405">
        <v>0</v>
      </c>
      <c r="CC276" s="405">
        <v>0</v>
      </c>
      <c r="CD276" s="405">
        <v>0</v>
      </c>
      <c r="CE276" s="405">
        <v>0</v>
      </c>
      <c r="CF276" s="405">
        <v>0</v>
      </c>
    </row>
    <row r="277" spans="1:84" s="405" customFormat="1" x14ac:dyDescent="0.3">
      <c r="A277" s="405">
        <v>617</v>
      </c>
      <c r="B277" s="406"/>
      <c r="C277" s="405">
        <v>617</v>
      </c>
      <c r="D277" s="405" t="s">
        <v>691</v>
      </c>
      <c r="F277" s="405">
        <v>0</v>
      </c>
      <c r="G277" s="405">
        <v>0</v>
      </c>
      <c r="H277" s="405">
        <v>0</v>
      </c>
      <c r="I277" s="405">
        <v>0</v>
      </c>
      <c r="J277" s="405">
        <v>0</v>
      </c>
      <c r="K277" s="405">
        <v>0</v>
      </c>
      <c r="L277" s="405">
        <v>0</v>
      </c>
      <c r="M277" s="405">
        <v>0</v>
      </c>
      <c r="N277" s="405">
        <v>0</v>
      </c>
      <c r="O277" s="405">
        <v>0</v>
      </c>
      <c r="P277" s="405">
        <v>0</v>
      </c>
      <c r="Q277" s="405">
        <v>0</v>
      </c>
      <c r="R277" s="405">
        <v>0</v>
      </c>
      <c r="S277" s="405">
        <v>0</v>
      </c>
      <c r="T277" s="405">
        <v>0</v>
      </c>
      <c r="U277" s="405">
        <v>0</v>
      </c>
      <c r="V277" s="405">
        <v>0</v>
      </c>
      <c r="W277" s="405">
        <v>0</v>
      </c>
      <c r="X277" s="405">
        <v>0</v>
      </c>
      <c r="Y277" s="405">
        <v>0</v>
      </c>
      <c r="Z277" s="405">
        <v>0</v>
      </c>
      <c r="AA277" s="405">
        <v>0</v>
      </c>
      <c r="AB277" s="405">
        <v>0</v>
      </c>
      <c r="AC277" s="405">
        <v>0</v>
      </c>
      <c r="AD277" s="405">
        <v>0</v>
      </c>
      <c r="AE277" s="405">
        <v>0</v>
      </c>
      <c r="AF277" s="405">
        <v>0</v>
      </c>
      <c r="AG277" s="405">
        <v>0</v>
      </c>
      <c r="AH277" s="405">
        <v>0</v>
      </c>
      <c r="AI277" s="405">
        <v>0</v>
      </c>
      <c r="AJ277" s="405">
        <v>0</v>
      </c>
      <c r="AK277" s="405">
        <v>0</v>
      </c>
      <c r="AL277" s="405">
        <v>0</v>
      </c>
      <c r="AM277" s="405">
        <v>0</v>
      </c>
      <c r="AN277" s="405">
        <v>0</v>
      </c>
      <c r="AO277" s="405">
        <v>0</v>
      </c>
      <c r="AP277" s="405">
        <v>0</v>
      </c>
      <c r="AQ277" s="405">
        <v>0</v>
      </c>
      <c r="AR277" s="405">
        <v>0</v>
      </c>
      <c r="AS277" s="405">
        <v>0</v>
      </c>
      <c r="AT277" s="405">
        <v>0</v>
      </c>
      <c r="AU277" s="405">
        <v>0</v>
      </c>
      <c r="AV277" s="405">
        <v>0</v>
      </c>
      <c r="AW277" s="405">
        <v>0</v>
      </c>
      <c r="AX277" s="405">
        <v>0</v>
      </c>
      <c r="AY277" s="405">
        <v>0</v>
      </c>
      <c r="AZ277" s="405">
        <v>0</v>
      </c>
      <c r="BA277" s="405">
        <v>0</v>
      </c>
      <c r="BB277" s="405">
        <v>0</v>
      </c>
      <c r="BC277" s="405">
        <v>0</v>
      </c>
      <c r="BD277" s="405">
        <v>0</v>
      </c>
      <c r="BE277" s="405">
        <v>0</v>
      </c>
      <c r="BF277" s="405">
        <v>0</v>
      </c>
      <c r="BG277" s="405">
        <v>0</v>
      </c>
      <c r="BH277" s="405">
        <v>0</v>
      </c>
      <c r="BI277" s="405">
        <v>0</v>
      </c>
      <c r="BJ277" s="405">
        <v>0</v>
      </c>
      <c r="BK277" s="405">
        <v>0</v>
      </c>
      <c r="BL277" s="405">
        <v>0</v>
      </c>
      <c r="BM277" s="405">
        <v>0</v>
      </c>
      <c r="BN277" s="405">
        <v>0</v>
      </c>
      <c r="BO277" s="405">
        <v>0</v>
      </c>
      <c r="BP277" s="405">
        <v>0</v>
      </c>
      <c r="BQ277" s="405">
        <v>0</v>
      </c>
      <c r="BR277" s="405">
        <v>0</v>
      </c>
      <c r="BS277" s="405">
        <v>0</v>
      </c>
      <c r="BT277" s="405">
        <v>0</v>
      </c>
      <c r="BU277" s="405">
        <v>0</v>
      </c>
      <c r="BV277" s="405">
        <v>0</v>
      </c>
      <c r="BW277" s="405">
        <v>0</v>
      </c>
      <c r="BX277" s="405">
        <v>0</v>
      </c>
      <c r="BY277" s="405">
        <v>0</v>
      </c>
      <c r="BZ277" s="405">
        <v>0</v>
      </c>
      <c r="CA277" s="405">
        <v>0</v>
      </c>
      <c r="CB277" s="405">
        <v>0</v>
      </c>
      <c r="CC277" s="405">
        <v>0</v>
      </c>
      <c r="CD277" s="405">
        <v>0</v>
      </c>
      <c r="CE277" s="405">
        <v>0</v>
      </c>
      <c r="CF277" s="405">
        <v>0</v>
      </c>
    </row>
    <row r="278" spans="1:84" s="405" customFormat="1" x14ac:dyDescent="0.3">
      <c r="A278" s="405">
        <v>618</v>
      </c>
      <c r="B278" s="406"/>
      <c r="C278" s="405">
        <v>618</v>
      </c>
      <c r="D278" s="405" t="s">
        <v>709</v>
      </c>
      <c r="F278" s="405">
        <v>0</v>
      </c>
      <c r="G278" s="405">
        <v>0</v>
      </c>
      <c r="H278" s="405">
        <v>0</v>
      </c>
      <c r="I278" s="405">
        <v>0</v>
      </c>
      <c r="J278" s="405">
        <v>0</v>
      </c>
      <c r="K278" s="405">
        <v>0</v>
      </c>
      <c r="L278" s="405">
        <v>0</v>
      </c>
      <c r="M278" s="405">
        <v>0</v>
      </c>
      <c r="N278" s="405">
        <v>0</v>
      </c>
      <c r="O278" s="405">
        <v>0</v>
      </c>
      <c r="P278" s="405">
        <v>0</v>
      </c>
      <c r="Q278" s="405">
        <v>0</v>
      </c>
      <c r="R278" s="405">
        <v>0</v>
      </c>
      <c r="S278" s="405">
        <v>0</v>
      </c>
      <c r="T278" s="405">
        <v>0</v>
      </c>
      <c r="U278" s="405">
        <v>0</v>
      </c>
      <c r="V278" s="405">
        <v>0</v>
      </c>
      <c r="W278" s="405">
        <v>0</v>
      </c>
      <c r="X278" s="405">
        <v>0</v>
      </c>
      <c r="Y278" s="405">
        <v>0</v>
      </c>
      <c r="Z278" s="405">
        <v>0</v>
      </c>
      <c r="AA278" s="405">
        <v>0</v>
      </c>
      <c r="AB278" s="405">
        <v>0</v>
      </c>
      <c r="AC278" s="405">
        <v>0</v>
      </c>
      <c r="AD278" s="405">
        <v>0</v>
      </c>
      <c r="AE278" s="405">
        <v>0</v>
      </c>
      <c r="AF278" s="405">
        <v>0</v>
      </c>
      <c r="AG278" s="405">
        <v>0</v>
      </c>
      <c r="AH278" s="405">
        <v>0</v>
      </c>
      <c r="AI278" s="405">
        <v>0</v>
      </c>
      <c r="AJ278" s="405">
        <v>0</v>
      </c>
      <c r="AK278" s="405">
        <v>0</v>
      </c>
      <c r="AL278" s="405">
        <v>0</v>
      </c>
      <c r="AM278" s="405">
        <v>0</v>
      </c>
      <c r="AN278" s="405">
        <v>0</v>
      </c>
      <c r="AO278" s="405">
        <v>0</v>
      </c>
      <c r="AP278" s="405">
        <v>0</v>
      </c>
      <c r="AQ278" s="405">
        <v>0</v>
      </c>
      <c r="AR278" s="405">
        <v>0</v>
      </c>
      <c r="AS278" s="405">
        <v>0</v>
      </c>
      <c r="AT278" s="405">
        <v>0</v>
      </c>
      <c r="AU278" s="405">
        <v>0</v>
      </c>
      <c r="AV278" s="405">
        <v>0</v>
      </c>
      <c r="AW278" s="405">
        <v>0</v>
      </c>
      <c r="AX278" s="405">
        <v>0</v>
      </c>
      <c r="AY278" s="405">
        <v>0</v>
      </c>
      <c r="AZ278" s="405">
        <v>0</v>
      </c>
      <c r="BA278" s="405">
        <v>0</v>
      </c>
      <c r="BB278" s="405">
        <v>0</v>
      </c>
      <c r="BC278" s="405">
        <v>0</v>
      </c>
      <c r="BD278" s="405">
        <v>0</v>
      </c>
      <c r="BE278" s="405">
        <v>0</v>
      </c>
      <c r="BF278" s="405">
        <v>0</v>
      </c>
      <c r="BG278" s="405">
        <v>0</v>
      </c>
      <c r="BH278" s="405">
        <v>0</v>
      </c>
      <c r="BI278" s="405">
        <v>0</v>
      </c>
      <c r="BJ278" s="405">
        <v>0</v>
      </c>
      <c r="BK278" s="405">
        <v>0</v>
      </c>
      <c r="BL278" s="405">
        <v>0</v>
      </c>
      <c r="BM278" s="405">
        <v>0</v>
      </c>
      <c r="BN278" s="405">
        <v>0</v>
      </c>
      <c r="BO278" s="405">
        <v>0</v>
      </c>
      <c r="BP278" s="405">
        <v>0</v>
      </c>
      <c r="BQ278" s="405">
        <v>0</v>
      </c>
      <c r="BR278" s="405">
        <v>0</v>
      </c>
      <c r="BS278" s="405">
        <v>0</v>
      </c>
      <c r="BT278" s="405">
        <v>0</v>
      </c>
      <c r="BU278" s="405">
        <v>0</v>
      </c>
      <c r="BV278" s="405">
        <v>0</v>
      </c>
      <c r="BW278" s="405">
        <v>0</v>
      </c>
      <c r="BX278" s="405">
        <v>0</v>
      </c>
      <c r="BY278" s="405">
        <v>0</v>
      </c>
      <c r="BZ278" s="405">
        <v>0</v>
      </c>
      <c r="CA278" s="405">
        <v>0</v>
      </c>
      <c r="CB278" s="405">
        <v>0</v>
      </c>
      <c r="CC278" s="405">
        <v>0</v>
      </c>
      <c r="CD278" s="405">
        <v>0</v>
      </c>
      <c r="CE278" s="405">
        <v>0</v>
      </c>
      <c r="CF278" s="405">
        <v>0</v>
      </c>
    </row>
    <row r="279" spans="1:84" s="405" customFormat="1" x14ac:dyDescent="0.3">
      <c r="A279" s="405">
        <v>619</v>
      </c>
      <c r="B279" s="406">
        <v>619</v>
      </c>
      <c r="C279" s="405">
        <v>619</v>
      </c>
      <c r="D279" s="405" t="s">
        <v>711</v>
      </c>
      <c r="F279" s="405">
        <v>0</v>
      </c>
      <c r="G279" s="405">
        <v>0</v>
      </c>
      <c r="H279" s="405">
        <v>0</v>
      </c>
      <c r="I279" s="405">
        <v>0</v>
      </c>
      <c r="J279" s="405">
        <v>0</v>
      </c>
      <c r="K279" s="405">
        <v>0</v>
      </c>
      <c r="L279" s="405">
        <v>0</v>
      </c>
      <c r="M279" s="405">
        <v>0</v>
      </c>
      <c r="N279" s="405">
        <v>0</v>
      </c>
      <c r="O279" s="405">
        <v>0</v>
      </c>
      <c r="P279" s="405">
        <v>0</v>
      </c>
      <c r="Q279" s="405">
        <v>0</v>
      </c>
      <c r="R279" s="405">
        <v>0</v>
      </c>
      <c r="S279" s="405">
        <v>0</v>
      </c>
      <c r="T279" s="405">
        <v>0</v>
      </c>
      <c r="U279" s="405">
        <v>0</v>
      </c>
      <c r="V279" s="405">
        <v>0</v>
      </c>
      <c r="W279" s="405">
        <v>0</v>
      </c>
      <c r="X279" s="405">
        <v>0</v>
      </c>
      <c r="Y279" s="405">
        <v>0</v>
      </c>
      <c r="Z279" s="405">
        <v>0</v>
      </c>
      <c r="AA279" s="405">
        <v>0</v>
      </c>
      <c r="AB279" s="405">
        <v>0</v>
      </c>
      <c r="AC279" s="405">
        <v>0</v>
      </c>
      <c r="AD279" s="405">
        <v>0</v>
      </c>
      <c r="AE279" s="405">
        <v>0</v>
      </c>
      <c r="AF279" s="405">
        <v>0</v>
      </c>
      <c r="AG279" s="405">
        <v>0</v>
      </c>
      <c r="AH279" s="405">
        <v>0</v>
      </c>
      <c r="AI279" s="405">
        <v>0</v>
      </c>
      <c r="AJ279" s="405">
        <v>0</v>
      </c>
      <c r="AK279" s="405">
        <v>0</v>
      </c>
      <c r="AL279" s="405">
        <v>0</v>
      </c>
      <c r="AM279" s="405">
        <v>0</v>
      </c>
      <c r="AN279" s="405">
        <v>0</v>
      </c>
      <c r="AO279" s="405">
        <v>0</v>
      </c>
      <c r="AP279" s="405">
        <v>0</v>
      </c>
      <c r="AQ279" s="405">
        <v>0</v>
      </c>
      <c r="AR279" s="405">
        <v>0</v>
      </c>
      <c r="AS279" s="405">
        <v>0</v>
      </c>
      <c r="AT279" s="405">
        <v>0</v>
      </c>
      <c r="AU279" s="405">
        <v>0</v>
      </c>
      <c r="AV279" s="405">
        <v>0</v>
      </c>
      <c r="AW279" s="405">
        <v>24.7</v>
      </c>
      <c r="AX279" s="405">
        <v>0</v>
      </c>
      <c r="AY279" s="405">
        <v>0</v>
      </c>
      <c r="AZ279" s="405">
        <v>0</v>
      </c>
      <c r="BA279" s="405">
        <v>0</v>
      </c>
      <c r="BB279" s="405">
        <v>0</v>
      </c>
      <c r="BC279" s="405">
        <v>0</v>
      </c>
      <c r="BD279" s="405">
        <v>0</v>
      </c>
      <c r="BE279" s="405">
        <v>0</v>
      </c>
      <c r="BF279" s="405">
        <v>0</v>
      </c>
      <c r="BG279" s="405">
        <v>0</v>
      </c>
      <c r="BH279" s="405">
        <v>0</v>
      </c>
      <c r="BI279" s="405">
        <v>0</v>
      </c>
      <c r="BJ279" s="405">
        <v>0</v>
      </c>
      <c r="BK279" s="405">
        <v>0</v>
      </c>
      <c r="BL279" s="405">
        <v>0</v>
      </c>
      <c r="BM279" s="405">
        <v>0</v>
      </c>
      <c r="BN279" s="405">
        <v>0</v>
      </c>
      <c r="BO279" s="405">
        <v>0</v>
      </c>
      <c r="BP279" s="405">
        <v>0</v>
      </c>
      <c r="BQ279" s="405">
        <v>0</v>
      </c>
      <c r="BR279" s="405">
        <v>0</v>
      </c>
      <c r="BS279" s="405">
        <v>0</v>
      </c>
      <c r="BT279" s="405">
        <v>0</v>
      </c>
      <c r="BU279" s="405">
        <v>0</v>
      </c>
      <c r="BV279" s="405">
        <v>0</v>
      </c>
      <c r="BW279" s="405">
        <v>0</v>
      </c>
      <c r="BX279" s="405">
        <v>0</v>
      </c>
      <c r="BY279" s="405">
        <v>0</v>
      </c>
      <c r="BZ279" s="405">
        <v>0</v>
      </c>
      <c r="CA279" s="405">
        <v>0</v>
      </c>
      <c r="CB279" s="405">
        <v>0</v>
      </c>
      <c r="CC279" s="405">
        <v>0</v>
      </c>
      <c r="CD279" s="405">
        <v>0</v>
      </c>
      <c r="CE279" s="405">
        <v>0</v>
      </c>
      <c r="CF279" s="405">
        <v>0</v>
      </c>
    </row>
    <row r="280" spans="1:84" s="405" customFormat="1" x14ac:dyDescent="0.3">
      <c r="A280" s="405">
        <v>620</v>
      </c>
      <c r="B280" s="406">
        <v>620</v>
      </c>
      <c r="C280" s="405">
        <v>620</v>
      </c>
      <c r="D280" s="405" t="s">
        <v>700</v>
      </c>
      <c r="F280" s="405">
        <v>2</v>
      </c>
      <c r="G280" s="405">
        <v>2</v>
      </c>
      <c r="H280" s="405">
        <v>2</v>
      </c>
      <c r="I280" s="405">
        <v>2</v>
      </c>
      <c r="J280" s="405">
        <v>2</v>
      </c>
      <c r="K280" s="405">
        <v>2</v>
      </c>
      <c r="L280" s="405">
        <v>2</v>
      </c>
      <c r="M280" s="405">
        <v>2</v>
      </c>
      <c r="N280" s="405">
        <v>2</v>
      </c>
      <c r="O280" s="405">
        <v>1</v>
      </c>
      <c r="P280" s="405">
        <v>2</v>
      </c>
      <c r="Q280" s="405">
        <v>2</v>
      </c>
      <c r="R280" s="405">
        <v>2</v>
      </c>
      <c r="S280" s="405">
        <v>2</v>
      </c>
      <c r="T280" s="405">
        <v>2</v>
      </c>
      <c r="U280" s="405">
        <v>2</v>
      </c>
      <c r="V280" s="405">
        <v>0</v>
      </c>
      <c r="W280" s="405">
        <v>2</v>
      </c>
      <c r="X280" s="405">
        <v>1</v>
      </c>
      <c r="Y280" s="405">
        <v>2</v>
      </c>
      <c r="Z280" s="405">
        <v>0</v>
      </c>
      <c r="AA280" s="405">
        <v>2</v>
      </c>
      <c r="AB280" s="405">
        <v>2</v>
      </c>
      <c r="AC280" s="405">
        <v>2</v>
      </c>
      <c r="AD280" s="405">
        <v>2</v>
      </c>
      <c r="AE280" s="405">
        <v>2</v>
      </c>
      <c r="AF280" s="405">
        <v>2</v>
      </c>
      <c r="AG280" s="405">
        <v>2</v>
      </c>
      <c r="AH280" s="405">
        <v>2</v>
      </c>
      <c r="AI280" s="405">
        <v>2</v>
      </c>
      <c r="AJ280" s="405">
        <v>2</v>
      </c>
      <c r="AK280" s="405">
        <v>1</v>
      </c>
      <c r="AL280" s="405">
        <v>2</v>
      </c>
      <c r="AM280" s="405">
        <v>2</v>
      </c>
      <c r="AN280" s="405">
        <v>0</v>
      </c>
      <c r="AO280" s="405">
        <v>2</v>
      </c>
      <c r="AP280" s="405">
        <v>2</v>
      </c>
      <c r="AQ280" s="405">
        <v>2</v>
      </c>
      <c r="AR280" s="405">
        <v>2</v>
      </c>
      <c r="AS280" s="405">
        <v>2</v>
      </c>
      <c r="AT280" s="405">
        <v>2</v>
      </c>
      <c r="AU280" s="405">
        <v>0</v>
      </c>
      <c r="AV280" s="405">
        <v>2</v>
      </c>
      <c r="AW280" s="405">
        <v>1</v>
      </c>
      <c r="AX280" s="405">
        <v>1</v>
      </c>
      <c r="AY280" s="405">
        <v>1</v>
      </c>
      <c r="AZ280" s="405">
        <v>2</v>
      </c>
      <c r="BA280" s="405">
        <v>2</v>
      </c>
      <c r="BB280" s="405">
        <v>2</v>
      </c>
      <c r="BC280" s="405">
        <v>0</v>
      </c>
      <c r="BD280" s="405">
        <v>2</v>
      </c>
      <c r="BE280" s="405">
        <v>2</v>
      </c>
      <c r="BF280" s="405">
        <v>2</v>
      </c>
      <c r="BG280" s="405">
        <v>2</v>
      </c>
      <c r="BH280" s="405">
        <v>1</v>
      </c>
      <c r="BI280" s="405">
        <v>2</v>
      </c>
      <c r="BJ280" s="405">
        <v>2</v>
      </c>
      <c r="BK280" s="405">
        <v>0</v>
      </c>
      <c r="BL280" s="405">
        <v>2</v>
      </c>
      <c r="BM280" s="405">
        <v>2</v>
      </c>
      <c r="BN280" s="405">
        <v>1</v>
      </c>
      <c r="BO280" s="405">
        <v>1</v>
      </c>
      <c r="BP280" s="405">
        <v>0</v>
      </c>
      <c r="BQ280" s="405">
        <v>1</v>
      </c>
      <c r="BR280" s="405">
        <v>1</v>
      </c>
      <c r="BS280" s="405">
        <v>2</v>
      </c>
      <c r="BT280" s="405">
        <v>1</v>
      </c>
      <c r="BU280" s="405">
        <v>2</v>
      </c>
      <c r="BV280" s="405">
        <v>2</v>
      </c>
      <c r="BW280" s="405">
        <v>2</v>
      </c>
      <c r="BX280" s="405">
        <v>2</v>
      </c>
      <c r="BY280" s="405">
        <v>1</v>
      </c>
      <c r="BZ280" s="405">
        <v>2</v>
      </c>
      <c r="CA280" s="405">
        <v>1</v>
      </c>
      <c r="CB280" s="405">
        <v>0</v>
      </c>
      <c r="CC280" s="405">
        <v>2</v>
      </c>
      <c r="CD280" s="405">
        <v>2</v>
      </c>
      <c r="CE280" s="405">
        <v>2</v>
      </c>
      <c r="CF280" s="405">
        <v>2</v>
      </c>
    </row>
    <row r="281" spans="1:84" s="405" customFormat="1" x14ac:dyDescent="0.3">
      <c r="A281" s="405">
        <v>621</v>
      </c>
      <c r="B281" s="406">
        <v>621</v>
      </c>
      <c r="C281" s="405">
        <v>621</v>
      </c>
      <c r="D281" s="405" t="s">
        <v>716</v>
      </c>
      <c r="F281" s="405">
        <v>0</v>
      </c>
      <c r="G281" s="405">
        <v>0</v>
      </c>
      <c r="H281" s="405">
        <v>0</v>
      </c>
      <c r="I281" s="405">
        <v>0</v>
      </c>
      <c r="J281" s="405">
        <v>0</v>
      </c>
      <c r="K281" s="405">
        <v>0</v>
      </c>
      <c r="L281" s="405">
        <v>0</v>
      </c>
      <c r="M281" s="405">
        <v>0</v>
      </c>
      <c r="N281" s="405">
        <v>0</v>
      </c>
      <c r="O281" s="405">
        <v>0</v>
      </c>
      <c r="P281" s="405">
        <v>0</v>
      </c>
      <c r="Q281" s="405">
        <v>0</v>
      </c>
      <c r="R281" s="405">
        <v>0</v>
      </c>
      <c r="S281" s="405">
        <v>11995749</v>
      </c>
      <c r="T281" s="405">
        <v>0</v>
      </c>
      <c r="U281" s="405">
        <v>0</v>
      </c>
      <c r="V281" s="405">
        <v>0</v>
      </c>
      <c r="W281" s="405">
        <v>0</v>
      </c>
      <c r="X281" s="405">
        <v>0</v>
      </c>
      <c r="Y281" s="405">
        <v>0</v>
      </c>
      <c r="Z281" s="405">
        <v>0</v>
      </c>
      <c r="AA281" s="405">
        <v>0</v>
      </c>
      <c r="AB281" s="405">
        <v>0</v>
      </c>
      <c r="AC281" s="405">
        <v>0</v>
      </c>
      <c r="AD281" s="405">
        <v>0</v>
      </c>
      <c r="AE281" s="405">
        <v>0</v>
      </c>
      <c r="AF281" s="405">
        <v>0</v>
      </c>
      <c r="AG281" s="405">
        <v>0</v>
      </c>
      <c r="AH281" s="405">
        <v>0</v>
      </c>
      <c r="AI281" s="405">
        <v>0</v>
      </c>
      <c r="AJ281" s="405">
        <v>0</v>
      </c>
      <c r="AK281" s="405">
        <v>0</v>
      </c>
      <c r="AL281" s="405">
        <v>0</v>
      </c>
      <c r="AM281" s="405">
        <v>0</v>
      </c>
      <c r="AN281" s="405">
        <v>0</v>
      </c>
      <c r="AO281" s="405">
        <v>0</v>
      </c>
      <c r="AP281" s="405">
        <v>0</v>
      </c>
      <c r="AQ281" s="405">
        <v>0</v>
      </c>
      <c r="AR281" s="405">
        <v>0</v>
      </c>
      <c r="AS281" s="405">
        <v>0</v>
      </c>
      <c r="AT281" s="405">
        <v>0</v>
      </c>
      <c r="AU281" s="405">
        <v>0</v>
      </c>
      <c r="AV281" s="405">
        <v>0</v>
      </c>
      <c r="AW281" s="405">
        <v>0</v>
      </c>
      <c r="AX281" s="405">
        <v>0</v>
      </c>
      <c r="AY281" s="405">
        <v>0</v>
      </c>
      <c r="AZ281" s="405">
        <v>0</v>
      </c>
      <c r="BA281" s="405">
        <v>0</v>
      </c>
      <c r="BB281" s="405">
        <v>0</v>
      </c>
      <c r="BC281" s="405">
        <v>0</v>
      </c>
      <c r="BD281" s="405">
        <v>0</v>
      </c>
      <c r="BE281" s="405">
        <v>0</v>
      </c>
      <c r="BF281" s="405">
        <v>0</v>
      </c>
      <c r="BG281" s="405">
        <v>0</v>
      </c>
      <c r="BH281" s="405">
        <v>0</v>
      </c>
      <c r="BI281" s="405">
        <v>0</v>
      </c>
      <c r="BJ281" s="405">
        <v>0</v>
      </c>
      <c r="BK281" s="405">
        <v>0</v>
      </c>
      <c r="BL281" s="405">
        <v>0</v>
      </c>
      <c r="BM281" s="405">
        <v>0</v>
      </c>
      <c r="BN281" s="405">
        <v>0</v>
      </c>
      <c r="BO281" s="405">
        <v>0</v>
      </c>
      <c r="BP281" s="405">
        <v>0</v>
      </c>
      <c r="BQ281" s="405">
        <v>0</v>
      </c>
      <c r="BR281" s="405">
        <v>0</v>
      </c>
      <c r="BS281" s="405">
        <v>0</v>
      </c>
      <c r="BT281" s="405">
        <v>0</v>
      </c>
      <c r="BU281" s="405">
        <v>0</v>
      </c>
      <c r="BV281" s="405">
        <v>0</v>
      </c>
      <c r="BW281" s="405">
        <v>0</v>
      </c>
      <c r="BX281" s="405">
        <v>0</v>
      </c>
      <c r="BY281" s="405">
        <v>0</v>
      </c>
      <c r="BZ281" s="405">
        <v>179264</v>
      </c>
      <c r="CA281" s="405">
        <v>0</v>
      </c>
      <c r="CB281" s="405">
        <v>0</v>
      </c>
      <c r="CC281" s="405">
        <v>0</v>
      </c>
      <c r="CD281" s="405">
        <v>0</v>
      </c>
      <c r="CE281" s="405">
        <v>0</v>
      </c>
      <c r="CF281" s="405">
        <v>0</v>
      </c>
    </row>
    <row r="282" spans="1:84" s="405" customFormat="1" ht="129.6" x14ac:dyDescent="0.3">
      <c r="A282" s="405">
        <v>622</v>
      </c>
      <c r="B282" s="406">
        <v>622</v>
      </c>
      <c r="C282" s="405">
        <v>622</v>
      </c>
      <c r="D282" s="1127" t="s">
        <v>1774</v>
      </c>
      <c r="F282" s="405">
        <v>73735</v>
      </c>
      <c r="G282" s="405">
        <v>362940</v>
      </c>
      <c r="H282" s="405">
        <v>0</v>
      </c>
      <c r="I282" s="405">
        <v>88755</v>
      </c>
      <c r="J282" s="405">
        <v>43179</v>
      </c>
      <c r="K282" s="405">
        <v>5735</v>
      </c>
      <c r="L282" s="405">
        <v>0</v>
      </c>
      <c r="M282" s="405">
        <v>0</v>
      </c>
      <c r="N282" s="405">
        <v>1177574</v>
      </c>
      <c r="O282" s="405">
        <v>33338550</v>
      </c>
      <c r="P282" s="405">
        <v>63086</v>
      </c>
      <c r="Q282" s="405">
        <v>757831</v>
      </c>
      <c r="R282" s="405">
        <v>0</v>
      </c>
      <c r="S282" s="405">
        <v>2794278</v>
      </c>
      <c r="T282" s="405">
        <v>0</v>
      </c>
      <c r="U282" s="405">
        <v>0</v>
      </c>
      <c r="V282" s="405">
        <v>0</v>
      </c>
      <c r="W282" s="405">
        <v>89574</v>
      </c>
      <c r="X282" s="405">
        <v>1034746</v>
      </c>
      <c r="Y282" s="405">
        <v>240048</v>
      </c>
      <c r="Z282" s="405">
        <v>0</v>
      </c>
      <c r="AA282" s="405">
        <v>294393</v>
      </c>
      <c r="AB282" s="405">
        <v>6119180</v>
      </c>
      <c r="AC282" s="405">
        <v>0</v>
      </c>
      <c r="AD282" s="405">
        <v>48610</v>
      </c>
      <c r="AE282" s="405">
        <v>4467242</v>
      </c>
      <c r="AF282" s="405">
        <v>88566</v>
      </c>
      <c r="AG282" s="405">
        <v>50522</v>
      </c>
      <c r="AH282" s="405">
        <v>18894431</v>
      </c>
      <c r="AI282" s="405">
        <v>0</v>
      </c>
      <c r="AJ282" s="405">
        <v>22940</v>
      </c>
      <c r="AK282" s="405">
        <v>1274247</v>
      </c>
      <c r="AL282" s="405">
        <v>146104</v>
      </c>
      <c r="AM282" s="405">
        <v>0</v>
      </c>
      <c r="AN282" s="405">
        <v>0</v>
      </c>
      <c r="AO282" s="405">
        <v>0</v>
      </c>
      <c r="AP282" s="405">
        <v>3025315</v>
      </c>
      <c r="AQ282" s="405">
        <v>0</v>
      </c>
      <c r="AR282" s="405">
        <v>1082538</v>
      </c>
      <c r="AS282" s="405">
        <v>329895</v>
      </c>
      <c r="AT282" s="405">
        <v>0</v>
      </c>
      <c r="AU282" s="405">
        <v>0</v>
      </c>
      <c r="AV282" s="405">
        <v>0</v>
      </c>
      <c r="AW282" s="405">
        <v>68298994</v>
      </c>
      <c r="AX282" s="405">
        <v>17779395</v>
      </c>
      <c r="AY282" s="405">
        <v>243598</v>
      </c>
      <c r="AZ282" s="405">
        <v>44787</v>
      </c>
      <c r="BA282" s="405">
        <v>47791</v>
      </c>
      <c r="BB282" s="405">
        <v>0</v>
      </c>
      <c r="BC282" s="405">
        <v>0</v>
      </c>
      <c r="BD282" s="405">
        <v>1521124</v>
      </c>
      <c r="BE282" s="405">
        <v>0</v>
      </c>
      <c r="BF282" s="405">
        <v>0</v>
      </c>
      <c r="BG282" s="405">
        <v>0</v>
      </c>
      <c r="BH282" s="405">
        <v>2676864</v>
      </c>
      <c r="BI282" s="405">
        <v>0</v>
      </c>
      <c r="BJ282" s="405">
        <v>2255196</v>
      </c>
      <c r="BK282" s="405">
        <v>403357</v>
      </c>
      <c r="BL282" s="405">
        <v>0</v>
      </c>
      <c r="BM282" s="405">
        <v>0</v>
      </c>
      <c r="BN282" s="405">
        <v>3567950</v>
      </c>
      <c r="BO282" s="405">
        <v>5511820</v>
      </c>
      <c r="BP282" s="405">
        <v>0</v>
      </c>
      <c r="BQ282" s="405">
        <v>11587029</v>
      </c>
      <c r="BR282" s="405">
        <v>30348736</v>
      </c>
      <c r="BS282" s="405">
        <v>0</v>
      </c>
      <c r="BT282" s="405">
        <v>1249397</v>
      </c>
      <c r="BU282" s="405">
        <v>54618</v>
      </c>
      <c r="BV282" s="405">
        <v>2472850</v>
      </c>
      <c r="BW282" s="405">
        <v>48610</v>
      </c>
      <c r="BX282" s="405">
        <v>0</v>
      </c>
      <c r="BY282" s="405">
        <v>481735</v>
      </c>
      <c r="BZ282" s="405">
        <v>255817</v>
      </c>
      <c r="CA282" s="405">
        <v>7734517</v>
      </c>
      <c r="CB282" s="405">
        <v>0</v>
      </c>
      <c r="CC282" s="405">
        <v>2548770</v>
      </c>
      <c r="CD282" s="405">
        <v>0</v>
      </c>
      <c r="CE282" s="405">
        <v>496755</v>
      </c>
      <c r="CF282" s="405">
        <v>4769828</v>
      </c>
    </row>
    <row r="283" spans="1:84" s="405" customFormat="1" x14ac:dyDescent="0.3">
      <c r="A283" s="405">
        <v>624</v>
      </c>
      <c r="B283" s="406">
        <v>624</v>
      </c>
      <c r="C283" s="405">
        <v>624</v>
      </c>
      <c r="D283" s="405" t="s">
        <v>718</v>
      </c>
      <c r="F283" s="405">
        <v>1</v>
      </c>
      <c r="G283" s="405">
        <v>1</v>
      </c>
      <c r="H283" s="405">
        <v>1</v>
      </c>
      <c r="I283" s="405">
        <v>1</v>
      </c>
      <c r="J283" s="405">
        <v>1</v>
      </c>
      <c r="K283" s="405">
        <v>1</v>
      </c>
      <c r="L283" s="405">
        <v>1</v>
      </c>
      <c r="M283" s="405">
        <v>1</v>
      </c>
      <c r="N283" s="405">
        <v>2</v>
      </c>
      <c r="O283" s="405">
        <v>1</v>
      </c>
      <c r="P283" s="405">
        <v>2</v>
      </c>
      <c r="Q283" s="405">
        <v>2</v>
      </c>
      <c r="R283" s="405">
        <v>2</v>
      </c>
      <c r="S283" s="405">
        <v>1</v>
      </c>
      <c r="T283" s="405">
        <v>1</v>
      </c>
      <c r="U283" s="405">
        <v>1</v>
      </c>
      <c r="V283" s="405">
        <v>0</v>
      </c>
      <c r="W283" s="405">
        <v>1</v>
      </c>
      <c r="X283" s="405">
        <v>1</v>
      </c>
      <c r="Y283" s="405">
        <v>1</v>
      </c>
      <c r="Z283" s="405">
        <v>0</v>
      </c>
      <c r="AA283" s="405">
        <v>1</v>
      </c>
      <c r="AB283" s="405">
        <v>1</v>
      </c>
      <c r="AC283" s="405">
        <v>2</v>
      </c>
      <c r="AD283" s="405">
        <v>1</v>
      </c>
      <c r="AE283" s="405">
        <v>1</v>
      </c>
      <c r="AF283" s="405">
        <v>2</v>
      </c>
      <c r="AG283" s="405">
        <v>1</v>
      </c>
      <c r="AH283" s="405">
        <v>1</v>
      </c>
      <c r="AI283" s="405">
        <v>1</v>
      </c>
      <c r="AJ283" s="405">
        <v>1</v>
      </c>
      <c r="AK283" s="405">
        <v>1</v>
      </c>
      <c r="AL283" s="405">
        <v>1</v>
      </c>
      <c r="AM283" s="405">
        <v>1</v>
      </c>
      <c r="AN283" s="405">
        <v>0</v>
      </c>
      <c r="AO283" s="405">
        <v>1</v>
      </c>
      <c r="AP283" s="405">
        <v>2</v>
      </c>
      <c r="AQ283" s="405">
        <v>2</v>
      </c>
      <c r="AR283" s="405">
        <v>2</v>
      </c>
      <c r="AS283" s="405">
        <v>1</v>
      </c>
      <c r="AT283" s="405">
        <v>1</v>
      </c>
      <c r="AU283" s="405">
        <v>0</v>
      </c>
      <c r="AV283" s="405">
        <v>1</v>
      </c>
      <c r="AW283" s="405">
        <v>1</v>
      </c>
      <c r="AX283" s="405">
        <v>1</v>
      </c>
      <c r="AY283" s="405">
        <v>1</v>
      </c>
      <c r="AZ283" s="405">
        <v>2</v>
      </c>
      <c r="BA283" s="405">
        <v>1</v>
      </c>
      <c r="BB283" s="405">
        <v>1</v>
      </c>
      <c r="BC283" s="405">
        <v>0</v>
      </c>
      <c r="BD283" s="405">
        <v>2</v>
      </c>
      <c r="BE283" s="405">
        <v>1</v>
      </c>
      <c r="BF283" s="405">
        <v>1</v>
      </c>
      <c r="BG283" s="405">
        <v>2</v>
      </c>
      <c r="BH283" s="405">
        <v>1</v>
      </c>
      <c r="BI283" s="405">
        <v>1</v>
      </c>
      <c r="BJ283" s="405">
        <v>1</v>
      </c>
      <c r="BK283" s="405">
        <v>2</v>
      </c>
      <c r="BL283" s="405">
        <v>2</v>
      </c>
      <c r="BM283" s="405">
        <v>2</v>
      </c>
      <c r="BN283" s="405">
        <v>1</v>
      </c>
      <c r="BO283" s="405">
        <v>1</v>
      </c>
      <c r="BP283" s="405">
        <v>0</v>
      </c>
      <c r="BQ283" s="405">
        <v>1</v>
      </c>
      <c r="BR283" s="405">
        <v>1</v>
      </c>
      <c r="BS283" s="405">
        <v>1</v>
      </c>
      <c r="BT283" s="405">
        <v>1</v>
      </c>
      <c r="BU283" s="405">
        <v>1</v>
      </c>
      <c r="BV283" s="405">
        <v>1</v>
      </c>
      <c r="BW283" s="405">
        <v>2</v>
      </c>
      <c r="BX283" s="405">
        <v>2</v>
      </c>
      <c r="BY283" s="405">
        <v>2</v>
      </c>
      <c r="BZ283" s="405">
        <v>1</v>
      </c>
      <c r="CA283" s="405">
        <v>1</v>
      </c>
      <c r="CB283" s="405">
        <v>0</v>
      </c>
      <c r="CC283" s="405">
        <v>1</v>
      </c>
      <c r="CD283" s="405">
        <v>2</v>
      </c>
      <c r="CE283" s="405">
        <v>2</v>
      </c>
      <c r="CF283" s="405">
        <v>1</v>
      </c>
    </row>
    <row r="284" spans="1:84" s="405" customFormat="1" ht="115.2" x14ac:dyDescent="0.3">
      <c r="A284" s="405">
        <v>625</v>
      </c>
      <c r="B284" s="406"/>
      <c r="C284" s="405">
        <v>625</v>
      </c>
      <c r="D284" s="1127" t="s">
        <v>819</v>
      </c>
      <c r="F284" s="405">
        <v>0</v>
      </c>
      <c r="G284" s="405">
        <v>0</v>
      </c>
      <c r="H284" s="405">
        <v>0</v>
      </c>
      <c r="I284" s="405">
        <v>0</v>
      </c>
      <c r="J284" s="405">
        <v>0</v>
      </c>
      <c r="K284" s="405">
        <v>0</v>
      </c>
      <c r="L284" s="405">
        <v>0</v>
      </c>
      <c r="M284" s="405">
        <v>0</v>
      </c>
      <c r="N284" s="405">
        <v>0</v>
      </c>
      <c r="O284" s="405">
        <v>0</v>
      </c>
      <c r="P284" s="405">
        <v>0</v>
      </c>
      <c r="Q284" s="405">
        <v>0</v>
      </c>
      <c r="R284" s="405">
        <v>0</v>
      </c>
      <c r="S284" s="405">
        <v>0</v>
      </c>
      <c r="T284" s="405">
        <v>0</v>
      </c>
      <c r="U284" s="405">
        <v>0</v>
      </c>
      <c r="V284" s="405">
        <v>0</v>
      </c>
      <c r="W284" s="405">
        <v>0</v>
      </c>
      <c r="X284" s="405">
        <v>0</v>
      </c>
      <c r="Y284" s="405">
        <v>0</v>
      </c>
      <c r="Z284" s="405">
        <v>0</v>
      </c>
      <c r="AA284" s="405">
        <v>0</v>
      </c>
      <c r="AB284" s="405">
        <v>0</v>
      </c>
      <c r="AC284" s="405">
        <v>0</v>
      </c>
      <c r="AD284" s="405">
        <v>0</v>
      </c>
      <c r="AE284" s="405">
        <v>0</v>
      </c>
      <c r="AF284" s="405">
        <v>0</v>
      </c>
      <c r="AG284" s="405">
        <v>0</v>
      </c>
      <c r="AH284" s="405">
        <v>0</v>
      </c>
      <c r="AI284" s="405">
        <v>0</v>
      </c>
      <c r="AJ284" s="405">
        <v>0</v>
      </c>
      <c r="AK284" s="405">
        <v>0</v>
      </c>
      <c r="AL284" s="405">
        <v>0</v>
      </c>
      <c r="AM284" s="405">
        <v>0</v>
      </c>
      <c r="AN284" s="405">
        <v>0</v>
      </c>
      <c r="AO284" s="405">
        <v>0</v>
      </c>
      <c r="AP284" s="405">
        <v>0</v>
      </c>
      <c r="AQ284" s="405">
        <v>0</v>
      </c>
      <c r="AR284" s="405">
        <v>0</v>
      </c>
      <c r="AS284" s="405">
        <v>0</v>
      </c>
      <c r="AT284" s="405">
        <v>0</v>
      </c>
      <c r="AU284" s="405">
        <v>0</v>
      </c>
      <c r="AV284" s="405">
        <v>0</v>
      </c>
      <c r="AW284" s="405">
        <v>0</v>
      </c>
      <c r="AX284" s="405">
        <v>0</v>
      </c>
      <c r="AY284" s="405">
        <v>0</v>
      </c>
      <c r="AZ284" s="405">
        <v>0</v>
      </c>
      <c r="BA284" s="405">
        <v>0</v>
      </c>
      <c r="BB284" s="405">
        <v>0</v>
      </c>
      <c r="BC284" s="405">
        <v>0</v>
      </c>
      <c r="BD284" s="405">
        <v>0</v>
      </c>
      <c r="BE284" s="405">
        <v>0</v>
      </c>
      <c r="BF284" s="405">
        <v>0</v>
      </c>
      <c r="BG284" s="405">
        <v>0</v>
      </c>
      <c r="BH284" s="405">
        <v>0</v>
      </c>
      <c r="BI284" s="405">
        <v>0</v>
      </c>
      <c r="BJ284" s="405">
        <v>0</v>
      </c>
      <c r="BK284" s="405">
        <v>0</v>
      </c>
      <c r="BL284" s="405">
        <v>0</v>
      </c>
      <c r="BM284" s="405">
        <v>0</v>
      </c>
      <c r="BN284" s="405">
        <v>0</v>
      </c>
      <c r="BO284" s="405">
        <v>0</v>
      </c>
      <c r="BP284" s="405">
        <v>0</v>
      </c>
      <c r="BQ284" s="405">
        <v>0</v>
      </c>
      <c r="BR284" s="405">
        <v>0</v>
      </c>
      <c r="BS284" s="405">
        <v>0</v>
      </c>
      <c r="BT284" s="405">
        <v>0</v>
      </c>
      <c r="BU284" s="405">
        <v>0</v>
      </c>
      <c r="BV284" s="405">
        <v>0</v>
      </c>
      <c r="BW284" s="405">
        <v>0</v>
      </c>
      <c r="BX284" s="405">
        <v>0</v>
      </c>
      <c r="BY284" s="405">
        <v>0</v>
      </c>
      <c r="BZ284" s="405">
        <v>0</v>
      </c>
      <c r="CA284" s="405">
        <v>0</v>
      </c>
      <c r="CB284" s="405">
        <v>0</v>
      </c>
      <c r="CC284" s="405">
        <v>0</v>
      </c>
      <c r="CD284" s="405">
        <v>0</v>
      </c>
      <c r="CE284" s="405">
        <v>0</v>
      </c>
      <c r="CF284" s="405">
        <v>0</v>
      </c>
    </row>
    <row r="285" spans="1:84" s="405" customFormat="1" x14ac:dyDescent="0.3">
      <c r="A285" s="405">
        <v>626</v>
      </c>
      <c r="B285" s="406">
        <v>626</v>
      </c>
      <c r="C285" s="405">
        <v>626</v>
      </c>
      <c r="D285" s="405" t="s">
        <v>740</v>
      </c>
      <c r="F285" s="405">
        <v>2686</v>
      </c>
      <c r="G285" s="405">
        <v>52540</v>
      </c>
      <c r="H285" s="405">
        <v>70187</v>
      </c>
      <c r="I285" s="405">
        <v>53772</v>
      </c>
      <c r="J285" s="405">
        <v>172522</v>
      </c>
      <c r="K285" s="405">
        <v>7270</v>
      </c>
      <c r="L285" s="405">
        <v>467</v>
      </c>
      <c r="M285" s="405">
        <v>13775</v>
      </c>
      <c r="N285" s="405">
        <v>858058</v>
      </c>
      <c r="O285" s="405">
        <v>30955436</v>
      </c>
      <c r="P285" s="405">
        <v>51470</v>
      </c>
      <c r="Q285" s="405">
        <v>957468</v>
      </c>
      <c r="R285" s="405">
        <v>9351</v>
      </c>
      <c r="S285" s="405">
        <v>1259215</v>
      </c>
      <c r="T285" s="405">
        <v>3992</v>
      </c>
      <c r="U285" s="405">
        <v>15928</v>
      </c>
      <c r="V285" s="405">
        <v>0</v>
      </c>
      <c r="W285" s="405">
        <v>59507</v>
      </c>
      <c r="X285" s="405">
        <v>396341</v>
      </c>
      <c r="Y285" s="405">
        <v>232236</v>
      </c>
      <c r="Z285" s="405">
        <v>0</v>
      </c>
      <c r="AA285" s="405">
        <v>207312</v>
      </c>
      <c r="AB285" s="405">
        <v>42013434</v>
      </c>
      <c r="AC285" s="405">
        <v>2874</v>
      </c>
      <c r="AD285" s="405">
        <v>30600</v>
      </c>
      <c r="AE285" s="405">
        <v>5906943</v>
      </c>
      <c r="AF285" s="405">
        <v>1030236</v>
      </c>
      <c r="AG285" s="405">
        <v>15375</v>
      </c>
      <c r="AH285" s="405">
        <v>19598031</v>
      </c>
      <c r="AI285" s="405">
        <v>9563</v>
      </c>
      <c r="AJ285" s="405">
        <v>8074</v>
      </c>
      <c r="AK285" s="405">
        <v>307537</v>
      </c>
      <c r="AL285" s="405">
        <v>36525</v>
      </c>
      <c r="AM285" s="405">
        <v>1069</v>
      </c>
      <c r="AN285" s="405">
        <v>0</v>
      </c>
      <c r="AO285" s="405">
        <v>0</v>
      </c>
      <c r="AP285" s="405">
        <v>1302779</v>
      </c>
      <c r="AQ285" s="405">
        <v>150</v>
      </c>
      <c r="AR285" s="405">
        <v>317818</v>
      </c>
      <c r="AS285" s="405">
        <v>375008</v>
      </c>
      <c r="AT285" s="405">
        <v>908</v>
      </c>
      <c r="AU285" s="405">
        <v>0</v>
      </c>
      <c r="AV285" s="405">
        <v>21559</v>
      </c>
      <c r="AW285" s="405">
        <v>104339714</v>
      </c>
      <c r="AX285" s="405">
        <v>14552248</v>
      </c>
      <c r="AY285" s="405">
        <v>200051</v>
      </c>
      <c r="AZ285" s="405">
        <v>3060</v>
      </c>
      <c r="BA285" s="405">
        <v>15514</v>
      </c>
      <c r="BB285" s="405">
        <v>5026</v>
      </c>
      <c r="BC285" s="405">
        <v>0</v>
      </c>
      <c r="BD285" s="405">
        <v>151275</v>
      </c>
      <c r="BE285" s="405">
        <v>8614</v>
      </c>
      <c r="BF285" s="405">
        <v>3068</v>
      </c>
      <c r="BG285" s="405">
        <v>2652</v>
      </c>
      <c r="BH285" s="405">
        <v>3199113</v>
      </c>
      <c r="BI285" s="405">
        <v>0</v>
      </c>
      <c r="BJ285" s="405">
        <v>851335</v>
      </c>
      <c r="BK285" s="405">
        <v>150242</v>
      </c>
      <c r="BL285" s="405">
        <v>13048</v>
      </c>
      <c r="BM285" s="405">
        <v>666</v>
      </c>
      <c r="BN285" s="405">
        <v>1377215</v>
      </c>
      <c r="BO285" s="405">
        <v>2974049</v>
      </c>
      <c r="BP285" s="405">
        <v>0</v>
      </c>
      <c r="BQ285" s="405">
        <v>10716704</v>
      </c>
      <c r="BR285" s="405">
        <v>34031487</v>
      </c>
      <c r="BS285" s="405">
        <v>38296</v>
      </c>
      <c r="BT285" s="405">
        <v>826127</v>
      </c>
      <c r="BU285" s="405">
        <v>43044</v>
      </c>
      <c r="BV285" s="405">
        <v>1481909</v>
      </c>
      <c r="BW285" s="405">
        <v>7517</v>
      </c>
      <c r="BX285" s="405">
        <v>8099</v>
      </c>
      <c r="BY285" s="405">
        <v>1591631</v>
      </c>
      <c r="BZ285" s="405">
        <v>113320</v>
      </c>
      <c r="CA285" s="405">
        <v>17064988</v>
      </c>
      <c r="CB285" s="405">
        <v>0</v>
      </c>
      <c r="CC285" s="405">
        <v>1892209</v>
      </c>
      <c r="CD285" s="405">
        <v>62695</v>
      </c>
      <c r="CE285" s="405">
        <v>301956</v>
      </c>
      <c r="CF285" s="405">
        <v>9718553</v>
      </c>
    </row>
    <row r="286" spans="1:84" s="405" customFormat="1" x14ac:dyDescent="0.3">
      <c r="A286" s="405">
        <v>627</v>
      </c>
      <c r="B286" s="406">
        <v>627</v>
      </c>
      <c r="C286" s="405">
        <v>627</v>
      </c>
      <c r="D286" s="405" t="s">
        <v>732</v>
      </c>
      <c r="F286" s="405">
        <v>0</v>
      </c>
      <c r="G286" s="405">
        <v>0</v>
      </c>
      <c r="H286" s="405">
        <v>0</v>
      </c>
      <c r="I286" s="405">
        <v>0</v>
      </c>
      <c r="J286" s="405">
        <v>0</v>
      </c>
      <c r="K286" s="405">
        <v>0</v>
      </c>
      <c r="L286" s="405">
        <v>0</v>
      </c>
      <c r="M286" s="405">
        <v>0</v>
      </c>
      <c r="N286" s="405">
        <v>0</v>
      </c>
      <c r="O286" s="405">
        <v>0</v>
      </c>
      <c r="P286" s="405">
        <v>0</v>
      </c>
      <c r="Q286" s="405">
        <v>0</v>
      </c>
      <c r="R286" s="405">
        <v>0</v>
      </c>
      <c r="S286" s="405">
        <v>0</v>
      </c>
      <c r="T286" s="405">
        <v>0</v>
      </c>
      <c r="U286" s="405">
        <v>0</v>
      </c>
      <c r="V286" s="405">
        <v>0</v>
      </c>
      <c r="W286" s="405">
        <v>0</v>
      </c>
      <c r="X286" s="405">
        <v>0</v>
      </c>
      <c r="Y286" s="405">
        <v>0</v>
      </c>
      <c r="Z286" s="405">
        <v>0</v>
      </c>
      <c r="AA286" s="405">
        <v>18119</v>
      </c>
      <c r="AB286" s="405">
        <v>0</v>
      </c>
      <c r="AC286" s="405">
        <v>0</v>
      </c>
      <c r="AD286" s="405">
        <v>0</v>
      </c>
      <c r="AE286" s="405">
        <v>0</v>
      </c>
      <c r="AF286" s="405">
        <v>0</v>
      </c>
      <c r="AG286" s="405">
        <v>0</v>
      </c>
      <c r="AH286" s="405">
        <v>0</v>
      </c>
      <c r="AI286" s="405">
        <v>0</v>
      </c>
      <c r="AJ286" s="405">
        <v>0</v>
      </c>
      <c r="AK286" s="405">
        <v>0</v>
      </c>
      <c r="AL286" s="405">
        <v>0</v>
      </c>
      <c r="AM286" s="405">
        <v>0</v>
      </c>
      <c r="AN286" s="405">
        <v>0</v>
      </c>
      <c r="AO286" s="405">
        <v>0</v>
      </c>
      <c r="AP286" s="405">
        <v>0</v>
      </c>
      <c r="AQ286" s="405">
        <v>0</v>
      </c>
      <c r="AR286" s="405">
        <v>0</v>
      </c>
      <c r="AS286" s="405">
        <v>0</v>
      </c>
      <c r="AT286" s="405">
        <v>0</v>
      </c>
      <c r="AU286" s="405">
        <v>0</v>
      </c>
      <c r="AV286" s="405">
        <v>0</v>
      </c>
      <c r="AW286" s="405">
        <v>0</v>
      </c>
      <c r="AX286" s="405">
        <v>0</v>
      </c>
      <c r="AY286" s="405">
        <v>0</v>
      </c>
      <c r="AZ286" s="405">
        <v>0</v>
      </c>
      <c r="BA286" s="405">
        <v>0</v>
      </c>
      <c r="BB286" s="405">
        <v>0</v>
      </c>
      <c r="BC286" s="405">
        <v>0</v>
      </c>
      <c r="BD286" s="405">
        <v>0</v>
      </c>
      <c r="BE286" s="405">
        <v>0</v>
      </c>
      <c r="BF286" s="405">
        <v>0</v>
      </c>
      <c r="BG286" s="405">
        <v>0</v>
      </c>
      <c r="BH286" s="405">
        <v>0</v>
      </c>
      <c r="BI286" s="405">
        <v>0</v>
      </c>
      <c r="BJ286" s="405">
        <v>0</v>
      </c>
      <c r="BK286" s="405">
        <v>0</v>
      </c>
      <c r="BL286" s="405">
        <v>0</v>
      </c>
      <c r="BM286" s="405">
        <v>0</v>
      </c>
      <c r="BN286" s="405">
        <v>0</v>
      </c>
      <c r="BO286" s="405">
        <v>0</v>
      </c>
      <c r="BP286" s="405">
        <v>0</v>
      </c>
      <c r="BQ286" s="405">
        <v>0</v>
      </c>
      <c r="BR286" s="405">
        <v>0</v>
      </c>
      <c r="BS286" s="405">
        <v>0</v>
      </c>
      <c r="BT286" s="405">
        <v>0</v>
      </c>
      <c r="BU286" s="405">
        <v>0</v>
      </c>
      <c r="BV286" s="405">
        <v>0</v>
      </c>
      <c r="BW286" s="405">
        <v>0</v>
      </c>
      <c r="BX286" s="405">
        <v>0</v>
      </c>
      <c r="BY286" s="405">
        <v>0</v>
      </c>
      <c r="BZ286" s="405">
        <v>0</v>
      </c>
      <c r="CA286" s="405">
        <v>0</v>
      </c>
      <c r="CB286" s="405">
        <v>0</v>
      </c>
      <c r="CC286" s="405">
        <v>0</v>
      </c>
      <c r="CD286" s="405">
        <v>0</v>
      </c>
      <c r="CE286" s="405">
        <v>0</v>
      </c>
      <c r="CF286" s="405">
        <v>0</v>
      </c>
    </row>
    <row r="287" spans="1:84" s="405" customFormat="1" x14ac:dyDescent="0.3">
      <c r="A287" s="405">
        <v>628</v>
      </c>
      <c r="B287" s="406">
        <v>628</v>
      </c>
      <c r="C287" s="405">
        <v>628</v>
      </c>
      <c r="D287" s="405" t="s">
        <v>737</v>
      </c>
      <c r="F287" s="405">
        <v>0</v>
      </c>
      <c r="G287" s="405">
        <v>0</v>
      </c>
      <c r="H287" s="405">
        <v>0</v>
      </c>
      <c r="I287" s="405">
        <v>2024</v>
      </c>
      <c r="J287" s="405">
        <v>0</v>
      </c>
      <c r="K287" s="405">
        <v>0</v>
      </c>
      <c r="L287" s="405">
        <v>0</v>
      </c>
      <c r="M287" s="405">
        <v>0</v>
      </c>
      <c r="N287" s="405">
        <v>102997</v>
      </c>
      <c r="O287" s="405">
        <v>4169068</v>
      </c>
      <c r="P287" s="405">
        <v>11069</v>
      </c>
      <c r="Q287" s="405">
        <v>72565</v>
      </c>
      <c r="R287" s="405">
        <v>0</v>
      </c>
      <c r="S287" s="405">
        <v>200000</v>
      </c>
      <c r="T287" s="405">
        <v>0</v>
      </c>
      <c r="U287" s="405">
        <v>1146</v>
      </c>
      <c r="V287" s="405">
        <v>0</v>
      </c>
      <c r="W287" s="405">
        <v>9734</v>
      </c>
      <c r="X287" s="405">
        <v>61653</v>
      </c>
      <c r="Y287" s="405">
        <v>34901</v>
      </c>
      <c r="Z287" s="405">
        <v>0</v>
      </c>
      <c r="AA287" s="405">
        <v>0</v>
      </c>
      <c r="AB287" s="405">
        <v>209534</v>
      </c>
      <c r="AC287" s="405">
        <v>0</v>
      </c>
      <c r="AD287" s="405">
        <v>5909</v>
      </c>
      <c r="AE287" s="405">
        <v>0</v>
      </c>
      <c r="AF287" s="405">
        <v>13586</v>
      </c>
      <c r="AG287" s="405">
        <v>0</v>
      </c>
      <c r="AH287" s="405">
        <v>2885954</v>
      </c>
      <c r="AI287" s="405">
        <v>0</v>
      </c>
      <c r="AJ287" s="405">
        <v>0</v>
      </c>
      <c r="AK287" s="405">
        <v>0</v>
      </c>
      <c r="AL287" s="405">
        <v>22654</v>
      </c>
      <c r="AM287" s="405">
        <v>0</v>
      </c>
      <c r="AN287" s="405">
        <v>0</v>
      </c>
      <c r="AO287" s="405">
        <v>0</v>
      </c>
      <c r="AP287" s="405">
        <v>274978</v>
      </c>
      <c r="AQ287" s="405">
        <v>0</v>
      </c>
      <c r="AR287" s="405">
        <v>84989</v>
      </c>
      <c r="AS287" s="405">
        <v>0</v>
      </c>
      <c r="AT287" s="405">
        <v>0</v>
      </c>
      <c r="AU287" s="405">
        <v>0</v>
      </c>
      <c r="AV287" s="405">
        <v>7593</v>
      </c>
      <c r="AW287" s="405">
        <v>7587776</v>
      </c>
      <c r="AX287" s="405">
        <v>2279830</v>
      </c>
      <c r="AY287" s="405">
        <v>21000</v>
      </c>
      <c r="AZ287" s="405">
        <v>0</v>
      </c>
      <c r="BA287" s="405">
        <v>0</v>
      </c>
      <c r="BB287" s="405">
        <v>0</v>
      </c>
      <c r="BC287" s="405">
        <v>0</v>
      </c>
      <c r="BD287" s="405">
        <v>95934</v>
      </c>
      <c r="BE287" s="405">
        <v>0</v>
      </c>
      <c r="BF287" s="405">
        <v>0</v>
      </c>
      <c r="BG287" s="405">
        <v>0</v>
      </c>
      <c r="BH287" s="405">
        <v>420197</v>
      </c>
      <c r="BI287" s="405">
        <v>0</v>
      </c>
      <c r="BJ287" s="405">
        <v>46694</v>
      </c>
      <c r="BK287" s="405">
        <v>54267</v>
      </c>
      <c r="BL287" s="405">
        <v>0</v>
      </c>
      <c r="BM287" s="405">
        <v>0</v>
      </c>
      <c r="BN287" s="405">
        <v>150302</v>
      </c>
      <c r="BO287" s="405">
        <v>392727</v>
      </c>
      <c r="BP287" s="405">
        <v>0</v>
      </c>
      <c r="BQ287" s="405">
        <v>1329338</v>
      </c>
      <c r="BR287" s="405">
        <v>3279221</v>
      </c>
      <c r="BS287" s="405">
        <v>0</v>
      </c>
      <c r="BT287" s="405">
        <v>144434</v>
      </c>
      <c r="BU287" s="405">
        <v>10897</v>
      </c>
      <c r="BV287" s="405">
        <v>208845</v>
      </c>
      <c r="BW287" s="405">
        <v>1086</v>
      </c>
      <c r="BX287" s="405">
        <v>0</v>
      </c>
      <c r="BY287" s="405">
        <v>20366</v>
      </c>
      <c r="BZ287" s="405">
        <v>90598</v>
      </c>
      <c r="CA287" s="405">
        <v>1065892</v>
      </c>
      <c r="CB287" s="405">
        <v>0</v>
      </c>
      <c r="CC287" s="405">
        <v>441013</v>
      </c>
      <c r="CD287" s="405">
        <v>0</v>
      </c>
      <c r="CE287" s="405">
        <v>0</v>
      </c>
      <c r="CF287" s="405">
        <v>819021</v>
      </c>
    </row>
    <row r="288" spans="1:84" s="405" customFormat="1" x14ac:dyDescent="0.3">
      <c r="A288" s="405">
        <v>629</v>
      </c>
      <c r="B288" s="406">
        <v>629</v>
      </c>
      <c r="C288" s="405">
        <v>629</v>
      </c>
      <c r="D288" s="405" t="s">
        <v>736</v>
      </c>
      <c r="F288" s="405">
        <v>0</v>
      </c>
      <c r="G288" s="405">
        <v>0</v>
      </c>
      <c r="H288" s="405">
        <v>0</v>
      </c>
      <c r="I288" s="405">
        <v>0</v>
      </c>
      <c r="J288" s="405">
        <v>0</v>
      </c>
      <c r="K288" s="405">
        <v>0</v>
      </c>
      <c r="L288" s="405">
        <v>0</v>
      </c>
      <c r="M288" s="405">
        <v>0</v>
      </c>
      <c r="N288" s="405">
        <v>0</v>
      </c>
      <c r="O288" s="405">
        <v>0</v>
      </c>
      <c r="P288" s="405">
        <v>0</v>
      </c>
      <c r="Q288" s="405">
        <v>0</v>
      </c>
      <c r="R288" s="405">
        <v>0</v>
      </c>
      <c r="S288" s="405">
        <v>0</v>
      </c>
      <c r="T288" s="405">
        <v>0</v>
      </c>
      <c r="U288" s="405">
        <v>0</v>
      </c>
      <c r="V288" s="405">
        <v>0</v>
      </c>
      <c r="W288" s="405">
        <v>0</v>
      </c>
      <c r="X288" s="405">
        <v>0</v>
      </c>
      <c r="Y288" s="405">
        <v>0</v>
      </c>
      <c r="Z288" s="405">
        <v>0</v>
      </c>
      <c r="AA288" s="405">
        <v>0</v>
      </c>
      <c r="AB288" s="405">
        <v>0</v>
      </c>
      <c r="AC288" s="405">
        <v>0</v>
      </c>
      <c r="AD288" s="405">
        <v>0</v>
      </c>
      <c r="AE288" s="405">
        <v>0</v>
      </c>
      <c r="AF288" s="405">
        <v>80556</v>
      </c>
      <c r="AG288" s="405">
        <v>0</v>
      </c>
      <c r="AH288" s="405">
        <v>0</v>
      </c>
      <c r="AI288" s="405">
        <v>0</v>
      </c>
      <c r="AJ288" s="405">
        <v>0</v>
      </c>
      <c r="AK288" s="405">
        <v>0</v>
      </c>
      <c r="AL288" s="405">
        <v>0</v>
      </c>
      <c r="AM288" s="405">
        <v>0</v>
      </c>
      <c r="AN288" s="405">
        <v>0</v>
      </c>
      <c r="AO288" s="405">
        <v>0</v>
      </c>
      <c r="AP288" s="405">
        <v>0</v>
      </c>
      <c r="AQ288" s="405">
        <v>0</v>
      </c>
      <c r="AR288" s="405">
        <v>0</v>
      </c>
      <c r="AS288" s="405">
        <v>0</v>
      </c>
      <c r="AT288" s="405">
        <v>0</v>
      </c>
      <c r="AU288" s="405">
        <v>0</v>
      </c>
      <c r="AV288" s="405">
        <v>0</v>
      </c>
      <c r="AW288" s="405">
        <v>0</v>
      </c>
      <c r="AX288" s="405">
        <v>0</v>
      </c>
      <c r="AY288" s="405">
        <v>0</v>
      </c>
      <c r="AZ288" s="405">
        <v>0</v>
      </c>
      <c r="BA288" s="405">
        <v>0</v>
      </c>
      <c r="BB288" s="405">
        <v>0</v>
      </c>
      <c r="BC288" s="405">
        <v>0</v>
      </c>
      <c r="BD288" s="405">
        <v>0</v>
      </c>
      <c r="BE288" s="405">
        <v>0</v>
      </c>
      <c r="BF288" s="405">
        <v>0</v>
      </c>
      <c r="BG288" s="405">
        <v>0</v>
      </c>
      <c r="BH288" s="405">
        <v>0</v>
      </c>
      <c r="BI288" s="405">
        <v>0</v>
      </c>
      <c r="BJ288" s="405">
        <v>0</v>
      </c>
      <c r="BK288" s="405">
        <v>0</v>
      </c>
      <c r="BL288" s="405">
        <v>0</v>
      </c>
      <c r="BM288" s="405">
        <v>0</v>
      </c>
      <c r="BN288" s="405">
        <v>0</v>
      </c>
      <c r="BO288" s="405">
        <v>0</v>
      </c>
      <c r="BP288" s="405">
        <v>0</v>
      </c>
      <c r="BQ288" s="405">
        <v>0</v>
      </c>
      <c r="BR288" s="405">
        <v>0</v>
      </c>
      <c r="BS288" s="405">
        <v>0</v>
      </c>
      <c r="BT288" s="405">
        <v>0</v>
      </c>
      <c r="BU288" s="405">
        <v>0</v>
      </c>
      <c r="BV288" s="405">
        <v>0</v>
      </c>
      <c r="BW288" s="405">
        <v>0</v>
      </c>
      <c r="BX288" s="405">
        <v>0</v>
      </c>
      <c r="BY288" s="405">
        <v>0</v>
      </c>
      <c r="BZ288" s="405">
        <v>0</v>
      </c>
      <c r="CA288" s="405">
        <v>0</v>
      </c>
      <c r="CB288" s="405">
        <v>0</v>
      </c>
      <c r="CC288" s="405">
        <v>0</v>
      </c>
      <c r="CD288" s="405">
        <v>0</v>
      </c>
      <c r="CE288" s="405">
        <v>0</v>
      </c>
      <c r="CF288" s="405">
        <v>0</v>
      </c>
    </row>
    <row r="289" spans="1:84" s="405" customFormat="1" x14ac:dyDescent="0.3">
      <c r="A289" s="405">
        <v>630</v>
      </c>
      <c r="B289" s="406">
        <v>630</v>
      </c>
      <c r="C289" s="405">
        <v>630</v>
      </c>
      <c r="D289" s="405" t="s">
        <v>735</v>
      </c>
      <c r="F289" s="405">
        <v>0</v>
      </c>
      <c r="G289" s="405">
        <v>0</v>
      </c>
      <c r="H289" s="405">
        <v>0</v>
      </c>
      <c r="I289" s="405">
        <v>0</v>
      </c>
      <c r="J289" s="405">
        <v>0</v>
      </c>
      <c r="K289" s="405">
        <v>0</v>
      </c>
      <c r="L289" s="405">
        <v>0</v>
      </c>
      <c r="M289" s="405">
        <v>13539</v>
      </c>
      <c r="N289" s="405">
        <v>0</v>
      </c>
      <c r="O289" s="405">
        <v>1091771</v>
      </c>
      <c r="P289" s="405">
        <v>0</v>
      </c>
      <c r="Q289" s="405">
        <v>0</v>
      </c>
      <c r="R289" s="405">
        <v>0</v>
      </c>
      <c r="S289" s="405">
        <v>0</v>
      </c>
      <c r="T289" s="405">
        <v>0</v>
      </c>
      <c r="U289" s="405">
        <v>0</v>
      </c>
      <c r="V289" s="405">
        <v>0</v>
      </c>
      <c r="W289" s="405">
        <v>0</v>
      </c>
      <c r="X289" s="405">
        <v>0</v>
      </c>
      <c r="Y289" s="405">
        <v>0</v>
      </c>
      <c r="Z289" s="405">
        <v>0</v>
      </c>
      <c r="AA289" s="405">
        <v>0</v>
      </c>
      <c r="AB289" s="405">
        <v>0</v>
      </c>
      <c r="AC289" s="405">
        <v>0</v>
      </c>
      <c r="AD289" s="405">
        <v>0</v>
      </c>
      <c r="AE289" s="405">
        <v>0</v>
      </c>
      <c r="AF289" s="405">
        <v>0</v>
      </c>
      <c r="AG289" s="405">
        <v>0</v>
      </c>
      <c r="AH289" s="405">
        <v>0</v>
      </c>
      <c r="AI289" s="405">
        <v>0</v>
      </c>
      <c r="AJ289" s="405">
        <v>0</v>
      </c>
      <c r="AK289" s="405">
        <v>0</v>
      </c>
      <c r="AL289" s="405">
        <v>0</v>
      </c>
      <c r="AM289" s="405">
        <v>0</v>
      </c>
      <c r="AN289" s="405">
        <v>0</v>
      </c>
      <c r="AO289" s="405">
        <v>0</v>
      </c>
      <c r="AP289" s="405">
        <v>35720</v>
      </c>
      <c r="AQ289" s="405">
        <v>0</v>
      </c>
      <c r="AR289" s="405">
        <v>0</v>
      </c>
      <c r="AS289" s="405">
        <v>0</v>
      </c>
      <c r="AT289" s="405">
        <v>0</v>
      </c>
      <c r="AU289" s="405">
        <v>0</v>
      </c>
      <c r="AV289" s="405">
        <v>0</v>
      </c>
      <c r="AW289" s="405">
        <v>7622766</v>
      </c>
      <c r="AX289" s="405">
        <v>372600</v>
      </c>
      <c r="AY289" s="405">
        <v>0</v>
      </c>
      <c r="AZ289" s="405">
        <v>0</v>
      </c>
      <c r="BA289" s="405">
        <v>0</v>
      </c>
      <c r="BB289" s="405">
        <v>0</v>
      </c>
      <c r="BC289" s="405">
        <v>0</v>
      </c>
      <c r="BD289" s="405">
        <v>0</v>
      </c>
      <c r="BE289" s="405">
        <v>0</v>
      </c>
      <c r="BF289" s="405">
        <v>0</v>
      </c>
      <c r="BG289" s="405">
        <v>0</v>
      </c>
      <c r="BH289" s="405">
        <v>1123897</v>
      </c>
      <c r="BI289" s="405">
        <v>0</v>
      </c>
      <c r="BJ289" s="405">
        <v>0</v>
      </c>
      <c r="BK289" s="405">
        <v>0</v>
      </c>
      <c r="BL289" s="405">
        <v>0</v>
      </c>
      <c r="BM289" s="405">
        <v>0</v>
      </c>
      <c r="BN289" s="405">
        <v>0</v>
      </c>
      <c r="BO289" s="405">
        <v>0</v>
      </c>
      <c r="BP289" s="405">
        <v>0</v>
      </c>
      <c r="BQ289" s="405">
        <v>66446</v>
      </c>
      <c r="BR289" s="405">
        <v>2803544</v>
      </c>
      <c r="BS289" s="405">
        <v>0</v>
      </c>
      <c r="BT289" s="405">
        <v>0</v>
      </c>
      <c r="BU289" s="405">
        <v>1700</v>
      </c>
      <c r="BV289" s="405">
        <v>0</v>
      </c>
      <c r="BW289" s="405">
        <v>0</v>
      </c>
      <c r="BX289" s="405">
        <v>0</v>
      </c>
      <c r="BY289" s="405">
        <v>0</v>
      </c>
      <c r="BZ289" s="405">
        <v>0</v>
      </c>
      <c r="CA289" s="405">
        <v>0</v>
      </c>
      <c r="CB289" s="405">
        <v>0</v>
      </c>
      <c r="CC289" s="405">
        <v>0</v>
      </c>
      <c r="CD289" s="405">
        <v>0</v>
      </c>
      <c r="CE289" s="405">
        <v>0</v>
      </c>
      <c r="CF289" s="405">
        <v>615137</v>
      </c>
    </row>
    <row r="290" spans="1:84" s="405" customFormat="1" x14ac:dyDescent="0.3">
      <c r="A290" s="405">
        <v>631</v>
      </c>
      <c r="B290" s="406">
        <v>631</v>
      </c>
      <c r="C290" s="405">
        <v>631</v>
      </c>
      <c r="D290" s="405" t="s">
        <v>734</v>
      </c>
      <c r="F290" s="405">
        <v>0</v>
      </c>
      <c r="G290" s="405">
        <v>0</v>
      </c>
      <c r="H290" s="405">
        <v>0</v>
      </c>
      <c r="I290" s="405">
        <v>0</v>
      </c>
      <c r="J290" s="405">
        <v>0</v>
      </c>
      <c r="K290" s="405">
        <v>0</v>
      </c>
      <c r="L290" s="405">
        <v>0</v>
      </c>
      <c r="M290" s="405">
        <v>0</v>
      </c>
      <c r="N290" s="405">
        <v>0</v>
      </c>
      <c r="O290" s="405">
        <v>0</v>
      </c>
      <c r="P290" s="405">
        <v>0</v>
      </c>
      <c r="Q290" s="405">
        <v>0</v>
      </c>
      <c r="R290" s="405">
        <v>0</v>
      </c>
      <c r="S290" s="405">
        <v>0</v>
      </c>
      <c r="T290" s="405">
        <v>0</v>
      </c>
      <c r="U290" s="405">
        <v>0</v>
      </c>
      <c r="V290" s="405">
        <v>0</v>
      </c>
      <c r="W290" s="405">
        <v>0</v>
      </c>
      <c r="X290" s="405">
        <v>0</v>
      </c>
      <c r="Y290" s="405">
        <v>0</v>
      </c>
      <c r="Z290" s="405">
        <v>0</v>
      </c>
      <c r="AA290" s="405">
        <v>0</v>
      </c>
      <c r="AB290" s="405">
        <v>0</v>
      </c>
      <c r="AC290" s="405">
        <v>0</v>
      </c>
      <c r="AD290" s="405">
        <v>0</v>
      </c>
      <c r="AE290" s="405">
        <v>0</v>
      </c>
      <c r="AF290" s="405">
        <v>0</v>
      </c>
      <c r="AG290" s="405">
        <v>0</v>
      </c>
      <c r="AH290" s="405">
        <v>0</v>
      </c>
      <c r="AI290" s="405">
        <v>0</v>
      </c>
      <c r="AJ290" s="405">
        <v>0</v>
      </c>
      <c r="AK290" s="405">
        <v>0</v>
      </c>
      <c r="AL290" s="405">
        <v>0</v>
      </c>
      <c r="AM290" s="405">
        <v>0</v>
      </c>
      <c r="AN290" s="405">
        <v>0</v>
      </c>
      <c r="AO290" s="405">
        <v>0</v>
      </c>
      <c r="AP290" s="405">
        <v>0</v>
      </c>
      <c r="AQ290" s="405">
        <v>0</v>
      </c>
      <c r="AR290" s="405">
        <v>0</v>
      </c>
      <c r="AS290" s="405">
        <v>0</v>
      </c>
      <c r="AT290" s="405">
        <v>0</v>
      </c>
      <c r="AU290" s="405">
        <v>0</v>
      </c>
      <c r="AV290" s="405">
        <v>0</v>
      </c>
      <c r="AW290" s="405">
        <v>0</v>
      </c>
      <c r="AX290" s="405">
        <v>0</v>
      </c>
      <c r="AY290" s="405">
        <v>0</v>
      </c>
      <c r="AZ290" s="405">
        <v>0</v>
      </c>
      <c r="BA290" s="405">
        <v>0</v>
      </c>
      <c r="BB290" s="405">
        <v>0</v>
      </c>
      <c r="BC290" s="405">
        <v>0</v>
      </c>
      <c r="BD290" s="405">
        <v>0</v>
      </c>
      <c r="BE290" s="405">
        <v>0</v>
      </c>
      <c r="BF290" s="405">
        <v>0</v>
      </c>
      <c r="BG290" s="405">
        <v>0</v>
      </c>
      <c r="BH290" s="405">
        <v>0</v>
      </c>
      <c r="BI290" s="405">
        <v>0</v>
      </c>
      <c r="BJ290" s="405">
        <v>0</v>
      </c>
      <c r="BK290" s="405">
        <v>0</v>
      </c>
      <c r="BL290" s="405">
        <v>0</v>
      </c>
      <c r="BM290" s="405">
        <v>0</v>
      </c>
      <c r="BN290" s="405">
        <v>0</v>
      </c>
      <c r="BO290" s="405">
        <v>0</v>
      </c>
      <c r="BP290" s="405">
        <v>0</v>
      </c>
      <c r="BQ290" s="405">
        <v>0</v>
      </c>
      <c r="BR290" s="405">
        <v>0</v>
      </c>
      <c r="BS290" s="405">
        <v>0</v>
      </c>
      <c r="BT290" s="405">
        <v>0</v>
      </c>
      <c r="BU290" s="405">
        <v>0</v>
      </c>
      <c r="BV290" s="405">
        <v>0</v>
      </c>
      <c r="BW290" s="405">
        <v>0</v>
      </c>
      <c r="BX290" s="405">
        <v>0</v>
      </c>
      <c r="BY290" s="405">
        <v>0</v>
      </c>
      <c r="BZ290" s="405">
        <v>0</v>
      </c>
      <c r="CA290" s="405">
        <v>0</v>
      </c>
      <c r="CB290" s="405">
        <v>0</v>
      </c>
      <c r="CC290" s="405">
        <v>0</v>
      </c>
      <c r="CD290" s="405">
        <v>0</v>
      </c>
      <c r="CE290" s="405">
        <v>0</v>
      </c>
      <c r="CF290" s="405">
        <v>0</v>
      </c>
    </row>
    <row r="291" spans="1:84" s="405" customFormat="1" x14ac:dyDescent="0.3">
      <c r="A291" s="405">
        <v>632</v>
      </c>
      <c r="B291" s="406">
        <v>632</v>
      </c>
      <c r="C291" s="405">
        <v>632</v>
      </c>
      <c r="D291" s="405" t="s">
        <v>733</v>
      </c>
      <c r="F291" s="405">
        <v>0</v>
      </c>
      <c r="G291" s="405">
        <v>0</v>
      </c>
      <c r="H291" s="405">
        <v>0</v>
      </c>
      <c r="I291" s="405">
        <v>0</v>
      </c>
      <c r="J291" s="405">
        <v>0</v>
      </c>
      <c r="K291" s="405">
        <v>0</v>
      </c>
      <c r="L291" s="405">
        <v>0</v>
      </c>
      <c r="M291" s="405">
        <v>0</v>
      </c>
      <c r="N291" s="405">
        <v>0</v>
      </c>
      <c r="O291" s="405">
        <v>0</v>
      </c>
      <c r="P291" s="405">
        <v>0</v>
      </c>
      <c r="Q291" s="405">
        <v>0</v>
      </c>
      <c r="R291" s="405">
        <v>0</v>
      </c>
      <c r="S291" s="405">
        <v>0</v>
      </c>
      <c r="T291" s="405">
        <v>0</v>
      </c>
      <c r="U291" s="405">
        <v>0</v>
      </c>
      <c r="V291" s="405">
        <v>0</v>
      </c>
      <c r="W291" s="405">
        <v>0</v>
      </c>
      <c r="X291" s="405">
        <v>0</v>
      </c>
      <c r="Y291" s="405">
        <v>0</v>
      </c>
      <c r="Z291" s="405">
        <v>0</v>
      </c>
      <c r="AA291" s="405">
        <v>0</v>
      </c>
      <c r="AB291" s="405">
        <v>0</v>
      </c>
      <c r="AC291" s="405">
        <v>0</v>
      </c>
      <c r="AD291" s="405">
        <v>0</v>
      </c>
      <c r="AE291" s="405">
        <v>0</v>
      </c>
      <c r="AF291" s="405">
        <v>0</v>
      </c>
      <c r="AG291" s="405">
        <v>0</v>
      </c>
      <c r="AH291" s="405">
        <v>0</v>
      </c>
      <c r="AI291" s="405">
        <v>0</v>
      </c>
      <c r="AJ291" s="405">
        <v>0</v>
      </c>
      <c r="AK291" s="405">
        <v>0</v>
      </c>
      <c r="AL291" s="405">
        <v>0</v>
      </c>
      <c r="AM291" s="405">
        <v>0</v>
      </c>
      <c r="AN291" s="405">
        <v>0</v>
      </c>
      <c r="AO291" s="405">
        <v>0</v>
      </c>
      <c r="AP291" s="405">
        <v>0</v>
      </c>
      <c r="AQ291" s="405">
        <v>0</v>
      </c>
      <c r="AR291" s="405">
        <v>0</v>
      </c>
      <c r="AS291" s="405">
        <v>0</v>
      </c>
      <c r="AT291" s="405">
        <v>0</v>
      </c>
      <c r="AU291" s="405">
        <v>0</v>
      </c>
      <c r="AV291" s="405">
        <v>0</v>
      </c>
      <c r="AW291" s="405">
        <v>0</v>
      </c>
      <c r="AX291" s="405">
        <v>0</v>
      </c>
      <c r="AY291" s="405">
        <v>0</v>
      </c>
      <c r="AZ291" s="405">
        <v>0</v>
      </c>
      <c r="BA291" s="405">
        <v>0</v>
      </c>
      <c r="BB291" s="405">
        <v>0</v>
      </c>
      <c r="BC291" s="405">
        <v>0</v>
      </c>
      <c r="BD291" s="405">
        <v>0</v>
      </c>
      <c r="BE291" s="405">
        <v>0</v>
      </c>
      <c r="BF291" s="405">
        <v>0</v>
      </c>
      <c r="BG291" s="405">
        <v>0</v>
      </c>
      <c r="BH291" s="405">
        <v>0</v>
      </c>
      <c r="BI291" s="405">
        <v>0</v>
      </c>
      <c r="BJ291" s="405">
        <v>0</v>
      </c>
      <c r="BK291" s="405">
        <v>0</v>
      </c>
      <c r="BL291" s="405">
        <v>0</v>
      </c>
      <c r="BM291" s="405">
        <v>0</v>
      </c>
      <c r="BN291" s="405">
        <v>0</v>
      </c>
      <c r="BO291" s="405">
        <v>0</v>
      </c>
      <c r="BP291" s="405">
        <v>0</v>
      </c>
      <c r="BQ291" s="405">
        <v>0</v>
      </c>
      <c r="BR291" s="405">
        <v>0</v>
      </c>
      <c r="BS291" s="405">
        <v>0</v>
      </c>
      <c r="BT291" s="405">
        <v>0</v>
      </c>
      <c r="BU291" s="405">
        <v>0</v>
      </c>
      <c r="BV291" s="405">
        <v>0</v>
      </c>
      <c r="BW291" s="405">
        <v>0</v>
      </c>
      <c r="BX291" s="405">
        <v>0</v>
      </c>
      <c r="BY291" s="405">
        <v>0</v>
      </c>
      <c r="BZ291" s="405">
        <v>0</v>
      </c>
      <c r="CA291" s="405">
        <v>0</v>
      </c>
      <c r="CB291" s="405">
        <v>0</v>
      </c>
      <c r="CC291" s="405">
        <v>0</v>
      </c>
      <c r="CD291" s="405">
        <v>0</v>
      </c>
      <c r="CE291" s="405">
        <v>0</v>
      </c>
      <c r="CF291" s="405">
        <v>0</v>
      </c>
    </row>
    <row r="292" spans="1:84" s="405" customFormat="1" x14ac:dyDescent="0.3">
      <c r="A292" s="405">
        <v>633</v>
      </c>
      <c r="B292" s="406">
        <v>633</v>
      </c>
      <c r="C292" s="405">
        <v>633</v>
      </c>
      <c r="D292" s="405" t="s">
        <v>741</v>
      </c>
      <c r="F292" s="405">
        <v>81602</v>
      </c>
      <c r="G292" s="405">
        <v>208828</v>
      </c>
      <c r="H292" s="405">
        <v>0</v>
      </c>
      <c r="I292" s="405">
        <v>41153</v>
      </c>
      <c r="J292" s="405">
        <v>145774</v>
      </c>
      <c r="K292" s="405">
        <v>34584</v>
      </c>
      <c r="L292" s="405">
        <v>0</v>
      </c>
      <c r="M292" s="405">
        <v>210271</v>
      </c>
      <c r="N292" s="405">
        <v>1423710</v>
      </c>
      <c r="O292" s="405">
        <v>0</v>
      </c>
      <c r="P292" s="405">
        <v>0</v>
      </c>
      <c r="Q292" s="405">
        <v>0</v>
      </c>
      <c r="R292" s="405">
        <v>29819</v>
      </c>
      <c r="S292" s="405">
        <v>416843</v>
      </c>
      <c r="T292" s="405">
        <v>0</v>
      </c>
      <c r="U292" s="405">
        <v>58778</v>
      </c>
      <c r="V292" s="405">
        <v>0</v>
      </c>
      <c r="W292" s="405">
        <v>54733</v>
      </c>
      <c r="X292" s="405">
        <v>1186657</v>
      </c>
      <c r="Y292" s="405">
        <v>0</v>
      </c>
      <c r="Z292" s="405">
        <v>0</v>
      </c>
      <c r="AA292" s="405">
        <v>165200</v>
      </c>
      <c r="AB292" s="405">
        <v>4215769</v>
      </c>
      <c r="AC292" s="405">
        <v>0</v>
      </c>
      <c r="AD292" s="405">
        <v>19311</v>
      </c>
      <c r="AE292" s="405">
        <v>0</v>
      </c>
      <c r="AF292" s="405">
        <v>0</v>
      </c>
      <c r="AG292" s="405">
        <v>0</v>
      </c>
      <c r="AH292" s="405">
        <v>7468636</v>
      </c>
      <c r="AI292" s="405">
        <v>1959</v>
      </c>
      <c r="AJ292" s="405">
        <v>31168</v>
      </c>
      <c r="AK292" s="405">
        <v>595623</v>
      </c>
      <c r="AL292" s="405">
        <v>425</v>
      </c>
      <c r="AM292" s="405">
        <v>94509</v>
      </c>
      <c r="AN292" s="405">
        <v>0</v>
      </c>
      <c r="AO292" s="405">
        <v>93591</v>
      </c>
      <c r="AP292" s="405">
        <v>1013404</v>
      </c>
      <c r="AQ292" s="405">
        <v>0</v>
      </c>
      <c r="AR292" s="405">
        <v>370499</v>
      </c>
      <c r="AS292" s="405">
        <v>0</v>
      </c>
      <c r="AT292" s="405">
        <v>0</v>
      </c>
      <c r="AU292" s="405">
        <v>0</v>
      </c>
      <c r="AV292" s="405">
        <v>1714</v>
      </c>
      <c r="AW292" s="405">
        <v>29966563</v>
      </c>
      <c r="AX292" s="405">
        <v>10260486</v>
      </c>
      <c r="AY292" s="405">
        <v>149793</v>
      </c>
      <c r="AZ292" s="405">
        <v>43593</v>
      </c>
      <c r="BA292" s="405">
        <v>48930</v>
      </c>
      <c r="BB292" s="405">
        <v>44169</v>
      </c>
      <c r="BC292" s="405">
        <v>0</v>
      </c>
      <c r="BD292" s="405">
        <v>279088</v>
      </c>
      <c r="BE292" s="405">
        <v>10713</v>
      </c>
      <c r="BF292" s="405">
        <v>0</v>
      </c>
      <c r="BG292" s="405">
        <v>38928</v>
      </c>
      <c r="BH292" s="405">
        <v>2897678</v>
      </c>
      <c r="BI292" s="405">
        <v>0</v>
      </c>
      <c r="BJ292" s="405">
        <v>1162624</v>
      </c>
      <c r="BK292" s="405">
        <v>140509</v>
      </c>
      <c r="BL292" s="405">
        <v>0</v>
      </c>
      <c r="BM292" s="405">
        <v>0</v>
      </c>
      <c r="BN292" s="405">
        <v>2259395</v>
      </c>
      <c r="BO292" s="405">
        <v>6071173</v>
      </c>
      <c r="BP292" s="405">
        <v>0</v>
      </c>
      <c r="BQ292" s="405">
        <v>6459628</v>
      </c>
      <c r="BR292" s="405">
        <v>15108243</v>
      </c>
      <c r="BS292" s="405">
        <v>28788</v>
      </c>
      <c r="BT292" s="405">
        <v>275591</v>
      </c>
      <c r="BU292" s="405">
        <v>0</v>
      </c>
      <c r="BV292" s="405">
        <v>2809189</v>
      </c>
      <c r="BW292" s="405">
        <v>39756</v>
      </c>
      <c r="BX292" s="405">
        <v>138023</v>
      </c>
      <c r="BY292" s="405">
        <v>205897</v>
      </c>
      <c r="BZ292" s="405">
        <v>0</v>
      </c>
      <c r="CA292" s="405">
        <v>11569620</v>
      </c>
      <c r="CB292" s="405">
        <v>0</v>
      </c>
      <c r="CC292" s="405">
        <v>0</v>
      </c>
      <c r="CD292" s="405">
        <v>43928</v>
      </c>
      <c r="CE292" s="405">
        <v>0</v>
      </c>
      <c r="CF292" s="405">
        <v>0</v>
      </c>
    </row>
    <row r="293" spans="1:84" s="405" customFormat="1" x14ac:dyDescent="0.3">
      <c r="A293" s="405">
        <v>634</v>
      </c>
      <c r="B293" s="406">
        <v>634</v>
      </c>
      <c r="C293" s="405">
        <v>634</v>
      </c>
      <c r="D293" s="405" t="s">
        <v>742</v>
      </c>
      <c r="F293" s="405">
        <v>0</v>
      </c>
      <c r="G293" s="405">
        <v>0</v>
      </c>
      <c r="H293" s="405">
        <v>0</v>
      </c>
      <c r="I293" s="405">
        <v>0</v>
      </c>
      <c r="J293" s="405">
        <v>0</v>
      </c>
      <c r="K293" s="405">
        <v>0</v>
      </c>
      <c r="L293" s="405">
        <v>0</v>
      </c>
      <c r="M293" s="405">
        <v>0</v>
      </c>
      <c r="N293" s="405">
        <v>0</v>
      </c>
      <c r="O293" s="405">
        <v>0</v>
      </c>
      <c r="P293" s="405">
        <v>0</v>
      </c>
      <c r="Q293" s="405">
        <v>0</v>
      </c>
      <c r="R293" s="405">
        <v>0</v>
      </c>
      <c r="S293" s="405">
        <v>0</v>
      </c>
      <c r="T293" s="405">
        <v>0</v>
      </c>
      <c r="U293" s="405">
        <v>0</v>
      </c>
      <c r="V293" s="405">
        <v>0</v>
      </c>
      <c r="W293" s="405">
        <v>0</v>
      </c>
      <c r="X293" s="405">
        <v>0</v>
      </c>
      <c r="Y293" s="405">
        <v>0</v>
      </c>
      <c r="Z293" s="405">
        <v>0</v>
      </c>
      <c r="AA293" s="405">
        <v>0</v>
      </c>
      <c r="AB293" s="405">
        <v>0</v>
      </c>
      <c r="AC293" s="405">
        <v>0</v>
      </c>
      <c r="AD293" s="405">
        <v>0</v>
      </c>
      <c r="AE293" s="405">
        <v>0</v>
      </c>
      <c r="AF293" s="405">
        <v>0</v>
      </c>
      <c r="AG293" s="405">
        <v>0</v>
      </c>
      <c r="AH293" s="405">
        <v>0</v>
      </c>
      <c r="AI293" s="405">
        <v>0</v>
      </c>
      <c r="AJ293" s="405">
        <v>0</v>
      </c>
      <c r="AK293" s="405">
        <v>0</v>
      </c>
      <c r="AL293" s="405">
        <v>0</v>
      </c>
      <c r="AM293" s="405">
        <v>0</v>
      </c>
      <c r="AN293" s="405">
        <v>0</v>
      </c>
      <c r="AO293" s="405">
        <v>49000</v>
      </c>
      <c r="AP293" s="405">
        <v>0</v>
      </c>
      <c r="AQ293" s="405">
        <v>0</v>
      </c>
      <c r="AR293" s="405">
        <v>0</v>
      </c>
      <c r="AS293" s="405">
        <v>0</v>
      </c>
      <c r="AT293" s="405">
        <v>0</v>
      </c>
      <c r="AU293" s="405">
        <v>0</v>
      </c>
      <c r="AV293" s="405">
        <v>0</v>
      </c>
      <c r="AW293" s="405">
        <v>0</v>
      </c>
      <c r="AX293" s="405">
        <v>0</v>
      </c>
      <c r="AY293" s="405">
        <v>0</v>
      </c>
      <c r="AZ293" s="405">
        <v>0</v>
      </c>
      <c r="BA293" s="405">
        <v>0</v>
      </c>
      <c r="BB293" s="405">
        <v>0</v>
      </c>
      <c r="BC293" s="405">
        <v>0</v>
      </c>
      <c r="BD293" s="405">
        <v>0</v>
      </c>
      <c r="BE293" s="405">
        <v>0</v>
      </c>
      <c r="BF293" s="405">
        <v>0</v>
      </c>
      <c r="BG293" s="405">
        <v>17500</v>
      </c>
      <c r="BH293" s="405">
        <v>0</v>
      </c>
      <c r="BI293" s="405">
        <v>0</v>
      </c>
      <c r="BJ293" s="405">
        <v>0</v>
      </c>
      <c r="BK293" s="405">
        <v>0</v>
      </c>
      <c r="BL293" s="405">
        <v>0</v>
      </c>
      <c r="BM293" s="405">
        <v>0</v>
      </c>
      <c r="BN293" s="405">
        <v>0</v>
      </c>
      <c r="BO293" s="405">
        <v>0</v>
      </c>
      <c r="BP293" s="405">
        <v>0</v>
      </c>
      <c r="BQ293" s="405">
        <v>0</v>
      </c>
      <c r="BR293" s="405">
        <v>0</v>
      </c>
      <c r="BS293" s="405">
        <v>0</v>
      </c>
      <c r="BT293" s="405">
        <v>0</v>
      </c>
      <c r="BU293" s="405">
        <v>0</v>
      </c>
      <c r="BV293" s="405">
        <v>0</v>
      </c>
      <c r="BW293" s="405">
        <v>0</v>
      </c>
      <c r="BX293" s="405">
        <v>0</v>
      </c>
      <c r="BY293" s="405">
        <v>0</v>
      </c>
      <c r="BZ293" s="405">
        <v>0</v>
      </c>
      <c r="CA293" s="405">
        <v>0</v>
      </c>
      <c r="CB293" s="405">
        <v>0</v>
      </c>
      <c r="CC293" s="405">
        <v>0</v>
      </c>
      <c r="CD293" s="405">
        <v>0</v>
      </c>
      <c r="CE293" s="405">
        <v>0</v>
      </c>
      <c r="CF293" s="405">
        <v>0</v>
      </c>
    </row>
    <row r="294" spans="1:84" s="405" customFormat="1" x14ac:dyDescent="0.3">
      <c r="A294" s="405">
        <v>635</v>
      </c>
      <c r="B294" s="406">
        <v>635</v>
      </c>
      <c r="C294" s="405">
        <v>635</v>
      </c>
      <c r="D294" s="405" t="s">
        <v>743</v>
      </c>
      <c r="F294" s="405">
        <v>0</v>
      </c>
      <c r="G294" s="405">
        <v>0</v>
      </c>
      <c r="H294" s="405">
        <v>0</v>
      </c>
      <c r="I294" s="405">
        <v>4623</v>
      </c>
      <c r="J294" s="405">
        <v>0</v>
      </c>
      <c r="K294" s="405">
        <v>0</v>
      </c>
      <c r="L294" s="405">
        <v>0</v>
      </c>
      <c r="M294" s="405">
        <v>0</v>
      </c>
      <c r="N294" s="405">
        <v>9000</v>
      </c>
      <c r="O294" s="405">
        <v>0</v>
      </c>
      <c r="P294" s="405">
        <v>0</v>
      </c>
      <c r="Q294" s="405">
        <v>0</v>
      </c>
      <c r="R294" s="405">
        <v>0</v>
      </c>
      <c r="S294" s="405">
        <v>60000</v>
      </c>
      <c r="T294" s="405">
        <v>0</v>
      </c>
      <c r="U294" s="405">
        <v>573</v>
      </c>
      <c r="V294" s="405">
        <v>0</v>
      </c>
      <c r="W294" s="405">
        <v>1750</v>
      </c>
      <c r="X294" s="405">
        <v>29565</v>
      </c>
      <c r="Y294" s="405">
        <v>0</v>
      </c>
      <c r="Z294" s="405">
        <v>0</v>
      </c>
      <c r="AA294" s="405">
        <v>0</v>
      </c>
      <c r="AB294" s="405">
        <v>30000</v>
      </c>
      <c r="AC294" s="405">
        <v>0</v>
      </c>
      <c r="AD294" s="405">
        <v>789</v>
      </c>
      <c r="AE294" s="405">
        <v>0</v>
      </c>
      <c r="AF294" s="405">
        <v>0</v>
      </c>
      <c r="AG294" s="405">
        <v>0</v>
      </c>
      <c r="AH294" s="405">
        <v>394069</v>
      </c>
      <c r="AI294" s="405">
        <v>0</v>
      </c>
      <c r="AJ294" s="405">
        <v>0</v>
      </c>
      <c r="AK294" s="405">
        <v>0</v>
      </c>
      <c r="AL294" s="405">
        <v>0</v>
      </c>
      <c r="AM294" s="405">
        <v>0</v>
      </c>
      <c r="AN294" s="405">
        <v>0</v>
      </c>
      <c r="AO294" s="405">
        <v>0</v>
      </c>
      <c r="AP294" s="405">
        <v>30743</v>
      </c>
      <c r="AQ294" s="405">
        <v>0</v>
      </c>
      <c r="AR294" s="405">
        <v>37157</v>
      </c>
      <c r="AS294" s="405">
        <v>0</v>
      </c>
      <c r="AT294" s="405">
        <v>0</v>
      </c>
      <c r="AU294" s="405">
        <v>0</v>
      </c>
      <c r="AV294" s="405">
        <v>0</v>
      </c>
      <c r="AW294" s="405">
        <v>989414</v>
      </c>
      <c r="AX294" s="405">
        <v>705937</v>
      </c>
      <c r="AY294" s="405">
        <v>4000</v>
      </c>
      <c r="AZ294" s="405">
        <v>0</v>
      </c>
      <c r="BA294" s="405">
        <v>0</v>
      </c>
      <c r="BB294" s="405">
        <v>0</v>
      </c>
      <c r="BC294" s="405">
        <v>0</v>
      </c>
      <c r="BD294" s="405">
        <v>45180</v>
      </c>
      <c r="BE294" s="405">
        <v>0</v>
      </c>
      <c r="BF294" s="405">
        <v>0</v>
      </c>
      <c r="BG294" s="405">
        <v>0</v>
      </c>
      <c r="BH294" s="405">
        <v>121863</v>
      </c>
      <c r="BI294" s="405">
        <v>0</v>
      </c>
      <c r="BJ294" s="405">
        <v>7208</v>
      </c>
      <c r="BK294" s="405">
        <v>12298</v>
      </c>
      <c r="BL294" s="405">
        <v>0</v>
      </c>
      <c r="BM294" s="405">
        <v>0</v>
      </c>
      <c r="BN294" s="405">
        <v>42986</v>
      </c>
      <c r="BO294" s="405">
        <v>224453</v>
      </c>
      <c r="BP294" s="405">
        <v>0</v>
      </c>
      <c r="BQ294" s="405">
        <v>177957</v>
      </c>
      <c r="BR294" s="405">
        <v>341644</v>
      </c>
      <c r="BS294" s="405">
        <v>0</v>
      </c>
      <c r="BT294" s="405">
        <v>54757</v>
      </c>
      <c r="BU294" s="405">
        <v>0</v>
      </c>
      <c r="BV294" s="405">
        <v>105422</v>
      </c>
      <c r="BW294" s="405">
        <v>1288</v>
      </c>
      <c r="BX294" s="405">
        <v>0</v>
      </c>
      <c r="BY294" s="405">
        <v>6387</v>
      </c>
      <c r="BZ294" s="405">
        <v>0</v>
      </c>
      <c r="CA294" s="405">
        <v>165921</v>
      </c>
      <c r="CB294" s="405">
        <v>0</v>
      </c>
      <c r="CC294" s="405">
        <v>0</v>
      </c>
      <c r="CD294" s="405">
        <v>0</v>
      </c>
      <c r="CE294" s="405">
        <v>0</v>
      </c>
      <c r="CF294" s="405">
        <v>0</v>
      </c>
    </row>
    <row r="295" spans="1:84" s="405" customFormat="1" x14ac:dyDescent="0.3">
      <c r="A295" s="405">
        <v>636</v>
      </c>
      <c r="B295" s="406">
        <v>636</v>
      </c>
      <c r="C295" s="405">
        <v>636</v>
      </c>
      <c r="D295" s="405" t="s">
        <v>738</v>
      </c>
      <c r="F295" s="405">
        <v>0</v>
      </c>
      <c r="G295" s="405">
        <v>0</v>
      </c>
      <c r="H295" s="405">
        <v>0</v>
      </c>
      <c r="I295" s="405">
        <v>0</v>
      </c>
      <c r="J295" s="405">
        <v>0</v>
      </c>
      <c r="K295" s="405">
        <v>0</v>
      </c>
      <c r="L295" s="405">
        <v>0</v>
      </c>
      <c r="M295" s="405">
        <v>0</v>
      </c>
      <c r="N295" s="405">
        <v>0</v>
      </c>
      <c r="O295" s="405">
        <v>0</v>
      </c>
      <c r="P295" s="405">
        <v>0</v>
      </c>
      <c r="Q295" s="405">
        <v>0</v>
      </c>
      <c r="R295" s="405">
        <v>0</v>
      </c>
      <c r="S295" s="405">
        <v>0</v>
      </c>
      <c r="T295" s="405">
        <v>0</v>
      </c>
      <c r="U295" s="405">
        <v>0</v>
      </c>
      <c r="V295" s="405">
        <v>0</v>
      </c>
      <c r="W295" s="405">
        <v>0</v>
      </c>
      <c r="X295" s="405">
        <v>0</v>
      </c>
      <c r="Y295" s="405">
        <v>0</v>
      </c>
      <c r="Z295" s="405">
        <v>0</v>
      </c>
      <c r="AA295" s="405">
        <v>0</v>
      </c>
      <c r="AB295" s="405">
        <v>0</v>
      </c>
      <c r="AC295" s="405">
        <v>0</v>
      </c>
      <c r="AD295" s="405">
        <v>0</v>
      </c>
      <c r="AE295" s="405">
        <v>0</v>
      </c>
      <c r="AF295" s="405">
        <v>0</v>
      </c>
      <c r="AG295" s="405">
        <v>0</v>
      </c>
      <c r="AH295" s="405">
        <v>0</v>
      </c>
      <c r="AI295" s="405">
        <v>0</v>
      </c>
      <c r="AJ295" s="405">
        <v>8488</v>
      </c>
      <c r="AK295" s="405">
        <v>0</v>
      </c>
      <c r="AL295" s="405">
        <v>0</v>
      </c>
      <c r="AM295" s="405">
        <v>0</v>
      </c>
      <c r="AN295" s="405">
        <v>0</v>
      </c>
      <c r="AO295" s="405">
        <v>0</v>
      </c>
      <c r="AP295" s="405">
        <v>0</v>
      </c>
      <c r="AQ295" s="405">
        <v>0</v>
      </c>
      <c r="AR295" s="405">
        <v>0</v>
      </c>
      <c r="AS295" s="405">
        <v>0</v>
      </c>
      <c r="AT295" s="405">
        <v>0</v>
      </c>
      <c r="AU295" s="405">
        <v>0</v>
      </c>
      <c r="AV295" s="405">
        <v>0</v>
      </c>
      <c r="AW295" s="405">
        <v>0</v>
      </c>
      <c r="AX295" s="405">
        <v>0</v>
      </c>
      <c r="AY295" s="405">
        <v>0</v>
      </c>
      <c r="AZ295" s="405">
        <v>0</v>
      </c>
      <c r="BA295" s="405">
        <v>0</v>
      </c>
      <c r="BB295" s="405">
        <v>0</v>
      </c>
      <c r="BC295" s="405">
        <v>0</v>
      </c>
      <c r="BD295" s="405">
        <v>0</v>
      </c>
      <c r="BE295" s="405">
        <v>0</v>
      </c>
      <c r="BF295" s="405">
        <v>0</v>
      </c>
      <c r="BG295" s="405">
        <v>0</v>
      </c>
      <c r="BH295" s="405">
        <v>0</v>
      </c>
      <c r="BI295" s="405">
        <v>0</v>
      </c>
      <c r="BJ295" s="405">
        <v>0</v>
      </c>
      <c r="BK295" s="405">
        <v>0</v>
      </c>
      <c r="BL295" s="405">
        <v>0</v>
      </c>
      <c r="BM295" s="405">
        <v>0</v>
      </c>
      <c r="BN295" s="405">
        <v>0</v>
      </c>
      <c r="BO295" s="405">
        <v>0</v>
      </c>
      <c r="BP295" s="405">
        <v>0</v>
      </c>
      <c r="BQ295" s="405">
        <v>0</v>
      </c>
      <c r="BR295" s="405">
        <v>0</v>
      </c>
      <c r="BS295" s="405">
        <v>0</v>
      </c>
      <c r="BT295" s="405">
        <v>0</v>
      </c>
      <c r="BU295" s="405">
        <v>0</v>
      </c>
      <c r="BV295" s="405">
        <v>0</v>
      </c>
      <c r="BW295" s="405">
        <v>0</v>
      </c>
      <c r="BX295" s="405">
        <v>0</v>
      </c>
      <c r="BY295" s="405">
        <v>0</v>
      </c>
      <c r="BZ295" s="405">
        <v>0</v>
      </c>
      <c r="CA295" s="405">
        <v>0</v>
      </c>
      <c r="CB295" s="405">
        <v>0</v>
      </c>
      <c r="CC295" s="405">
        <v>0</v>
      </c>
      <c r="CD295" s="405">
        <v>0</v>
      </c>
      <c r="CE295" s="405">
        <v>0</v>
      </c>
      <c r="CF295" s="405">
        <v>0</v>
      </c>
    </row>
    <row r="296" spans="1:84" s="405" customFormat="1" x14ac:dyDescent="0.3">
      <c r="A296" s="405">
        <v>637</v>
      </c>
      <c r="B296" s="406">
        <v>637</v>
      </c>
      <c r="C296" s="405">
        <v>637</v>
      </c>
      <c r="D296" s="405" t="s">
        <v>739</v>
      </c>
      <c r="F296" s="405">
        <v>0</v>
      </c>
      <c r="G296" s="405">
        <v>0</v>
      </c>
      <c r="H296" s="405">
        <v>0</v>
      </c>
      <c r="I296" s="405">
        <v>0</v>
      </c>
      <c r="J296" s="405">
        <v>0</v>
      </c>
      <c r="K296" s="405">
        <v>0</v>
      </c>
      <c r="L296" s="405">
        <v>0</v>
      </c>
      <c r="M296" s="405">
        <v>0</v>
      </c>
      <c r="N296" s="405">
        <v>0</v>
      </c>
      <c r="O296" s="405">
        <v>0</v>
      </c>
      <c r="P296" s="405">
        <v>0</v>
      </c>
      <c r="Q296" s="405">
        <v>0</v>
      </c>
      <c r="R296" s="405">
        <v>800</v>
      </c>
      <c r="S296" s="405">
        <v>111910</v>
      </c>
      <c r="T296" s="405">
        <v>0</v>
      </c>
      <c r="U296" s="405">
        <v>20588</v>
      </c>
      <c r="V296" s="405">
        <v>0</v>
      </c>
      <c r="W296" s="405">
        <v>0</v>
      </c>
      <c r="X296" s="405">
        <v>41280</v>
      </c>
      <c r="Y296" s="405">
        <v>0</v>
      </c>
      <c r="Z296" s="405">
        <v>0</v>
      </c>
      <c r="AA296" s="405">
        <v>15730</v>
      </c>
      <c r="AB296" s="405">
        <v>236801</v>
      </c>
      <c r="AC296" s="405">
        <v>0</v>
      </c>
      <c r="AD296" s="405">
        <v>0</v>
      </c>
      <c r="AE296" s="405">
        <v>0</v>
      </c>
      <c r="AF296" s="405">
        <v>0</v>
      </c>
      <c r="AG296" s="405">
        <v>0</v>
      </c>
      <c r="AH296" s="405">
        <v>494764</v>
      </c>
      <c r="AI296" s="405">
        <v>1959</v>
      </c>
      <c r="AJ296" s="405">
        <v>16786</v>
      </c>
      <c r="AK296" s="405">
        <v>64710</v>
      </c>
      <c r="AL296" s="405">
        <v>0</v>
      </c>
      <c r="AM296" s="405">
        <v>6200</v>
      </c>
      <c r="AN296" s="405">
        <v>0</v>
      </c>
      <c r="AO296" s="405">
        <v>0</v>
      </c>
      <c r="AP296" s="405">
        <v>0</v>
      </c>
      <c r="AQ296" s="405">
        <v>0</v>
      </c>
      <c r="AR296" s="405">
        <v>110976</v>
      </c>
      <c r="AS296" s="405">
        <v>0</v>
      </c>
      <c r="AT296" s="405">
        <v>0</v>
      </c>
      <c r="AU296" s="405">
        <v>0</v>
      </c>
      <c r="AV296" s="405">
        <v>0</v>
      </c>
      <c r="AW296" s="405">
        <v>0</v>
      </c>
      <c r="AX296" s="405">
        <v>0</v>
      </c>
      <c r="AY296" s="405">
        <v>0</v>
      </c>
      <c r="AZ296" s="405">
        <v>0</v>
      </c>
      <c r="BA296" s="405">
        <v>0</v>
      </c>
      <c r="BB296" s="405">
        <v>0</v>
      </c>
      <c r="BC296" s="405">
        <v>0</v>
      </c>
      <c r="BD296" s="405">
        <v>0</v>
      </c>
      <c r="BE296" s="405">
        <v>4986</v>
      </c>
      <c r="BF296" s="405">
        <v>0</v>
      </c>
      <c r="BG296" s="405">
        <v>0</v>
      </c>
      <c r="BH296" s="405">
        <v>290021</v>
      </c>
      <c r="BI296" s="405">
        <v>0</v>
      </c>
      <c r="BJ296" s="405">
        <v>0</v>
      </c>
      <c r="BK296" s="405">
        <v>0</v>
      </c>
      <c r="BL296" s="405">
        <v>0</v>
      </c>
      <c r="BM296" s="405">
        <v>0</v>
      </c>
      <c r="BN296" s="405">
        <v>0</v>
      </c>
      <c r="BO296" s="405">
        <v>1608141</v>
      </c>
      <c r="BP296" s="405">
        <v>0</v>
      </c>
      <c r="BQ296" s="405">
        <v>699142</v>
      </c>
      <c r="BR296" s="405">
        <v>426220</v>
      </c>
      <c r="BS296" s="405">
        <v>18950</v>
      </c>
      <c r="BT296" s="405">
        <v>4969</v>
      </c>
      <c r="BU296" s="405">
        <v>0</v>
      </c>
      <c r="BV296" s="405">
        <v>0</v>
      </c>
      <c r="BW296" s="405">
        <v>0</v>
      </c>
      <c r="BX296" s="405">
        <v>0</v>
      </c>
      <c r="BY296" s="405">
        <v>0</v>
      </c>
      <c r="BZ296" s="405">
        <v>0</v>
      </c>
      <c r="CA296" s="405">
        <v>0</v>
      </c>
      <c r="CB296" s="405">
        <v>0</v>
      </c>
      <c r="CC296" s="405">
        <v>0</v>
      </c>
      <c r="CD296" s="405">
        <v>9290</v>
      </c>
      <c r="CE296" s="405">
        <v>0</v>
      </c>
      <c r="CF296" s="405">
        <v>0</v>
      </c>
    </row>
    <row r="297" spans="1:84" s="405" customFormat="1" x14ac:dyDescent="0.3">
      <c r="A297" s="405">
        <v>638</v>
      </c>
      <c r="B297" s="406">
        <v>638</v>
      </c>
      <c r="C297" s="405">
        <v>638</v>
      </c>
      <c r="D297" s="405" t="s">
        <v>744</v>
      </c>
      <c r="F297" s="405">
        <v>0</v>
      </c>
      <c r="G297" s="405">
        <v>0</v>
      </c>
      <c r="H297" s="405">
        <v>0</v>
      </c>
      <c r="I297" s="405">
        <v>0</v>
      </c>
      <c r="J297" s="405">
        <v>0</v>
      </c>
      <c r="K297" s="405">
        <v>0</v>
      </c>
      <c r="L297" s="405">
        <v>0</v>
      </c>
      <c r="M297" s="405">
        <v>0</v>
      </c>
      <c r="N297" s="405">
        <v>0</v>
      </c>
      <c r="O297" s="405">
        <v>0</v>
      </c>
      <c r="P297" s="405">
        <v>0</v>
      </c>
      <c r="Q297" s="405">
        <v>0</v>
      </c>
      <c r="R297" s="405">
        <v>0</v>
      </c>
      <c r="S297" s="405">
        <v>0</v>
      </c>
      <c r="T297" s="405">
        <v>0</v>
      </c>
      <c r="U297" s="405">
        <v>0</v>
      </c>
      <c r="V297" s="405">
        <v>0</v>
      </c>
      <c r="W297" s="405">
        <v>0</v>
      </c>
      <c r="X297" s="405">
        <v>0</v>
      </c>
      <c r="Y297" s="405">
        <v>0</v>
      </c>
      <c r="Z297" s="405">
        <v>0</v>
      </c>
      <c r="AA297" s="405">
        <v>0</v>
      </c>
      <c r="AB297" s="405">
        <v>0</v>
      </c>
      <c r="AC297" s="405">
        <v>0</v>
      </c>
      <c r="AD297" s="405">
        <v>0</v>
      </c>
      <c r="AE297" s="405">
        <v>0</v>
      </c>
      <c r="AF297" s="405">
        <v>0</v>
      </c>
      <c r="AG297" s="405">
        <v>0</v>
      </c>
      <c r="AH297" s="405">
        <v>0</v>
      </c>
      <c r="AI297" s="405">
        <v>0</v>
      </c>
      <c r="AJ297" s="405">
        <v>0</v>
      </c>
      <c r="AK297" s="405">
        <v>0</v>
      </c>
      <c r="AL297" s="405">
        <v>0</v>
      </c>
      <c r="AM297" s="405">
        <v>0</v>
      </c>
      <c r="AN297" s="405">
        <v>0</v>
      </c>
      <c r="AO297" s="405">
        <v>0</v>
      </c>
      <c r="AP297" s="405">
        <v>0</v>
      </c>
      <c r="AQ297" s="405">
        <v>0</v>
      </c>
      <c r="AR297" s="405">
        <v>0</v>
      </c>
      <c r="AS297" s="405">
        <v>0</v>
      </c>
      <c r="AT297" s="405">
        <v>0</v>
      </c>
      <c r="AU297" s="405">
        <v>0</v>
      </c>
      <c r="AV297" s="405">
        <v>0</v>
      </c>
      <c r="AW297" s="405">
        <v>0</v>
      </c>
      <c r="AX297" s="405">
        <v>0</v>
      </c>
      <c r="AY297" s="405">
        <v>0</v>
      </c>
      <c r="AZ297" s="405">
        <v>0</v>
      </c>
      <c r="BA297" s="405">
        <v>0</v>
      </c>
      <c r="BB297" s="405">
        <v>0</v>
      </c>
      <c r="BC297" s="405">
        <v>0</v>
      </c>
      <c r="BD297" s="405">
        <v>0</v>
      </c>
      <c r="BE297" s="405">
        <v>0</v>
      </c>
      <c r="BF297" s="405">
        <v>0</v>
      </c>
      <c r="BG297" s="405">
        <v>0</v>
      </c>
      <c r="BH297" s="405">
        <v>0</v>
      </c>
      <c r="BI297" s="405">
        <v>0</v>
      </c>
      <c r="BJ297" s="405">
        <v>0</v>
      </c>
      <c r="BK297" s="405">
        <v>0</v>
      </c>
      <c r="BL297" s="405">
        <v>0</v>
      </c>
      <c r="BM297" s="405">
        <v>0</v>
      </c>
      <c r="BN297" s="405">
        <v>0</v>
      </c>
      <c r="BO297" s="405">
        <v>0</v>
      </c>
      <c r="BP297" s="405">
        <v>0</v>
      </c>
      <c r="BQ297" s="405">
        <v>0</v>
      </c>
      <c r="BR297" s="405">
        <v>0</v>
      </c>
      <c r="BS297" s="405">
        <v>0</v>
      </c>
      <c r="BT297" s="405">
        <v>0</v>
      </c>
      <c r="BU297" s="405">
        <v>0</v>
      </c>
      <c r="BV297" s="405">
        <v>0</v>
      </c>
      <c r="BW297" s="405">
        <v>0</v>
      </c>
      <c r="BX297" s="405">
        <v>0</v>
      </c>
      <c r="BY297" s="405">
        <v>0</v>
      </c>
      <c r="BZ297" s="405">
        <v>0</v>
      </c>
      <c r="CA297" s="405">
        <v>0</v>
      </c>
      <c r="CB297" s="405">
        <v>0</v>
      </c>
      <c r="CC297" s="405">
        <v>0</v>
      </c>
      <c r="CD297" s="405">
        <v>0</v>
      </c>
      <c r="CE297" s="405">
        <v>0</v>
      </c>
      <c r="CF297" s="405">
        <v>0</v>
      </c>
    </row>
    <row r="298" spans="1:84" s="405" customFormat="1" x14ac:dyDescent="0.3">
      <c r="A298" s="405">
        <v>639</v>
      </c>
      <c r="B298" s="406">
        <v>639</v>
      </c>
      <c r="C298" s="405">
        <v>639</v>
      </c>
      <c r="D298" s="405" t="s">
        <v>745</v>
      </c>
      <c r="F298" s="405">
        <v>0</v>
      </c>
      <c r="G298" s="405">
        <v>0</v>
      </c>
      <c r="H298" s="405">
        <v>0</v>
      </c>
      <c r="I298" s="405">
        <v>0</v>
      </c>
      <c r="J298" s="405">
        <v>0</v>
      </c>
      <c r="K298" s="405">
        <v>0</v>
      </c>
      <c r="L298" s="405">
        <v>0</v>
      </c>
      <c r="M298" s="405">
        <v>0</v>
      </c>
      <c r="N298" s="405">
        <v>1031323</v>
      </c>
      <c r="O298" s="405">
        <v>0</v>
      </c>
      <c r="P298" s="405">
        <v>0</v>
      </c>
      <c r="Q298" s="405">
        <v>0</v>
      </c>
      <c r="R298" s="405">
        <v>0</v>
      </c>
      <c r="S298" s="405">
        <v>400876</v>
      </c>
      <c r="T298" s="405">
        <v>0</v>
      </c>
      <c r="U298" s="405">
        <v>169091</v>
      </c>
      <c r="V298" s="405">
        <v>0</v>
      </c>
      <c r="W298" s="405">
        <v>0</v>
      </c>
      <c r="X298" s="405">
        <v>0</v>
      </c>
      <c r="Y298" s="405">
        <v>0</v>
      </c>
      <c r="Z298" s="405">
        <v>0</v>
      </c>
      <c r="AA298" s="405">
        <v>152546</v>
      </c>
      <c r="AB298" s="405">
        <v>0</v>
      </c>
      <c r="AC298" s="405">
        <v>0</v>
      </c>
      <c r="AD298" s="405">
        <v>0</v>
      </c>
      <c r="AE298" s="405">
        <v>0</v>
      </c>
      <c r="AF298" s="405">
        <v>0</v>
      </c>
      <c r="AG298" s="405">
        <v>0</v>
      </c>
      <c r="AH298" s="405">
        <v>7504981</v>
      </c>
      <c r="AI298" s="405">
        <v>0</v>
      </c>
      <c r="AJ298" s="405">
        <v>0</v>
      </c>
      <c r="AK298" s="405">
        <v>0</v>
      </c>
      <c r="AL298" s="405">
        <v>0</v>
      </c>
      <c r="AM298" s="405">
        <v>0</v>
      </c>
      <c r="AN298" s="405">
        <v>0</v>
      </c>
      <c r="AO298" s="405">
        <v>0</v>
      </c>
      <c r="AP298" s="405">
        <v>0</v>
      </c>
      <c r="AQ298" s="405">
        <v>0</v>
      </c>
      <c r="AR298" s="405">
        <v>830874</v>
      </c>
      <c r="AS298" s="405">
        <v>0</v>
      </c>
      <c r="AT298" s="405">
        <v>0</v>
      </c>
      <c r="AU298" s="405">
        <v>0</v>
      </c>
      <c r="AV298" s="405">
        <v>0</v>
      </c>
      <c r="AW298" s="405">
        <v>0</v>
      </c>
      <c r="AX298" s="405">
        <v>21572802</v>
      </c>
      <c r="AY298" s="405">
        <v>0</v>
      </c>
      <c r="AZ298" s="405">
        <v>0</v>
      </c>
      <c r="BA298" s="405">
        <v>0</v>
      </c>
      <c r="BB298" s="405">
        <v>0</v>
      </c>
      <c r="BC298" s="405">
        <v>0</v>
      </c>
      <c r="BD298" s="405">
        <v>0</v>
      </c>
      <c r="BE298" s="405">
        <v>0</v>
      </c>
      <c r="BF298" s="405">
        <v>0</v>
      </c>
      <c r="BG298" s="405">
        <v>0</v>
      </c>
      <c r="BH298" s="405">
        <v>0</v>
      </c>
      <c r="BI298" s="405">
        <v>0</v>
      </c>
      <c r="BJ298" s="405">
        <v>0</v>
      </c>
      <c r="BK298" s="405">
        <v>0</v>
      </c>
      <c r="BL298" s="405">
        <v>0</v>
      </c>
      <c r="BM298" s="405">
        <v>0</v>
      </c>
      <c r="BN298" s="405">
        <v>0</v>
      </c>
      <c r="BO298" s="405">
        <v>0</v>
      </c>
      <c r="BP298" s="405">
        <v>0</v>
      </c>
      <c r="BQ298" s="405">
        <v>0</v>
      </c>
      <c r="BR298" s="405">
        <v>13295177</v>
      </c>
      <c r="BS298" s="405">
        <v>0</v>
      </c>
      <c r="BT298" s="405">
        <v>442885</v>
      </c>
      <c r="BU298" s="405">
        <v>0</v>
      </c>
      <c r="BV298" s="405">
        <v>0</v>
      </c>
      <c r="BW298" s="405">
        <v>84642</v>
      </c>
      <c r="BX298" s="405">
        <v>0</v>
      </c>
      <c r="BY298" s="405">
        <v>0</v>
      </c>
      <c r="BZ298" s="405">
        <v>0</v>
      </c>
      <c r="CA298" s="405">
        <v>0</v>
      </c>
      <c r="CB298" s="405">
        <v>0</v>
      </c>
      <c r="CC298" s="405">
        <v>0</v>
      </c>
      <c r="CD298" s="405">
        <v>0</v>
      </c>
      <c r="CE298" s="405">
        <v>0</v>
      </c>
      <c r="CF298" s="405">
        <v>2195854</v>
      </c>
    </row>
    <row r="299" spans="1:84" s="405" customFormat="1" x14ac:dyDescent="0.3">
      <c r="A299" s="405">
        <v>640</v>
      </c>
      <c r="B299" s="406">
        <v>640</v>
      </c>
      <c r="C299" s="405">
        <v>640</v>
      </c>
      <c r="D299" s="405" t="s">
        <v>746</v>
      </c>
      <c r="F299" s="405">
        <v>0</v>
      </c>
      <c r="G299" s="405">
        <v>0</v>
      </c>
      <c r="H299" s="405">
        <v>0</v>
      </c>
      <c r="I299" s="405">
        <v>0</v>
      </c>
      <c r="J299" s="405">
        <v>0</v>
      </c>
      <c r="K299" s="405">
        <v>0</v>
      </c>
      <c r="L299" s="405">
        <v>0</v>
      </c>
      <c r="M299" s="405">
        <v>0</v>
      </c>
      <c r="N299" s="405">
        <v>0</v>
      </c>
      <c r="O299" s="405">
        <v>0</v>
      </c>
      <c r="P299" s="405">
        <v>0</v>
      </c>
      <c r="Q299" s="405">
        <v>0</v>
      </c>
      <c r="R299" s="405">
        <v>0</v>
      </c>
      <c r="S299" s="405">
        <v>0</v>
      </c>
      <c r="T299" s="405">
        <v>0</v>
      </c>
      <c r="U299" s="405">
        <v>0</v>
      </c>
      <c r="V299" s="405">
        <v>0</v>
      </c>
      <c r="W299" s="405">
        <v>0</v>
      </c>
      <c r="X299" s="405">
        <v>0</v>
      </c>
      <c r="Y299" s="405">
        <v>0</v>
      </c>
      <c r="Z299" s="405">
        <v>0</v>
      </c>
      <c r="AA299" s="405">
        <v>0</v>
      </c>
      <c r="AB299" s="405">
        <v>0</v>
      </c>
      <c r="AC299" s="405">
        <v>0</v>
      </c>
      <c r="AD299" s="405">
        <v>0</v>
      </c>
      <c r="AE299" s="405">
        <v>0</v>
      </c>
      <c r="AF299" s="405">
        <v>0</v>
      </c>
      <c r="AG299" s="405">
        <v>0</v>
      </c>
      <c r="AH299" s="405">
        <v>0</v>
      </c>
      <c r="AI299" s="405">
        <v>0</v>
      </c>
      <c r="AJ299" s="405">
        <v>0</v>
      </c>
      <c r="AK299" s="405">
        <v>0</v>
      </c>
      <c r="AL299" s="405">
        <v>0</v>
      </c>
      <c r="AM299" s="405">
        <v>0</v>
      </c>
      <c r="AN299" s="405">
        <v>0</v>
      </c>
      <c r="AO299" s="405">
        <v>0</v>
      </c>
      <c r="AP299" s="405">
        <v>0</v>
      </c>
      <c r="AQ299" s="405">
        <v>0</v>
      </c>
      <c r="AR299" s="405">
        <v>0</v>
      </c>
      <c r="AS299" s="405">
        <v>0</v>
      </c>
      <c r="AT299" s="405">
        <v>0</v>
      </c>
      <c r="AU299" s="405">
        <v>0</v>
      </c>
      <c r="AV299" s="405">
        <v>0</v>
      </c>
      <c r="AW299" s="405">
        <v>0</v>
      </c>
      <c r="AX299" s="405">
        <v>0</v>
      </c>
      <c r="AY299" s="405">
        <v>0</v>
      </c>
      <c r="AZ299" s="405">
        <v>0</v>
      </c>
      <c r="BA299" s="405">
        <v>0</v>
      </c>
      <c r="BB299" s="405">
        <v>0</v>
      </c>
      <c r="BC299" s="405">
        <v>0</v>
      </c>
      <c r="BD299" s="405">
        <v>0</v>
      </c>
      <c r="BE299" s="405">
        <v>0</v>
      </c>
      <c r="BF299" s="405">
        <v>0</v>
      </c>
      <c r="BG299" s="405">
        <v>0</v>
      </c>
      <c r="BH299" s="405">
        <v>0</v>
      </c>
      <c r="BI299" s="405">
        <v>0</v>
      </c>
      <c r="BJ299" s="405">
        <v>0</v>
      </c>
      <c r="BK299" s="405">
        <v>0</v>
      </c>
      <c r="BL299" s="405">
        <v>0</v>
      </c>
      <c r="BM299" s="405">
        <v>0</v>
      </c>
      <c r="BN299" s="405">
        <v>0</v>
      </c>
      <c r="BO299" s="405">
        <v>0</v>
      </c>
      <c r="BP299" s="405">
        <v>0</v>
      </c>
      <c r="BQ299" s="405">
        <v>0</v>
      </c>
      <c r="BR299" s="405">
        <v>0</v>
      </c>
      <c r="BS299" s="405">
        <v>0</v>
      </c>
      <c r="BT299" s="405">
        <v>0</v>
      </c>
      <c r="BU299" s="405">
        <v>0</v>
      </c>
      <c r="BV299" s="405">
        <v>0</v>
      </c>
      <c r="BW299" s="405">
        <v>0</v>
      </c>
      <c r="BX299" s="405">
        <v>0</v>
      </c>
      <c r="BY299" s="405">
        <v>0</v>
      </c>
      <c r="BZ299" s="405">
        <v>0</v>
      </c>
      <c r="CA299" s="405">
        <v>0</v>
      </c>
      <c r="CB299" s="405">
        <v>0</v>
      </c>
      <c r="CC299" s="405">
        <v>0</v>
      </c>
      <c r="CD299" s="405">
        <v>0</v>
      </c>
      <c r="CE299" s="405">
        <v>0</v>
      </c>
      <c r="CF299" s="405">
        <v>0</v>
      </c>
    </row>
    <row r="300" spans="1:84" s="405" customFormat="1" x14ac:dyDescent="0.3">
      <c r="A300" s="405">
        <v>641</v>
      </c>
      <c r="B300" s="406">
        <v>641</v>
      </c>
      <c r="C300" s="405">
        <v>641</v>
      </c>
      <c r="D300" s="405" t="s">
        <v>747</v>
      </c>
      <c r="F300" s="405">
        <v>0</v>
      </c>
      <c r="G300" s="405">
        <v>0</v>
      </c>
      <c r="H300" s="405">
        <v>0</v>
      </c>
      <c r="I300" s="405">
        <v>0</v>
      </c>
      <c r="J300" s="405">
        <v>0</v>
      </c>
      <c r="K300" s="405">
        <v>0</v>
      </c>
      <c r="L300" s="405">
        <v>0</v>
      </c>
      <c r="M300" s="405">
        <v>0</v>
      </c>
      <c r="N300" s="405">
        <v>13000</v>
      </c>
      <c r="O300" s="405">
        <v>0</v>
      </c>
      <c r="P300" s="405">
        <v>0</v>
      </c>
      <c r="Q300" s="405">
        <v>0</v>
      </c>
      <c r="R300" s="405">
        <v>0</v>
      </c>
      <c r="S300" s="405">
        <v>20000</v>
      </c>
      <c r="T300" s="405">
        <v>0</v>
      </c>
      <c r="U300" s="405">
        <v>4011</v>
      </c>
      <c r="V300" s="405">
        <v>0</v>
      </c>
      <c r="W300" s="405">
        <v>0</v>
      </c>
      <c r="X300" s="405">
        <v>0</v>
      </c>
      <c r="Y300" s="405">
        <v>0</v>
      </c>
      <c r="Z300" s="405">
        <v>0</v>
      </c>
      <c r="AA300" s="405">
        <v>0</v>
      </c>
      <c r="AB300" s="405">
        <v>0</v>
      </c>
      <c r="AC300" s="405">
        <v>0</v>
      </c>
      <c r="AD300" s="405">
        <v>0</v>
      </c>
      <c r="AE300" s="405">
        <v>0</v>
      </c>
      <c r="AF300" s="405">
        <v>0</v>
      </c>
      <c r="AG300" s="405">
        <v>0</v>
      </c>
      <c r="AH300" s="405">
        <v>212732</v>
      </c>
      <c r="AI300" s="405">
        <v>0</v>
      </c>
      <c r="AJ300" s="405">
        <v>0</v>
      </c>
      <c r="AK300" s="405">
        <v>0</v>
      </c>
      <c r="AL300" s="405">
        <v>0</v>
      </c>
      <c r="AM300" s="405">
        <v>0</v>
      </c>
      <c r="AN300" s="405">
        <v>0</v>
      </c>
      <c r="AO300" s="405">
        <v>0</v>
      </c>
      <c r="AP300" s="405">
        <v>0</v>
      </c>
      <c r="AQ300" s="405">
        <v>0</v>
      </c>
      <c r="AR300" s="405">
        <v>23725</v>
      </c>
      <c r="AS300" s="405">
        <v>0</v>
      </c>
      <c r="AT300" s="405">
        <v>0</v>
      </c>
      <c r="AU300" s="405">
        <v>0</v>
      </c>
      <c r="AV300" s="405">
        <v>0</v>
      </c>
      <c r="AW300" s="405">
        <v>0</v>
      </c>
      <c r="AX300" s="405">
        <v>781695</v>
      </c>
      <c r="AY300" s="405">
        <v>0</v>
      </c>
      <c r="AZ300" s="405">
        <v>0</v>
      </c>
      <c r="BA300" s="405">
        <v>0</v>
      </c>
      <c r="BB300" s="405">
        <v>0</v>
      </c>
      <c r="BC300" s="405">
        <v>0</v>
      </c>
      <c r="BD300" s="405">
        <v>0</v>
      </c>
      <c r="BE300" s="405">
        <v>0</v>
      </c>
      <c r="BF300" s="405">
        <v>0</v>
      </c>
      <c r="BG300" s="405">
        <v>0</v>
      </c>
      <c r="BH300" s="405">
        <v>0</v>
      </c>
      <c r="BI300" s="405">
        <v>0</v>
      </c>
      <c r="BJ300" s="405">
        <v>0</v>
      </c>
      <c r="BK300" s="405">
        <v>0</v>
      </c>
      <c r="BL300" s="405">
        <v>0</v>
      </c>
      <c r="BM300" s="405">
        <v>0</v>
      </c>
      <c r="BN300" s="405">
        <v>0</v>
      </c>
      <c r="BO300" s="405">
        <v>0</v>
      </c>
      <c r="BP300" s="405">
        <v>0</v>
      </c>
      <c r="BQ300" s="405">
        <v>0</v>
      </c>
      <c r="BR300" s="405">
        <v>370534</v>
      </c>
      <c r="BS300" s="405">
        <v>0</v>
      </c>
      <c r="BT300" s="405">
        <v>64343</v>
      </c>
      <c r="BU300" s="405">
        <v>0</v>
      </c>
      <c r="BV300" s="405">
        <v>0</v>
      </c>
      <c r="BW300" s="405">
        <v>1288</v>
      </c>
      <c r="BX300" s="405">
        <v>0</v>
      </c>
      <c r="BY300" s="405">
        <v>0</v>
      </c>
      <c r="BZ300" s="405">
        <v>0</v>
      </c>
      <c r="CA300" s="405">
        <v>0</v>
      </c>
      <c r="CB300" s="405">
        <v>0</v>
      </c>
      <c r="CC300" s="405">
        <v>0</v>
      </c>
      <c r="CD300" s="405">
        <v>0</v>
      </c>
      <c r="CE300" s="405">
        <v>0</v>
      </c>
      <c r="CF300" s="405">
        <v>0</v>
      </c>
    </row>
    <row r="301" spans="1:84" s="405" customFormat="1" x14ac:dyDescent="0.3">
      <c r="A301" s="405">
        <v>642</v>
      </c>
      <c r="B301" s="406">
        <v>642</v>
      </c>
      <c r="C301" s="405">
        <v>642</v>
      </c>
      <c r="D301" s="405" t="s">
        <v>748</v>
      </c>
      <c r="F301" s="405">
        <v>0</v>
      </c>
      <c r="G301" s="405">
        <v>0</v>
      </c>
      <c r="H301" s="405">
        <v>0</v>
      </c>
      <c r="I301" s="405">
        <v>0</v>
      </c>
      <c r="J301" s="405">
        <v>0</v>
      </c>
      <c r="K301" s="405">
        <v>0</v>
      </c>
      <c r="L301" s="405">
        <v>0</v>
      </c>
      <c r="M301" s="405">
        <v>0</v>
      </c>
      <c r="N301" s="405">
        <v>0</v>
      </c>
      <c r="O301" s="405">
        <v>0</v>
      </c>
      <c r="P301" s="405">
        <v>0</v>
      </c>
      <c r="Q301" s="405">
        <v>0</v>
      </c>
      <c r="R301" s="405">
        <v>0</v>
      </c>
      <c r="S301" s="405">
        <v>0</v>
      </c>
      <c r="T301" s="405">
        <v>0</v>
      </c>
      <c r="U301" s="405">
        <v>0</v>
      </c>
      <c r="V301" s="405">
        <v>0</v>
      </c>
      <c r="W301" s="405">
        <v>0</v>
      </c>
      <c r="X301" s="405">
        <v>0</v>
      </c>
      <c r="Y301" s="405">
        <v>0</v>
      </c>
      <c r="Z301" s="405">
        <v>0</v>
      </c>
      <c r="AA301" s="405">
        <v>0</v>
      </c>
      <c r="AB301" s="405">
        <v>0</v>
      </c>
      <c r="AC301" s="405">
        <v>0</v>
      </c>
      <c r="AD301" s="405">
        <v>0</v>
      </c>
      <c r="AE301" s="405">
        <v>0</v>
      </c>
      <c r="AF301" s="405">
        <v>0</v>
      </c>
      <c r="AG301" s="405">
        <v>0</v>
      </c>
      <c r="AH301" s="405">
        <v>0</v>
      </c>
      <c r="AI301" s="405">
        <v>0</v>
      </c>
      <c r="AJ301" s="405">
        <v>0</v>
      </c>
      <c r="AK301" s="405">
        <v>0</v>
      </c>
      <c r="AL301" s="405">
        <v>0</v>
      </c>
      <c r="AM301" s="405">
        <v>0</v>
      </c>
      <c r="AN301" s="405">
        <v>0</v>
      </c>
      <c r="AO301" s="405">
        <v>0</v>
      </c>
      <c r="AP301" s="405">
        <v>0</v>
      </c>
      <c r="AQ301" s="405">
        <v>0</v>
      </c>
      <c r="AR301" s="405">
        <v>0</v>
      </c>
      <c r="AS301" s="405">
        <v>0</v>
      </c>
      <c r="AT301" s="405">
        <v>0</v>
      </c>
      <c r="AU301" s="405">
        <v>0</v>
      </c>
      <c r="AV301" s="405">
        <v>0</v>
      </c>
      <c r="AW301" s="405">
        <v>0</v>
      </c>
      <c r="AX301" s="405">
        <v>0</v>
      </c>
      <c r="AY301" s="405">
        <v>0</v>
      </c>
      <c r="AZ301" s="405">
        <v>0</v>
      </c>
      <c r="BA301" s="405">
        <v>0</v>
      </c>
      <c r="BB301" s="405">
        <v>0</v>
      </c>
      <c r="BC301" s="405">
        <v>0</v>
      </c>
      <c r="BD301" s="405">
        <v>0</v>
      </c>
      <c r="BE301" s="405">
        <v>0</v>
      </c>
      <c r="BF301" s="405">
        <v>0</v>
      </c>
      <c r="BG301" s="405">
        <v>0</v>
      </c>
      <c r="BH301" s="405">
        <v>0</v>
      </c>
      <c r="BI301" s="405">
        <v>0</v>
      </c>
      <c r="BJ301" s="405">
        <v>0</v>
      </c>
      <c r="BK301" s="405">
        <v>0</v>
      </c>
      <c r="BL301" s="405">
        <v>0</v>
      </c>
      <c r="BM301" s="405">
        <v>0</v>
      </c>
      <c r="BN301" s="405">
        <v>0</v>
      </c>
      <c r="BO301" s="405">
        <v>0</v>
      </c>
      <c r="BP301" s="405">
        <v>0</v>
      </c>
      <c r="BQ301" s="405">
        <v>0</v>
      </c>
      <c r="BR301" s="405">
        <v>0</v>
      </c>
      <c r="BS301" s="405">
        <v>0</v>
      </c>
      <c r="BT301" s="405">
        <v>0</v>
      </c>
      <c r="BU301" s="405">
        <v>0</v>
      </c>
      <c r="BV301" s="405">
        <v>0</v>
      </c>
      <c r="BW301" s="405">
        <v>0</v>
      </c>
      <c r="BX301" s="405">
        <v>0</v>
      </c>
      <c r="BY301" s="405">
        <v>0</v>
      </c>
      <c r="BZ301" s="405">
        <v>0</v>
      </c>
      <c r="CA301" s="405">
        <v>0</v>
      </c>
      <c r="CB301" s="405">
        <v>0</v>
      </c>
      <c r="CC301" s="405">
        <v>0</v>
      </c>
      <c r="CD301" s="405">
        <v>0</v>
      </c>
      <c r="CE301" s="405">
        <v>0</v>
      </c>
      <c r="CF301" s="405">
        <v>0</v>
      </c>
    </row>
    <row r="302" spans="1:84" s="405" customFormat="1" x14ac:dyDescent="0.3">
      <c r="A302" s="405">
        <v>643</v>
      </c>
      <c r="B302" s="406">
        <v>643</v>
      </c>
      <c r="C302" s="405">
        <v>643</v>
      </c>
      <c r="D302" s="405" t="s">
        <v>749</v>
      </c>
      <c r="F302" s="405">
        <v>0</v>
      </c>
      <c r="G302" s="405">
        <v>0</v>
      </c>
      <c r="H302" s="405">
        <v>0</v>
      </c>
      <c r="I302" s="405">
        <v>0</v>
      </c>
      <c r="J302" s="405">
        <v>0</v>
      </c>
      <c r="K302" s="405">
        <v>0</v>
      </c>
      <c r="L302" s="405">
        <v>0</v>
      </c>
      <c r="M302" s="405">
        <v>0</v>
      </c>
      <c r="N302" s="405">
        <v>0</v>
      </c>
      <c r="O302" s="405">
        <v>0</v>
      </c>
      <c r="P302" s="405">
        <v>0</v>
      </c>
      <c r="Q302" s="405">
        <v>0</v>
      </c>
      <c r="R302" s="405">
        <v>0</v>
      </c>
      <c r="S302" s="405">
        <v>267848</v>
      </c>
      <c r="T302" s="405">
        <v>0</v>
      </c>
      <c r="U302" s="405">
        <v>34392</v>
      </c>
      <c r="V302" s="405">
        <v>0</v>
      </c>
      <c r="W302" s="405">
        <v>0</v>
      </c>
      <c r="X302" s="405">
        <v>0</v>
      </c>
      <c r="Y302" s="405">
        <v>0</v>
      </c>
      <c r="Z302" s="405">
        <v>0</v>
      </c>
      <c r="AA302" s="405">
        <v>67520</v>
      </c>
      <c r="AB302" s="405">
        <v>0</v>
      </c>
      <c r="AC302" s="405">
        <v>0</v>
      </c>
      <c r="AD302" s="405">
        <v>0</v>
      </c>
      <c r="AE302" s="405">
        <v>0</v>
      </c>
      <c r="AF302" s="405">
        <v>0</v>
      </c>
      <c r="AG302" s="405">
        <v>0</v>
      </c>
      <c r="AH302" s="405">
        <v>1337824</v>
      </c>
      <c r="AI302" s="405">
        <v>0</v>
      </c>
      <c r="AJ302" s="405">
        <v>0</v>
      </c>
      <c r="AK302" s="405">
        <v>0</v>
      </c>
      <c r="AL302" s="405">
        <v>0</v>
      </c>
      <c r="AM302" s="405">
        <v>0</v>
      </c>
      <c r="AN302" s="405">
        <v>0</v>
      </c>
      <c r="AO302" s="405">
        <v>0</v>
      </c>
      <c r="AP302" s="405">
        <v>0</v>
      </c>
      <c r="AQ302" s="405">
        <v>0</v>
      </c>
      <c r="AR302" s="405">
        <v>303250</v>
      </c>
      <c r="AS302" s="405">
        <v>0</v>
      </c>
      <c r="AT302" s="405">
        <v>0</v>
      </c>
      <c r="AU302" s="405">
        <v>0</v>
      </c>
      <c r="AV302" s="405">
        <v>0</v>
      </c>
      <c r="AW302" s="405">
        <v>0</v>
      </c>
      <c r="AX302" s="405">
        <v>0</v>
      </c>
      <c r="AY302" s="405">
        <v>0</v>
      </c>
      <c r="AZ302" s="405">
        <v>0</v>
      </c>
      <c r="BA302" s="405">
        <v>0</v>
      </c>
      <c r="BB302" s="405">
        <v>0</v>
      </c>
      <c r="BC302" s="405">
        <v>0</v>
      </c>
      <c r="BD302" s="405">
        <v>0</v>
      </c>
      <c r="BE302" s="405">
        <v>0</v>
      </c>
      <c r="BF302" s="405">
        <v>0</v>
      </c>
      <c r="BG302" s="405">
        <v>0</v>
      </c>
      <c r="BH302" s="405">
        <v>0</v>
      </c>
      <c r="BI302" s="405">
        <v>0</v>
      </c>
      <c r="BJ302" s="405">
        <v>0</v>
      </c>
      <c r="BK302" s="405">
        <v>0</v>
      </c>
      <c r="BL302" s="405">
        <v>0</v>
      </c>
      <c r="BM302" s="405">
        <v>0</v>
      </c>
      <c r="BN302" s="405">
        <v>0</v>
      </c>
      <c r="BO302" s="405">
        <v>0</v>
      </c>
      <c r="BP302" s="405">
        <v>0</v>
      </c>
      <c r="BQ302" s="405">
        <v>0</v>
      </c>
      <c r="BR302" s="405">
        <v>1255230</v>
      </c>
      <c r="BS302" s="405">
        <v>0</v>
      </c>
      <c r="BT302" s="405">
        <v>0</v>
      </c>
      <c r="BU302" s="405">
        <v>0</v>
      </c>
      <c r="BV302" s="405">
        <v>0</v>
      </c>
      <c r="BW302" s="405">
        <v>0</v>
      </c>
      <c r="BX302" s="405">
        <v>0</v>
      </c>
      <c r="BY302" s="405">
        <v>0</v>
      </c>
      <c r="BZ302" s="405">
        <v>0</v>
      </c>
      <c r="CA302" s="405">
        <v>0</v>
      </c>
      <c r="CB302" s="405">
        <v>0</v>
      </c>
      <c r="CC302" s="405">
        <v>0</v>
      </c>
      <c r="CD302" s="405">
        <v>0</v>
      </c>
      <c r="CE302" s="405">
        <v>0</v>
      </c>
      <c r="CF302" s="405">
        <v>287499</v>
      </c>
    </row>
    <row r="303" spans="1:84" s="405" customFormat="1" x14ac:dyDescent="0.3">
      <c r="A303" s="405">
        <v>644</v>
      </c>
      <c r="B303" s="406">
        <v>644</v>
      </c>
      <c r="C303" s="405">
        <v>644</v>
      </c>
      <c r="D303" s="405" t="s">
        <v>750</v>
      </c>
      <c r="F303" s="405">
        <v>0</v>
      </c>
      <c r="G303" s="405">
        <v>0</v>
      </c>
      <c r="H303" s="405">
        <v>0</v>
      </c>
      <c r="I303" s="405">
        <v>0</v>
      </c>
      <c r="J303" s="405">
        <v>0</v>
      </c>
      <c r="K303" s="405">
        <v>0</v>
      </c>
      <c r="L303" s="405">
        <v>0</v>
      </c>
      <c r="M303" s="405">
        <v>0</v>
      </c>
      <c r="N303" s="405">
        <v>0</v>
      </c>
      <c r="O303" s="405">
        <v>0</v>
      </c>
      <c r="P303" s="405">
        <v>0</v>
      </c>
      <c r="Q303" s="405">
        <v>0</v>
      </c>
      <c r="R303" s="405">
        <v>0</v>
      </c>
      <c r="S303" s="405">
        <v>0</v>
      </c>
      <c r="T303" s="405">
        <v>0</v>
      </c>
      <c r="U303" s="405">
        <v>0</v>
      </c>
      <c r="V303" s="405">
        <v>0</v>
      </c>
      <c r="W303" s="405">
        <v>0</v>
      </c>
      <c r="X303" s="405">
        <v>0</v>
      </c>
      <c r="Y303" s="405">
        <v>0</v>
      </c>
      <c r="Z303" s="405">
        <v>0</v>
      </c>
      <c r="AA303" s="405">
        <v>0</v>
      </c>
      <c r="AB303" s="405">
        <v>0</v>
      </c>
      <c r="AC303" s="405">
        <v>0</v>
      </c>
      <c r="AD303" s="405">
        <v>0</v>
      </c>
      <c r="AE303" s="405">
        <v>0</v>
      </c>
      <c r="AF303" s="405">
        <v>0</v>
      </c>
      <c r="AG303" s="405">
        <v>0</v>
      </c>
      <c r="AH303" s="405">
        <v>0</v>
      </c>
      <c r="AI303" s="405">
        <v>0</v>
      </c>
      <c r="AJ303" s="405">
        <v>0</v>
      </c>
      <c r="AK303" s="405">
        <v>0</v>
      </c>
      <c r="AL303" s="405">
        <v>0</v>
      </c>
      <c r="AM303" s="405">
        <v>0</v>
      </c>
      <c r="AN303" s="405">
        <v>0</v>
      </c>
      <c r="AO303" s="405">
        <v>0</v>
      </c>
      <c r="AP303" s="405">
        <v>0</v>
      </c>
      <c r="AQ303" s="405">
        <v>0</v>
      </c>
      <c r="AR303" s="405">
        <v>0</v>
      </c>
      <c r="AS303" s="405">
        <v>0</v>
      </c>
      <c r="AT303" s="405">
        <v>0</v>
      </c>
      <c r="AU303" s="405">
        <v>0</v>
      </c>
      <c r="AV303" s="405">
        <v>0</v>
      </c>
      <c r="AW303" s="405">
        <v>0</v>
      </c>
      <c r="AX303" s="405">
        <v>0</v>
      </c>
      <c r="AY303" s="405">
        <v>0</v>
      </c>
      <c r="AZ303" s="405">
        <v>0</v>
      </c>
      <c r="BA303" s="405">
        <v>0</v>
      </c>
      <c r="BB303" s="405">
        <v>0</v>
      </c>
      <c r="BC303" s="405">
        <v>0</v>
      </c>
      <c r="BD303" s="405">
        <v>0</v>
      </c>
      <c r="BE303" s="405">
        <v>0</v>
      </c>
      <c r="BF303" s="405">
        <v>0</v>
      </c>
      <c r="BG303" s="405">
        <v>0</v>
      </c>
      <c r="BH303" s="405">
        <v>0</v>
      </c>
      <c r="BI303" s="405">
        <v>0</v>
      </c>
      <c r="BJ303" s="405">
        <v>0</v>
      </c>
      <c r="BK303" s="405">
        <v>0</v>
      </c>
      <c r="BL303" s="405">
        <v>0</v>
      </c>
      <c r="BM303" s="405">
        <v>0</v>
      </c>
      <c r="BN303" s="405">
        <v>0</v>
      </c>
      <c r="BO303" s="405">
        <v>0</v>
      </c>
      <c r="BP303" s="405">
        <v>0</v>
      </c>
      <c r="BQ303" s="405">
        <v>0</v>
      </c>
      <c r="BR303" s="405">
        <v>0</v>
      </c>
      <c r="BS303" s="405">
        <v>0</v>
      </c>
      <c r="BT303" s="405">
        <v>0</v>
      </c>
      <c r="BU303" s="405">
        <v>0</v>
      </c>
      <c r="BV303" s="405">
        <v>0</v>
      </c>
      <c r="BW303" s="405">
        <v>0</v>
      </c>
      <c r="BX303" s="405">
        <v>0</v>
      </c>
      <c r="BY303" s="405">
        <v>0</v>
      </c>
      <c r="BZ303" s="405">
        <v>0</v>
      </c>
      <c r="CA303" s="405">
        <v>0</v>
      </c>
      <c r="CB303" s="405">
        <v>0</v>
      </c>
      <c r="CC303" s="405">
        <v>0</v>
      </c>
      <c r="CD303" s="405">
        <v>0</v>
      </c>
      <c r="CE303" s="405">
        <v>0</v>
      </c>
      <c r="CF303" s="405">
        <v>0</v>
      </c>
    </row>
    <row r="304" spans="1:84" s="405" customFormat="1" x14ac:dyDescent="0.3">
      <c r="A304" s="405">
        <v>645</v>
      </c>
      <c r="B304" s="406">
        <v>645</v>
      </c>
      <c r="C304" s="405">
        <v>645</v>
      </c>
      <c r="D304" s="405" t="s">
        <v>751</v>
      </c>
      <c r="F304" s="405">
        <v>0</v>
      </c>
      <c r="G304" s="405">
        <v>0</v>
      </c>
      <c r="H304" s="405">
        <v>37315</v>
      </c>
      <c r="I304" s="405">
        <v>0</v>
      </c>
      <c r="J304" s="405">
        <v>19550</v>
      </c>
      <c r="K304" s="405">
        <v>0</v>
      </c>
      <c r="L304" s="405">
        <v>0</v>
      </c>
      <c r="M304" s="405">
        <v>0</v>
      </c>
      <c r="N304" s="405">
        <v>21750</v>
      </c>
      <c r="O304" s="405">
        <v>25706053</v>
      </c>
      <c r="P304" s="405">
        <v>0</v>
      </c>
      <c r="Q304" s="405">
        <v>68289</v>
      </c>
      <c r="R304" s="405">
        <v>111754</v>
      </c>
      <c r="S304" s="405">
        <v>2068755</v>
      </c>
      <c r="T304" s="405">
        <v>0</v>
      </c>
      <c r="U304" s="405">
        <v>0</v>
      </c>
      <c r="V304" s="405">
        <v>0</v>
      </c>
      <c r="W304" s="405">
        <v>414058</v>
      </c>
      <c r="X304" s="405">
        <v>272408</v>
      </c>
      <c r="Y304" s="405">
        <v>205199</v>
      </c>
      <c r="Z304" s="405">
        <v>0</v>
      </c>
      <c r="AA304" s="405">
        <v>0</v>
      </c>
      <c r="AB304" s="405">
        <v>4365513</v>
      </c>
      <c r="AC304" s="405">
        <v>0</v>
      </c>
      <c r="AD304" s="405">
        <v>51649</v>
      </c>
      <c r="AE304" s="405">
        <v>2667376</v>
      </c>
      <c r="AF304" s="405">
        <v>134985</v>
      </c>
      <c r="AG304" s="405">
        <v>0</v>
      </c>
      <c r="AH304" s="405">
        <v>0</v>
      </c>
      <c r="AI304" s="405">
        <v>150627</v>
      </c>
      <c r="AJ304" s="405">
        <v>40000</v>
      </c>
      <c r="AK304" s="405">
        <v>410833</v>
      </c>
      <c r="AL304" s="405">
        <v>63800</v>
      </c>
      <c r="AM304" s="405">
        <v>0</v>
      </c>
      <c r="AN304" s="405">
        <v>0</v>
      </c>
      <c r="AO304" s="405">
        <v>0</v>
      </c>
      <c r="AP304" s="405">
        <v>1493200</v>
      </c>
      <c r="AQ304" s="405">
        <v>5010</v>
      </c>
      <c r="AR304" s="405">
        <v>192257</v>
      </c>
      <c r="AS304" s="405">
        <v>0</v>
      </c>
      <c r="AT304" s="405">
        <v>0</v>
      </c>
      <c r="AU304" s="405">
        <v>0</v>
      </c>
      <c r="AV304" s="405">
        <v>0</v>
      </c>
      <c r="AW304" s="405">
        <v>10746071</v>
      </c>
      <c r="AX304" s="405">
        <v>300000</v>
      </c>
      <c r="AY304" s="405">
        <v>0</v>
      </c>
      <c r="AZ304" s="405">
        <v>0</v>
      </c>
      <c r="BA304" s="405">
        <v>0</v>
      </c>
      <c r="BB304" s="405">
        <v>0</v>
      </c>
      <c r="BC304" s="405">
        <v>0</v>
      </c>
      <c r="BD304" s="405">
        <v>55900</v>
      </c>
      <c r="BE304" s="405">
        <v>0</v>
      </c>
      <c r="BF304" s="405">
        <v>18990</v>
      </c>
      <c r="BG304" s="405">
        <v>17360</v>
      </c>
      <c r="BH304" s="405">
        <v>0</v>
      </c>
      <c r="BI304" s="405">
        <v>0</v>
      </c>
      <c r="BJ304" s="405">
        <v>1258823</v>
      </c>
      <c r="BK304" s="405">
        <v>0</v>
      </c>
      <c r="BL304" s="405">
        <v>0</v>
      </c>
      <c r="BM304" s="405">
        <v>0</v>
      </c>
      <c r="BN304" s="405">
        <v>1500000</v>
      </c>
      <c r="BO304" s="405">
        <v>1257155</v>
      </c>
      <c r="BP304" s="405">
        <v>0</v>
      </c>
      <c r="BQ304" s="405">
        <v>3758676</v>
      </c>
      <c r="BR304" s="405">
        <v>188248</v>
      </c>
      <c r="BS304" s="405">
        <v>75000</v>
      </c>
      <c r="BT304" s="405">
        <v>232628</v>
      </c>
      <c r="BU304" s="405">
        <v>170292</v>
      </c>
      <c r="BV304" s="405">
        <v>749550</v>
      </c>
      <c r="BW304" s="405">
        <v>0</v>
      </c>
      <c r="BX304" s="405">
        <v>223525</v>
      </c>
      <c r="BY304" s="405">
        <v>253034</v>
      </c>
      <c r="BZ304" s="405">
        <v>0</v>
      </c>
      <c r="CA304" s="405">
        <v>0</v>
      </c>
      <c r="CB304" s="405">
        <v>0</v>
      </c>
      <c r="CC304" s="405">
        <v>0</v>
      </c>
      <c r="CD304" s="405">
        <v>29353</v>
      </c>
      <c r="CE304" s="405">
        <v>60000</v>
      </c>
      <c r="CF304" s="405">
        <v>5048409</v>
      </c>
    </row>
    <row r="305" spans="1:84" s="405" customFormat="1" x14ac:dyDescent="0.3">
      <c r="A305" s="405">
        <v>646</v>
      </c>
      <c r="B305" s="406">
        <v>646</v>
      </c>
      <c r="C305" s="405">
        <v>646</v>
      </c>
      <c r="D305" s="405" t="s">
        <v>752</v>
      </c>
      <c r="F305" s="405">
        <v>682886</v>
      </c>
      <c r="G305" s="405">
        <v>754269</v>
      </c>
      <c r="H305" s="405">
        <v>327586</v>
      </c>
      <c r="I305" s="405">
        <v>952658</v>
      </c>
      <c r="J305" s="405">
        <v>589482</v>
      </c>
      <c r="K305" s="405">
        <v>77688</v>
      </c>
      <c r="L305" s="405">
        <v>100708</v>
      </c>
      <c r="M305" s="405">
        <v>465650</v>
      </c>
      <c r="N305" s="405">
        <v>2117733</v>
      </c>
      <c r="O305" s="405">
        <v>25196717</v>
      </c>
      <c r="P305" s="405">
        <v>0</v>
      </c>
      <c r="Q305" s="405">
        <v>3258545</v>
      </c>
      <c r="R305" s="405">
        <v>-18972</v>
      </c>
      <c r="S305" s="405">
        <v>725039</v>
      </c>
      <c r="T305" s="405">
        <v>130052</v>
      </c>
      <c r="U305" s="405">
        <v>514277</v>
      </c>
      <c r="V305" s="405">
        <v>0</v>
      </c>
      <c r="W305" s="405">
        <v>640745</v>
      </c>
      <c r="X305" s="405">
        <v>2952930</v>
      </c>
      <c r="Y305" s="405">
        <v>459926</v>
      </c>
      <c r="Z305" s="405">
        <v>0</v>
      </c>
      <c r="AA305" s="405">
        <v>95918</v>
      </c>
      <c r="AB305" s="405">
        <v>18533498</v>
      </c>
      <c r="AC305" s="405">
        <v>4111164</v>
      </c>
      <c r="AD305" s="405">
        <v>776609</v>
      </c>
      <c r="AE305" s="405">
        <v>13281799</v>
      </c>
      <c r="AF305" s="405">
        <v>177988</v>
      </c>
      <c r="AG305" s="405">
        <v>317419</v>
      </c>
      <c r="AH305" s="405">
        <v>23035509</v>
      </c>
      <c r="AI305" s="405">
        <v>679259</v>
      </c>
      <c r="AJ305" s="405">
        <v>186533</v>
      </c>
      <c r="AK305" s="405">
        <v>1625689</v>
      </c>
      <c r="AL305" s="405">
        <v>750536</v>
      </c>
      <c r="AM305" s="405">
        <v>41354</v>
      </c>
      <c r="AN305" s="405">
        <v>0</v>
      </c>
      <c r="AO305" s="405">
        <v>597568</v>
      </c>
      <c r="AP305" s="405">
        <v>8095918</v>
      </c>
      <c r="AQ305" s="405">
        <v>38646</v>
      </c>
      <c r="AR305" s="405">
        <v>3109084</v>
      </c>
      <c r="AS305" s="405">
        <v>1620374</v>
      </c>
      <c r="AT305" s="405">
        <v>217267</v>
      </c>
      <c r="AU305" s="405">
        <v>0</v>
      </c>
      <c r="AV305" s="405">
        <v>596175</v>
      </c>
      <c r="AW305" s="405">
        <v>27665900</v>
      </c>
      <c r="AX305" s="405">
        <v>16075905</v>
      </c>
      <c r="AY305" s="405">
        <v>782243</v>
      </c>
      <c r="AZ305" s="405">
        <v>177403</v>
      </c>
      <c r="BA305" s="405">
        <v>302525</v>
      </c>
      <c r="BB305" s="405">
        <v>0</v>
      </c>
      <c r="BC305" s="405">
        <v>0</v>
      </c>
      <c r="BD305" s="405">
        <v>2387345</v>
      </c>
      <c r="BE305" s="405">
        <v>1127147</v>
      </c>
      <c r="BF305" s="405">
        <v>186658</v>
      </c>
      <c r="BG305" s="405">
        <v>93600</v>
      </c>
      <c r="BH305" s="405">
        <v>4746014</v>
      </c>
      <c r="BI305" s="405">
        <v>71622</v>
      </c>
      <c r="BJ305" s="405">
        <v>8900466</v>
      </c>
      <c r="BK305" s="405">
        <v>413674</v>
      </c>
      <c r="BL305" s="405">
        <v>424553</v>
      </c>
      <c r="BM305" s="405">
        <v>500234</v>
      </c>
      <c r="BN305" s="405">
        <v>6953332</v>
      </c>
      <c r="BO305" s="405">
        <v>4691912</v>
      </c>
      <c r="BP305" s="405">
        <v>0</v>
      </c>
      <c r="BQ305" s="405">
        <v>16495086</v>
      </c>
      <c r="BR305" s="405">
        <v>12072403</v>
      </c>
      <c r="BS305" s="405">
        <v>113329</v>
      </c>
      <c r="BT305" s="405">
        <v>3495649</v>
      </c>
      <c r="BU305" s="405">
        <v>2366613</v>
      </c>
      <c r="BV305" s="405">
        <v>6438825</v>
      </c>
      <c r="BW305" s="405">
        <v>269427</v>
      </c>
      <c r="BX305" s="405">
        <v>534701</v>
      </c>
      <c r="BY305" s="405">
        <v>2849394</v>
      </c>
      <c r="BZ305" s="405">
        <v>1952844</v>
      </c>
      <c r="CA305" s="405">
        <v>12643014</v>
      </c>
      <c r="CB305" s="405">
        <v>0</v>
      </c>
      <c r="CC305" s="405">
        <v>4818212</v>
      </c>
      <c r="CD305" s="405">
        <v>372357</v>
      </c>
      <c r="CE305" s="405">
        <v>1371657</v>
      </c>
      <c r="CF305" s="405">
        <v>20567460</v>
      </c>
    </row>
    <row r="306" spans="1:84" s="405" customFormat="1" x14ac:dyDescent="0.3">
      <c r="A306" s="405">
        <v>647</v>
      </c>
      <c r="B306" s="406">
        <v>647</v>
      </c>
      <c r="C306" s="405">
        <v>647</v>
      </c>
      <c r="D306" s="405" t="s">
        <v>753</v>
      </c>
      <c r="F306" s="405">
        <v>0</v>
      </c>
      <c r="G306" s="405">
        <v>0</v>
      </c>
      <c r="H306" s="405">
        <v>0</v>
      </c>
      <c r="I306" s="405">
        <v>0</v>
      </c>
      <c r="J306" s="405">
        <v>0</v>
      </c>
      <c r="K306" s="405">
        <v>0</v>
      </c>
      <c r="L306" s="405">
        <v>0</v>
      </c>
      <c r="M306" s="405">
        <v>0</v>
      </c>
      <c r="N306" s="405">
        <v>0</v>
      </c>
      <c r="O306" s="405">
        <v>0</v>
      </c>
      <c r="P306" s="405">
        <v>0</v>
      </c>
      <c r="Q306" s="405">
        <v>0</v>
      </c>
      <c r="R306" s="405">
        <v>0</v>
      </c>
      <c r="S306" s="405">
        <v>0</v>
      </c>
      <c r="T306" s="405">
        <v>0</v>
      </c>
      <c r="U306" s="405">
        <v>0</v>
      </c>
      <c r="V306" s="405">
        <v>0</v>
      </c>
      <c r="W306" s="405">
        <v>0</v>
      </c>
      <c r="X306" s="405">
        <v>0</v>
      </c>
      <c r="Y306" s="405">
        <v>0</v>
      </c>
      <c r="Z306" s="405">
        <v>0</v>
      </c>
      <c r="AA306" s="405">
        <v>0</v>
      </c>
      <c r="AB306" s="405">
        <v>1247840</v>
      </c>
      <c r="AC306" s="405">
        <v>0</v>
      </c>
      <c r="AD306" s="405">
        <v>0</v>
      </c>
      <c r="AE306" s="405">
        <v>0</v>
      </c>
      <c r="AF306" s="405">
        <v>0</v>
      </c>
      <c r="AG306" s="405">
        <v>0</v>
      </c>
      <c r="AH306" s="405">
        <v>0</v>
      </c>
      <c r="AI306" s="405">
        <v>0</v>
      </c>
      <c r="AJ306" s="405">
        <v>0</v>
      </c>
      <c r="AK306" s="405">
        <v>0</v>
      </c>
      <c r="AL306" s="405">
        <v>0</v>
      </c>
      <c r="AM306" s="405">
        <v>0</v>
      </c>
      <c r="AN306" s="405">
        <v>0</v>
      </c>
      <c r="AO306" s="405">
        <v>0</v>
      </c>
      <c r="AP306" s="405">
        <v>0</v>
      </c>
      <c r="AQ306" s="405">
        <v>0</v>
      </c>
      <c r="AR306" s="405">
        <v>0</v>
      </c>
      <c r="AS306" s="405">
        <v>0</v>
      </c>
      <c r="AT306" s="405">
        <v>0</v>
      </c>
      <c r="AU306" s="405">
        <v>0</v>
      </c>
      <c r="AV306" s="405">
        <v>0</v>
      </c>
      <c r="AW306" s="405">
        <v>26000014</v>
      </c>
      <c r="AX306" s="405">
        <v>1391761</v>
      </c>
      <c r="AY306" s="405">
        <v>0</v>
      </c>
      <c r="AZ306" s="405">
        <v>0</v>
      </c>
      <c r="BA306" s="405">
        <v>0</v>
      </c>
      <c r="BB306" s="405">
        <v>0</v>
      </c>
      <c r="BC306" s="405">
        <v>0</v>
      </c>
      <c r="BD306" s="405">
        <v>0</v>
      </c>
      <c r="BE306" s="405">
        <v>0</v>
      </c>
      <c r="BF306" s="405">
        <v>0</v>
      </c>
      <c r="BG306" s="405">
        <v>0</v>
      </c>
      <c r="BH306" s="405">
        <v>0</v>
      </c>
      <c r="BI306" s="405">
        <v>0</v>
      </c>
      <c r="BJ306" s="405">
        <v>0</v>
      </c>
      <c r="BK306" s="405">
        <v>1323138</v>
      </c>
      <c r="BL306" s="405">
        <v>0</v>
      </c>
      <c r="BM306" s="405">
        <v>0</v>
      </c>
      <c r="BN306" s="405">
        <v>0</v>
      </c>
      <c r="BO306" s="405">
        <v>0</v>
      </c>
      <c r="BP306" s="405">
        <v>0</v>
      </c>
      <c r="BQ306" s="405">
        <v>0</v>
      </c>
      <c r="BR306" s="405">
        <v>12331052</v>
      </c>
      <c r="BS306" s="405">
        <v>0</v>
      </c>
      <c r="BT306" s="405">
        <v>0</v>
      </c>
      <c r="BU306" s="405">
        <v>0</v>
      </c>
      <c r="BV306" s="405">
        <v>0</v>
      </c>
      <c r="BW306" s="405">
        <v>0</v>
      </c>
      <c r="BX306" s="405">
        <v>0</v>
      </c>
      <c r="BY306" s="405">
        <v>0</v>
      </c>
      <c r="BZ306" s="405">
        <v>0</v>
      </c>
      <c r="CA306" s="405">
        <v>2593028</v>
      </c>
      <c r="CB306" s="405">
        <v>0</v>
      </c>
      <c r="CC306" s="405">
        <v>0</v>
      </c>
      <c r="CD306" s="405">
        <v>0</v>
      </c>
      <c r="CE306" s="405">
        <v>0</v>
      </c>
      <c r="CF306" s="405">
        <v>0</v>
      </c>
    </row>
    <row r="307" spans="1:84" s="405" customFormat="1" x14ac:dyDescent="0.3">
      <c r="A307" s="405">
        <v>654</v>
      </c>
      <c r="B307" s="406">
        <v>654</v>
      </c>
      <c r="C307" s="405">
        <v>654</v>
      </c>
      <c r="D307" s="405" t="s">
        <v>813</v>
      </c>
      <c r="F307" s="405">
        <v>332529</v>
      </c>
      <c r="G307" s="405">
        <v>470087</v>
      </c>
      <c r="H307" s="405">
        <v>0</v>
      </c>
      <c r="I307" s="405">
        <v>1036182</v>
      </c>
      <c r="J307" s="405">
        <v>613744</v>
      </c>
      <c r="K307" s="405">
        <v>159367</v>
      </c>
      <c r="L307" s="405">
        <v>0</v>
      </c>
      <c r="M307" s="405">
        <v>424772</v>
      </c>
      <c r="N307" s="405">
        <v>4965521</v>
      </c>
      <c r="O307" s="405">
        <v>0</v>
      </c>
      <c r="P307" s="405">
        <v>0</v>
      </c>
      <c r="Q307" s="405">
        <v>0</v>
      </c>
      <c r="R307" s="405">
        <v>29006</v>
      </c>
      <c r="S307" s="405">
        <v>7097705</v>
      </c>
      <c r="T307" s="405">
        <v>0</v>
      </c>
      <c r="U307" s="405">
        <v>298919</v>
      </c>
      <c r="V307" s="405">
        <v>0</v>
      </c>
      <c r="W307" s="405">
        <v>959241</v>
      </c>
      <c r="X307" s="405">
        <v>6617142</v>
      </c>
      <c r="Y307" s="405">
        <v>0</v>
      </c>
      <c r="Z307" s="405">
        <v>0</v>
      </c>
      <c r="AA307" s="405">
        <v>410379</v>
      </c>
      <c r="AB307" s="405">
        <v>33138702</v>
      </c>
      <c r="AC307" s="405">
        <v>15869</v>
      </c>
      <c r="AD307" s="405">
        <v>853545</v>
      </c>
      <c r="AE307" s="405">
        <v>0</v>
      </c>
      <c r="AF307" s="405">
        <v>0</v>
      </c>
      <c r="AG307" s="405">
        <v>0</v>
      </c>
      <c r="AH307" s="405">
        <v>30104299</v>
      </c>
      <c r="AI307" s="405">
        <v>2386</v>
      </c>
      <c r="AJ307" s="405">
        <v>211919</v>
      </c>
      <c r="AK307" s="405">
        <v>2523624</v>
      </c>
      <c r="AL307" s="405">
        <v>95271</v>
      </c>
      <c r="AM307" s="405">
        <v>85678</v>
      </c>
      <c r="AN307" s="405">
        <v>0</v>
      </c>
      <c r="AO307" s="405">
        <v>338899</v>
      </c>
      <c r="AP307" s="405">
        <v>13049049</v>
      </c>
      <c r="AQ307" s="405">
        <v>0</v>
      </c>
      <c r="AR307" s="405">
        <v>2984402</v>
      </c>
      <c r="AS307" s="405">
        <v>0</v>
      </c>
      <c r="AT307" s="405">
        <v>0</v>
      </c>
      <c r="AU307" s="405">
        <v>0</v>
      </c>
      <c r="AV307" s="405">
        <v>167979</v>
      </c>
      <c r="AW307" s="405">
        <v>64035243</v>
      </c>
      <c r="AX307" s="405">
        <v>26138155</v>
      </c>
      <c r="AY307" s="405">
        <v>730630</v>
      </c>
      <c r="AZ307" s="405">
        <v>169801</v>
      </c>
      <c r="BA307" s="405">
        <v>221224</v>
      </c>
      <c r="BB307" s="405">
        <v>200669</v>
      </c>
      <c r="BC307" s="405">
        <v>0</v>
      </c>
      <c r="BD307" s="405">
        <v>4283890</v>
      </c>
      <c r="BE307" s="405">
        <v>535252</v>
      </c>
      <c r="BF307" s="405">
        <v>0</v>
      </c>
      <c r="BG307" s="405">
        <v>174062</v>
      </c>
      <c r="BH307" s="405">
        <v>12406191</v>
      </c>
      <c r="BI307" s="405">
        <v>0</v>
      </c>
      <c r="BJ307" s="405">
        <v>11360171</v>
      </c>
      <c r="BK307" s="405">
        <v>1024481</v>
      </c>
      <c r="BL307" s="405">
        <v>0</v>
      </c>
      <c r="BM307" s="405">
        <v>0</v>
      </c>
      <c r="BN307" s="405">
        <v>32156019</v>
      </c>
      <c r="BO307" s="405">
        <v>19791515</v>
      </c>
      <c r="BP307" s="405">
        <v>0</v>
      </c>
      <c r="BQ307" s="405">
        <v>45862335</v>
      </c>
      <c r="BR307" s="405">
        <v>63632011</v>
      </c>
      <c r="BS307" s="405">
        <v>231246</v>
      </c>
      <c r="BT307" s="405">
        <v>2512714</v>
      </c>
      <c r="BU307" s="405">
        <v>0</v>
      </c>
      <c r="BV307" s="405">
        <v>23351682</v>
      </c>
      <c r="BW307" s="405">
        <v>303068</v>
      </c>
      <c r="BX307" s="405">
        <v>147844</v>
      </c>
      <c r="BY307" s="405">
        <v>3075203</v>
      </c>
      <c r="BZ307" s="405">
        <v>0</v>
      </c>
      <c r="CA307" s="405">
        <v>45646515</v>
      </c>
      <c r="CB307" s="405">
        <v>0</v>
      </c>
      <c r="CC307" s="405">
        <v>0</v>
      </c>
      <c r="CD307" s="405">
        <v>187884</v>
      </c>
      <c r="CE307" s="405">
        <v>0</v>
      </c>
      <c r="CF307" s="405">
        <v>0</v>
      </c>
    </row>
    <row r="308" spans="1:84" s="405" customFormat="1" x14ac:dyDescent="0.3">
      <c r="A308" s="405">
        <v>655</v>
      </c>
      <c r="B308" s="406">
        <v>655</v>
      </c>
      <c r="C308" s="405">
        <v>655</v>
      </c>
      <c r="D308" s="405" t="s">
        <v>854</v>
      </c>
      <c r="F308" s="405">
        <v>95028</v>
      </c>
      <c r="G308" s="405">
        <v>0</v>
      </c>
      <c r="H308" s="405">
        <v>0</v>
      </c>
      <c r="I308" s="405">
        <v>121418</v>
      </c>
      <c r="J308" s="405">
        <v>81810</v>
      </c>
      <c r="K308" s="405">
        <v>18727</v>
      </c>
      <c r="L308" s="405">
        <v>0</v>
      </c>
      <c r="M308" s="405">
        <v>47344</v>
      </c>
      <c r="N308" s="405">
        <v>545464</v>
      </c>
      <c r="O308" s="405">
        <v>0</v>
      </c>
      <c r="P308" s="405">
        <v>0</v>
      </c>
      <c r="Q308" s="405">
        <v>0</v>
      </c>
      <c r="R308" s="405">
        <v>800</v>
      </c>
      <c r="S308" s="405">
        <v>111910</v>
      </c>
      <c r="T308" s="405">
        <v>0</v>
      </c>
      <c r="U308" s="405">
        <v>20588</v>
      </c>
      <c r="V308" s="405">
        <v>0</v>
      </c>
      <c r="W308" s="405">
        <v>0</v>
      </c>
      <c r="X308" s="405">
        <v>41280</v>
      </c>
      <c r="Y308" s="405">
        <v>0</v>
      </c>
      <c r="Z308" s="405">
        <v>0</v>
      </c>
      <c r="AA308" s="405">
        <v>68175</v>
      </c>
      <c r="AB308" s="405">
        <v>5025299</v>
      </c>
      <c r="AC308" s="405">
        <v>0</v>
      </c>
      <c r="AD308" s="405">
        <v>42984</v>
      </c>
      <c r="AE308" s="405">
        <v>0</v>
      </c>
      <c r="AF308" s="405">
        <v>0</v>
      </c>
      <c r="AG308" s="405">
        <v>0</v>
      </c>
      <c r="AH308" s="405">
        <v>2642114</v>
      </c>
      <c r="AI308" s="405">
        <v>2345</v>
      </c>
      <c r="AJ308" s="405">
        <v>16786</v>
      </c>
      <c r="AK308" s="405">
        <v>64710</v>
      </c>
      <c r="AL308" s="405">
        <v>0</v>
      </c>
      <c r="AM308" s="405">
        <v>8431</v>
      </c>
      <c r="AN308" s="405">
        <v>0</v>
      </c>
      <c r="AO308" s="405">
        <v>0</v>
      </c>
      <c r="AP308" s="405">
        <v>796016</v>
      </c>
      <c r="AQ308" s="405">
        <v>0</v>
      </c>
      <c r="AR308" s="405">
        <v>110976</v>
      </c>
      <c r="AS308" s="405">
        <v>0</v>
      </c>
      <c r="AT308" s="405">
        <v>0</v>
      </c>
      <c r="AU308" s="405">
        <v>0</v>
      </c>
      <c r="AV308" s="405">
        <v>51776</v>
      </c>
      <c r="AW308" s="405">
        <v>0</v>
      </c>
      <c r="AX308" s="405">
        <v>776749</v>
      </c>
      <c r="AY308" s="405">
        <v>98433</v>
      </c>
      <c r="AZ308" s="405">
        <v>26048</v>
      </c>
      <c r="BA308" s="405">
        <v>35295</v>
      </c>
      <c r="BB308" s="405">
        <v>0</v>
      </c>
      <c r="BC308" s="405">
        <v>0</v>
      </c>
      <c r="BD308" s="405">
        <v>0</v>
      </c>
      <c r="BE308" s="405">
        <v>18217</v>
      </c>
      <c r="BF308" s="405">
        <v>0</v>
      </c>
      <c r="BG308" s="405">
        <v>0</v>
      </c>
      <c r="BH308" s="405">
        <v>2322831</v>
      </c>
      <c r="BI308" s="405">
        <v>0</v>
      </c>
      <c r="BJ308" s="405">
        <v>379840</v>
      </c>
      <c r="BK308" s="405">
        <v>95787</v>
      </c>
      <c r="BL308" s="405">
        <v>0</v>
      </c>
      <c r="BM308" s="405">
        <v>0</v>
      </c>
      <c r="BN308" s="405">
        <v>179224</v>
      </c>
      <c r="BO308" s="405">
        <v>5440727</v>
      </c>
      <c r="BP308" s="405">
        <v>0</v>
      </c>
      <c r="BQ308" s="405">
        <v>699142</v>
      </c>
      <c r="BR308" s="405">
        <v>0</v>
      </c>
      <c r="BS308" s="405">
        <v>18950</v>
      </c>
      <c r="BT308" s="405">
        <v>4969</v>
      </c>
      <c r="BU308" s="405">
        <v>0</v>
      </c>
      <c r="BV308" s="405">
        <v>10332567</v>
      </c>
      <c r="BW308" s="405">
        <v>14655</v>
      </c>
      <c r="BX308" s="405">
        <v>0</v>
      </c>
      <c r="BY308" s="405">
        <v>34670</v>
      </c>
      <c r="BZ308" s="405">
        <v>0</v>
      </c>
      <c r="CA308" s="405">
        <v>0</v>
      </c>
      <c r="CB308" s="405">
        <v>0</v>
      </c>
      <c r="CC308" s="405">
        <v>0</v>
      </c>
      <c r="CD308" s="405">
        <v>9290</v>
      </c>
      <c r="CE308" s="405">
        <v>0</v>
      </c>
      <c r="CF308" s="405">
        <v>0</v>
      </c>
    </row>
    <row r="309" spans="1:84" s="405" customFormat="1" x14ac:dyDescent="0.3">
      <c r="A309" s="405">
        <v>656</v>
      </c>
      <c r="B309" s="406">
        <v>656</v>
      </c>
      <c r="C309" s="405">
        <v>656</v>
      </c>
      <c r="D309" s="405" t="s">
        <v>821</v>
      </c>
      <c r="F309" s="405">
        <v>0</v>
      </c>
      <c r="G309" s="405">
        <v>2</v>
      </c>
      <c r="H309" s="405">
        <v>0</v>
      </c>
      <c r="I309" s="405">
        <v>0</v>
      </c>
      <c r="J309" s="405">
        <v>0</v>
      </c>
      <c r="K309" s="405">
        <v>2</v>
      </c>
      <c r="L309" s="405">
        <v>2</v>
      </c>
      <c r="M309" s="405">
        <v>0</v>
      </c>
      <c r="N309" s="405">
        <v>2</v>
      </c>
      <c r="O309" s="405">
        <v>2</v>
      </c>
      <c r="P309" s="405">
        <v>0</v>
      </c>
      <c r="Q309" s="405">
        <v>2</v>
      </c>
      <c r="R309" s="405">
        <v>2</v>
      </c>
      <c r="S309" s="405">
        <v>2</v>
      </c>
      <c r="T309" s="405">
        <v>0</v>
      </c>
      <c r="U309" s="405">
        <v>2</v>
      </c>
      <c r="V309" s="405">
        <v>0</v>
      </c>
      <c r="W309" s="405">
        <v>0</v>
      </c>
      <c r="X309" s="405">
        <v>2</v>
      </c>
      <c r="Y309" s="405">
        <v>0</v>
      </c>
      <c r="Z309" s="405">
        <v>0</v>
      </c>
      <c r="AA309" s="405">
        <v>0</v>
      </c>
      <c r="AB309" s="405">
        <v>0</v>
      </c>
      <c r="AC309" s="405">
        <v>2</v>
      </c>
      <c r="AD309" s="405">
        <v>0</v>
      </c>
      <c r="AE309" s="405">
        <v>0</v>
      </c>
      <c r="AF309" s="405">
        <v>2</v>
      </c>
      <c r="AG309" s="405">
        <v>2</v>
      </c>
      <c r="AH309" s="405">
        <v>2</v>
      </c>
      <c r="AI309" s="405">
        <v>0</v>
      </c>
      <c r="AJ309" s="405">
        <v>2</v>
      </c>
      <c r="AK309" s="405">
        <v>2</v>
      </c>
      <c r="AL309" s="405">
        <v>2</v>
      </c>
      <c r="AM309" s="405">
        <v>0</v>
      </c>
      <c r="AN309" s="405">
        <v>0</v>
      </c>
      <c r="AO309" s="405">
        <v>2</v>
      </c>
      <c r="AP309" s="405">
        <v>2</v>
      </c>
      <c r="AQ309" s="405">
        <v>2</v>
      </c>
      <c r="AR309" s="405">
        <v>2</v>
      </c>
      <c r="AS309" s="405">
        <v>0</v>
      </c>
      <c r="AT309" s="405">
        <v>2</v>
      </c>
      <c r="AU309" s="405">
        <v>0</v>
      </c>
      <c r="AV309" s="405">
        <v>2</v>
      </c>
      <c r="AW309" s="405">
        <v>1</v>
      </c>
      <c r="AX309" s="405">
        <v>0</v>
      </c>
      <c r="AY309" s="405">
        <v>2</v>
      </c>
      <c r="AZ309" s="405">
        <v>0</v>
      </c>
      <c r="BA309" s="405">
        <v>2</v>
      </c>
      <c r="BB309" s="405">
        <v>2</v>
      </c>
      <c r="BC309" s="405">
        <v>0</v>
      </c>
      <c r="BD309" s="405">
        <v>2</v>
      </c>
      <c r="BE309" s="405">
        <v>2</v>
      </c>
      <c r="BF309" s="405">
        <v>2</v>
      </c>
      <c r="BG309" s="405">
        <v>0</v>
      </c>
      <c r="BH309" s="405">
        <v>0</v>
      </c>
      <c r="BI309" s="405">
        <v>0</v>
      </c>
      <c r="BJ309" s="405">
        <v>2</v>
      </c>
      <c r="BK309" s="405">
        <v>0</v>
      </c>
      <c r="BL309" s="405">
        <v>0</v>
      </c>
      <c r="BM309" s="405">
        <v>0</v>
      </c>
      <c r="BN309" s="405">
        <v>0</v>
      </c>
      <c r="BO309" s="405">
        <v>2</v>
      </c>
      <c r="BP309" s="405">
        <v>0</v>
      </c>
      <c r="BQ309" s="405">
        <v>2</v>
      </c>
      <c r="BR309" s="405">
        <v>2</v>
      </c>
      <c r="BS309" s="405">
        <v>2</v>
      </c>
      <c r="BT309" s="405">
        <v>2</v>
      </c>
      <c r="BU309" s="405">
        <v>0</v>
      </c>
      <c r="BV309" s="405">
        <v>2</v>
      </c>
      <c r="BW309" s="405">
        <v>2</v>
      </c>
      <c r="BX309" s="405">
        <v>0</v>
      </c>
      <c r="BY309" s="405">
        <v>2</v>
      </c>
      <c r="BZ309" s="405">
        <v>0</v>
      </c>
      <c r="CA309" s="405">
        <v>2</v>
      </c>
      <c r="CB309" s="405">
        <v>0</v>
      </c>
      <c r="CC309" s="405">
        <v>2</v>
      </c>
      <c r="CD309" s="405">
        <v>2</v>
      </c>
      <c r="CE309" s="405">
        <v>2</v>
      </c>
      <c r="CF309" s="405">
        <v>1</v>
      </c>
    </row>
    <row r="310" spans="1:84" s="405" customFormat="1" ht="57.6" x14ac:dyDescent="0.3">
      <c r="A310" s="405">
        <v>657</v>
      </c>
      <c r="B310" s="406">
        <v>657</v>
      </c>
      <c r="C310" s="405">
        <v>657</v>
      </c>
      <c r="D310" s="1127" t="s">
        <v>818</v>
      </c>
      <c r="F310" s="405">
        <v>0</v>
      </c>
      <c r="G310" s="405">
        <v>0</v>
      </c>
      <c r="H310" s="405">
        <v>0</v>
      </c>
      <c r="I310" s="405">
        <v>0</v>
      </c>
      <c r="J310" s="405">
        <v>0</v>
      </c>
      <c r="K310" s="405">
        <v>0</v>
      </c>
      <c r="L310" s="405">
        <v>0</v>
      </c>
      <c r="M310" s="405">
        <v>0</v>
      </c>
      <c r="N310" s="405">
        <v>1997936</v>
      </c>
      <c r="O310" s="405">
        <v>0</v>
      </c>
      <c r="P310" s="405">
        <v>0</v>
      </c>
      <c r="Q310" s="405">
        <v>0</v>
      </c>
      <c r="R310" s="405">
        <v>0</v>
      </c>
      <c r="S310" s="405">
        <v>7027019</v>
      </c>
      <c r="T310" s="405">
        <v>0</v>
      </c>
      <c r="U310" s="405">
        <v>1091822</v>
      </c>
      <c r="V310" s="405">
        <v>0</v>
      </c>
      <c r="W310" s="405">
        <v>0</v>
      </c>
      <c r="X310" s="405">
        <v>0</v>
      </c>
      <c r="Y310" s="405">
        <v>0</v>
      </c>
      <c r="Z310" s="405">
        <v>0</v>
      </c>
      <c r="AA310" s="405">
        <v>596616</v>
      </c>
      <c r="AB310" s="405">
        <v>0</v>
      </c>
      <c r="AC310" s="405">
        <v>0</v>
      </c>
      <c r="AD310" s="405">
        <v>0</v>
      </c>
      <c r="AE310" s="405">
        <v>0</v>
      </c>
      <c r="AF310" s="405">
        <v>0</v>
      </c>
      <c r="AG310" s="405">
        <v>0</v>
      </c>
      <c r="AH310" s="405">
        <v>46436830</v>
      </c>
      <c r="AI310" s="405">
        <v>0</v>
      </c>
      <c r="AJ310" s="405">
        <v>0</v>
      </c>
      <c r="AK310" s="405">
        <v>0</v>
      </c>
      <c r="AL310" s="405">
        <v>0</v>
      </c>
      <c r="AM310" s="405">
        <v>0</v>
      </c>
      <c r="AN310" s="405">
        <v>0</v>
      </c>
      <c r="AO310" s="405">
        <v>0</v>
      </c>
      <c r="AP310" s="405">
        <v>0</v>
      </c>
      <c r="AQ310" s="405">
        <v>0</v>
      </c>
      <c r="AR310" s="405">
        <v>5998158</v>
      </c>
      <c r="AS310" s="405">
        <v>0</v>
      </c>
      <c r="AT310" s="405">
        <v>0</v>
      </c>
      <c r="AU310" s="405">
        <v>0</v>
      </c>
      <c r="AV310" s="405">
        <v>0</v>
      </c>
      <c r="AW310" s="405">
        <v>0</v>
      </c>
      <c r="AX310" s="405">
        <v>79136411</v>
      </c>
      <c r="AY310" s="405">
        <v>0</v>
      </c>
      <c r="AZ310" s="405">
        <v>0</v>
      </c>
      <c r="BA310" s="405">
        <v>0</v>
      </c>
      <c r="BB310" s="405">
        <v>0</v>
      </c>
      <c r="BC310" s="405">
        <v>0</v>
      </c>
      <c r="BD310" s="405">
        <v>0</v>
      </c>
      <c r="BE310" s="405">
        <v>0</v>
      </c>
      <c r="BF310" s="405">
        <v>0</v>
      </c>
      <c r="BG310" s="405">
        <v>0</v>
      </c>
      <c r="BH310" s="405">
        <v>0</v>
      </c>
      <c r="BI310" s="405">
        <v>0</v>
      </c>
      <c r="BJ310" s="405">
        <v>0</v>
      </c>
      <c r="BK310" s="405">
        <v>0</v>
      </c>
      <c r="BL310" s="405">
        <v>0</v>
      </c>
      <c r="BM310" s="405">
        <v>0</v>
      </c>
      <c r="BN310" s="405">
        <v>0</v>
      </c>
      <c r="BO310" s="405">
        <v>0</v>
      </c>
      <c r="BP310" s="405">
        <v>0</v>
      </c>
      <c r="BQ310" s="405">
        <v>0</v>
      </c>
      <c r="BR310" s="405">
        <v>109162669</v>
      </c>
      <c r="BS310" s="405">
        <v>0</v>
      </c>
      <c r="BT310" s="405">
        <v>4409896</v>
      </c>
      <c r="BU310" s="405">
        <v>0</v>
      </c>
      <c r="BV310" s="405">
        <v>0</v>
      </c>
      <c r="BW310" s="405">
        <v>424266</v>
      </c>
      <c r="BX310" s="405">
        <v>0</v>
      </c>
      <c r="BY310" s="405">
        <v>0</v>
      </c>
      <c r="BZ310" s="405">
        <v>0</v>
      </c>
      <c r="CA310" s="405">
        <v>0</v>
      </c>
      <c r="CB310" s="405">
        <v>0</v>
      </c>
      <c r="CC310" s="405">
        <v>0</v>
      </c>
      <c r="CD310" s="405">
        <v>0</v>
      </c>
      <c r="CE310" s="405">
        <v>0</v>
      </c>
      <c r="CF310" s="405">
        <v>6840513</v>
      </c>
    </row>
    <row r="311" spans="1:84" s="405" customFormat="1" x14ac:dyDescent="0.3">
      <c r="A311" s="405">
        <v>658</v>
      </c>
      <c r="B311" s="406">
        <v>658</v>
      </c>
      <c r="C311" s="405">
        <v>658</v>
      </c>
      <c r="D311" s="405" t="s">
        <v>853</v>
      </c>
      <c r="F311" s="405">
        <v>0</v>
      </c>
      <c r="G311" s="405">
        <v>0</v>
      </c>
      <c r="H311" s="405">
        <v>0</v>
      </c>
      <c r="I311" s="405">
        <v>0</v>
      </c>
      <c r="J311" s="405">
        <v>0</v>
      </c>
      <c r="K311" s="405">
        <v>0</v>
      </c>
      <c r="L311" s="405">
        <v>0</v>
      </c>
      <c r="M311" s="405">
        <v>0</v>
      </c>
      <c r="N311" s="405">
        <v>203032</v>
      </c>
      <c r="O311" s="405">
        <v>0</v>
      </c>
      <c r="P311" s="405">
        <v>0</v>
      </c>
      <c r="Q311" s="405">
        <v>0</v>
      </c>
      <c r="R311" s="405">
        <v>0</v>
      </c>
      <c r="S311" s="405">
        <v>267848</v>
      </c>
      <c r="T311" s="405">
        <v>0</v>
      </c>
      <c r="U311" s="405">
        <v>34392</v>
      </c>
      <c r="V311" s="405">
        <v>0</v>
      </c>
      <c r="W311" s="405">
        <v>0</v>
      </c>
      <c r="X311" s="405">
        <v>0</v>
      </c>
      <c r="Y311" s="405">
        <v>0</v>
      </c>
      <c r="Z311" s="405">
        <v>0</v>
      </c>
      <c r="AA311" s="405">
        <v>67520</v>
      </c>
      <c r="AB311" s="405">
        <v>0</v>
      </c>
      <c r="AC311" s="405">
        <v>0</v>
      </c>
      <c r="AD311" s="405">
        <v>0</v>
      </c>
      <c r="AE311" s="405">
        <v>0</v>
      </c>
      <c r="AF311" s="405">
        <v>0</v>
      </c>
      <c r="AG311" s="405">
        <v>0</v>
      </c>
      <c r="AH311" s="405">
        <v>1530120</v>
      </c>
      <c r="AI311" s="405">
        <v>0</v>
      </c>
      <c r="AJ311" s="405">
        <v>0</v>
      </c>
      <c r="AK311" s="405">
        <v>0</v>
      </c>
      <c r="AL311" s="405">
        <v>0</v>
      </c>
      <c r="AM311" s="405">
        <v>0</v>
      </c>
      <c r="AN311" s="405">
        <v>0</v>
      </c>
      <c r="AO311" s="405">
        <v>0</v>
      </c>
      <c r="AP311" s="405">
        <v>0</v>
      </c>
      <c r="AQ311" s="405">
        <v>0</v>
      </c>
      <c r="AR311" s="405">
        <v>303250</v>
      </c>
      <c r="AS311" s="405">
        <v>0</v>
      </c>
      <c r="AT311" s="405">
        <v>0</v>
      </c>
      <c r="AU311" s="405">
        <v>0</v>
      </c>
      <c r="AV311" s="405">
        <v>0</v>
      </c>
      <c r="AW311" s="405">
        <v>0</v>
      </c>
      <c r="AX311" s="405">
        <v>3329363</v>
      </c>
      <c r="AY311" s="405">
        <v>0</v>
      </c>
      <c r="AZ311" s="405">
        <v>0</v>
      </c>
      <c r="BA311" s="405">
        <v>0</v>
      </c>
      <c r="BB311" s="405">
        <v>0</v>
      </c>
      <c r="BC311" s="405">
        <v>0</v>
      </c>
      <c r="BD311" s="405">
        <v>0</v>
      </c>
      <c r="BE311" s="405">
        <v>0</v>
      </c>
      <c r="BF311" s="405">
        <v>0</v>
      </c>
      <c r="BG311" s="405">
        <v>0</v>
      </c>
      <c r="BH311" s="405">
        <v>0</v>
      </c>
      <c r="BI311" s="405">
        <v>0</v>
      </c>
      <c r="BJ311" s="405">
        <v>0</v>
      </c>
      <c r="BK311" s="405">
        <v>0</v>
      </c>
      <c r="BL311" s="405">
        <v>0</v>
      </c>
      <c r="BM311" s="405">
        <v>0</v>
      </c>
      <c r="BN311" s="405">
        <v>0</v>
      </c>
      <c r="BO311" s="405">
        <v>0</v>
      </c>
      <c r="BP311" s="405">
        <v>0</v>
      </c>
      <c r="BQ311" s="405">
        <v>0</v>
      </c>
      <c r="BR311" s="405">
        <v>0</v>
      </c>
      <c r="BS311" s="405">
        <v>0</v>
      </c>
      <c r="BT311" s="405">
        <v>48657</v>
      </c>
      <c r="BU311" s="405">
        <v>0</v>
      </c>
      <c r="BV311" s="405">
        <v>0</v>
      </c>
      <c r="BW311" s="405">
        <v>44490</v>
      </c>
      <c r="BX311" s="405">
        <v>0</v>
      </c>
      <c r="BY311" s="405">
        <v>0</v>
      </c>
      <c r="BZ311" s="405">
        <v>0</v>
      </c>
      <c r="CA311" s="405">
        <v>0</v>
      </c>
      <c r="CB311" s="405">
        <v>0</v>
      </c>
      <c r="CC311" s="405">
        <v>0</v>
      </c>
      <c r="CD311" s="405">
        <v>0</v>
      </c>
      <c r="CE311" s="405">
        <v>0</v>
      </c>
      <c r="CF311" s="405">
        <v>287499</v>
      </c>
    </row>
    <row r="312" spans="1:84" s="405" customFormat="1" ht="57.6" x14ac:dyDescent="0.3">
      <c r="A312" s="405">
        <v>659</v>
      </c>
      <c r="B312" s="406">
        <v>659</v>
      </c>
      <c r="C312" s="405">
        <v>659</v>
      </c>
      <c r="D312" s="1127" t="s">
        <v>816</v>
      </c>
      <c r="F312" s="405">
        <v>0</v>
      </c>
      <c r="G312" s="405">
        <v>58560</v>
      </c>
      <c r="H312" s="405">
        <v>0</v>
      </c>
      <c r="I312" s="405">
        <v>535722</v>
      </c>
      <c r="J312" s="405">
        <v>0</v>
      </c>
      <c r="K312" s="405">
        <v>0</v>
      </c>
      <c r="L312" s="405">
        <v>0</v>
      </c>
      <c r="M312" s="405">
        <v>0</v>
      </c>
      <c r="N312" s="405">
        <v>2831915</v>
      </c>
      <c r="O312" s="405">
        <v>51538394</v>
      </c>
      <c r="P312" s="405">
        <v>0</v>
      </c>
      <c r="Q312" s="405">
        <v>37701</v>
      </c>
      <c r="R312" s="405">
        <v>0</v>
      </c>
      <c r="S312" s="405">
        <v>0</v>
      </c>
      <c r="T312" s="405">
        <v>0</v>
      </c>
      <c r="U312" s="405">
        <v>0</v>
      </c>
      <c r="V312" s="405">
        <v>0</v>
      </c>
      <c r="W312" s="405">
        <v>0</v>
      </c>
      <c r="X312" s="405">
        <v>1601935</v>
      </c>
      <c r="Y312" s="405">
        <v>0</v>
      </c>
      <c r="Z312" s="405">
        <v>0</v>
      </c>
      <c r="AA312" s="405">
        <v>702770</v>
      </c>
      <c r="AB312" s="405">
        <v>3469811</v>
      </c>
      <c r="AC312" s="405">
        <v>0</v>
      </c>
      <c r="AD312" s="405">
        <v>0</v>
      </c>
      <c r="AE312" s="405">
        <v>16278226</v>
      </c>
      <c r="AF312" s="405">
        <v>0</v>
      </c>
      <c r="AG312" s="405">
        <v>0</v>
      </c>
      <c r="AH312" s="405">
        <v>63233010</v>
      </c>
      <c r="AI312" s="405">
        <v>0</v>
      </c>
      <c r="AJ312" s="405">
        <v>0</v>
      </c>
      <c r="AK312" s="405">
        <v>663332</v>
      </c>
      <c r="AL312" s="405">
        <v>0</v>
      </c>
      <c r="AM312" s="405">
        <v>0</v>
      </c>
      <c r="AN312" s="405">
        <v>0</v>
      </c>
      <c r="AO312" s="405">
        <v>0</v>
      </c>
      <c r="AP312" s="405">
        <v>12650012</v>
      </c>
      <c r="AQ312" s="405">
        <v>0</v>
      </c>
      <c r="AR312" s="405">
        <v>150170</v>
      </c>
      <c r="AS312" s="405">
        <v>0</v>
      </c>
      <c r="AT312" s="405">
        <v>0</v>
      </c>
      <c r="AU312" s="405">
        <v>0</v>
      </c>
      <c r="AV312" s="405">
        <v>0</v>
      </c>
      <c r="AW312" s="405">
        <v>158198571</v>
      </c>
      <c r="AX312" s="405">
        <v>56310153</v>
      </c>
      <c r="AY312" s="405">
        <v>0</v>
      </c>
      <c r="AZ312" s="405">
        <v>0</v>
      </c>
      <c r="BA312" s="405">
        <v>0</v>
      </c>
      <c r="BB312" s="405">
        <v>0</v>
      </c>
      <c r="BC312" s="405">
        <v>0</v>
      </c>
      <c r="BD312" s="405">
        <v>6967229</v>
      </c>
      <c r="BE312" s="405">
        <v>0</v>
      </c>
      <c r="BF312" s="405">
        <v>0</v>
      </c>
      <c r="BG312" s="405">
        <v>0</v>
      </c>
      <c r="BH312" s="405">
        <v>0</v>
      </c>
      <c r="BI312" s="405">
        <v>0</v>
      </c>
      <c r="BJ312" s="405">
        <v>2913946</v>
      </c>
      <c r="BK312" s="405">
        <v>1291023</v>
      </c>
      <c r="BL312" s="405">
        <v>0</v>
      </c>
      <c r="BM312" s="405">
        <v>0</v>
      </c>
      <c r="BN312" s="405">
        <v>12329485</v>
      </c>
      <c r="BO312" s="405">
        <v>3862584</v>
      </c>
      <c r="BP312" s="405">
        <v>0</v>
      </c>
      <c r="BQ312" s="405">
        <v>22077652</v>
      </c>
      <c r="BR312" s="405">
        <v>11468352</v>
      </c>
      <c r="BS312" s="405">
        <v>0</v>
      </c>
      <c r="BT312" s="405">
        <v>0</v>
      </c>
      <c r="BU312" s="405">
        <v>0</v>
      </c>
      <c r="BV312" s="405">
        <v>1175291</v>
      </c>
      <c r="BW312" s="405">
        <v>0</v>
      </c>
      <c r="BX312" s="405">
        <v>0</v>
      </c>
      <c r="BY312" s="405">
        <v>0</v>
      </c>
      <c r="BZ312" s="405">
        <v>19320</v>
      </c>
      <c r="CA312" s="405">
        <v>5342525</v>
      </c>
      <c r="CB312" s="405">
        <v>0</v>
      </c>
      <c r="CC312" s="405">
        <v>9011318</v>
      </c>
      <c r="CD312" s="405">
        <v>0</v>
      </c>
      <c r="CE312" s="405">
        <v>0</v>
      </c>
      <c r="CF312" s="405">
        <v>2661247</v>
      </c>
    </row>
    <row r="313" spans="1:84" s="405" customFormat="1" ht="57.6" x14ac:dyDescent="0.3">
      <c r="A313" s="405">
        <v>660</v>
      </c>
      <c r="B313" s="406">
        <v>660</v>
      </c>
      <c r="C313" s="405">
        <v>660</v>
      </c>
      <c r="D313" s="1127" t="s">
        <v>817</v>
      </c>
      <c r="F313" s="405">
        <v>0</v>
      </c>
      <c r="G313" s="405">
        <v>0</v>
      </c>
      <c r="H313" s="405">
        <v>0</v>
      </c>
      <c r="I313" s="405">
        <v>0</v>
      </c>
      <c r="J313" s="405">
        <v>0</v>
      </c>
      <c r="K313" s="405">
        <v>0</v>
      </c>
      <c r="L313" s="405">
        <v>0</v>
      </c>
      <c r="M313" s="405">
        <v>0</v>
      </c>
      <c r="N313" s="405">
        <v>0</v>
      </c>
      <c r="O313" s="405">
        <v>0</v>
      </c>
      <c r="P313" s="405">
        <v>0</v>
      </c>
      <c r="Q313" s="405">
        <v>0</v>
      </c>
      <c r="R313" s="405">
        <v>0</v>
      </c>
      <c r="S313" s="405">
        <v>0</v>
      </c>
      <c r="T313" s="405">
        <v>0</v>
      </c>
      <c r="U313" s="405">
        <v>0</v>
      </c>
      <c r="V313" s="405">
        <v>0</v>
      </c>
      <c r="W313" s="405">
        <v>0</v>
      </c>
      <c r="X313" s="405">
        <v>0</v>
      </c>
      <c r="Y313" s="405">
        <v>0</v>
      </c>
      <c r="Z313" s="405">
        <v>0</v>
      </c>
      <c r="AA313" s="405">
        <v>0</v>
      </c>
      <c r="AB313" s="405">
        <v>0</v>
      </c>
      <c r="AC313" s="405">
        <v>0</v>
      </c>
      <c r="AD313" s="405">
        <v>0</v>
      </c>
      <c r="AE313" s="405">
        <v>0</v>
      </c>
      <c r="AF313" s="405">
        <v>0</v>
      </c>
      <c r="AG313" s="405">
        <v>0</v>
      </c>
      <c r="AH313" s="405">
        <v>0</v>
      </c>
      <c r="AI313" s="405">
        <v>0</v>
      </c>
      <c r="AJ313" s="405">
        <v>0</v>
      </c>
      <c r="AK313" s="405">
        <v>0</v>
      </c>
      <c r="AL313" s="405">
        <v>0</v>
      </c>
      <c r="AM313" s="405">
        <v>0</v>
      </c>
      <c r="AN313" s="405">
        <v>0</v>
      </c>
      <c r="AO313" s="405">
        <v>0</v>
      </c>
      <c r="AP313" s="405">
        <v>0</v>
      </c>
      <c r="AQ313" s="405">
        <v>0</v>
      </c>
      <c r="AR313" s="405">
        <v>0</v>
      </c>
      <c r="AS313" s="405">
        <v>0</v>
      </c>
      <c r="AT313" s="405">
        <v>0</v>
      </c>
      <c r="AU313" s="405">
        <v>0</v>
      </c>
      <c r="AV313" s="405">
        <v>0</v>
      </c>
      <c r="AW313" s="405">
        <v>26258392</v>
      </c>
      <c r="AX313" s="405">
        <v>6461785</v>
      </c>
      <c r="AY313" s="405">
        <v>0</v>
      </c>
      <c r="AZ313" s="405">
        <v>0</v>
      </c>
      <c r="BA313" s="405">
        <v>0</v>
      </c>
      <c r="BB313" s="405">
        <v>0</v>
      </c>
      <c r="BC313" s="405">
        <v>0</v>
      </c>
      <c r="BD313" s="405">
        <v>0</v>
      </c>
      <c r="BE313" s="405">
        <v>0</v>
      </c>
      <c r="BF313" s="405">
        <v>0</v>
      </c>
      <c r="BG313" s="405">
        <v>0</v>
      </c>
      <c r="BH313" s="405">
        <v>0</v>
      </c>
      <c r="BI313" s="405">
        <v>0</v>
      </c>
      <c r="BJ313" s="405">
        <v>0</v>
      </c>
      <c r="BK313" s="405">
        <v>0</v>
      </c>
      <c r="BL313" s="405">
        <v>0</v>
      </c>
      <c r="BM313" s="405">
        <v>0</v>
      </c>
      <c r="BN313" s="405">
        <v>0</v>
      </c>
      <c r="BO313" s="405">
        <v>0</v>
      </c>
      <c r="BP313" s="405">
        <v>0</v>
      </c>
      <c r="BQ313" s="405">
        <v>0</v>
      </c>
      <c r="BR313" s="405">
        <v>0</v>
      </c>
      <c r="BS313" s="405">
        <v>0</v>
      </c>
      <c r="BT313" s="405">
        <v>0</v>
      </c>
      <c r="BU313" s="405">
        <v>0</v>
      </c>
      <c r="BV313" s="405">
        <v>0</v>
      </c>
      <c r="BW313" s="405">
        <v>0</v>
      </c>
      <c r="BX313" s="405">
        <v>0</v>
      </c>
      <c r="BY313" s="405">
        <v>0</v>
      </c>
      <c r="BZ313" s="405">
        <v>0</v>
      </c>
      <c r="CA313" s="405">
        <v>622089</v>
      </c>
      <c r="CB313" s="405">
        <v>0</v>
      </c>
      <c r="CC313" s="405">
        <v>0</v>
      </c>
      <c r="CD313" s="405">
        <v>0</v>
      </c>
      <c r="CE313" s="405">
        <v>0</v>
      </c>
      <c r="CF313" s="405">
        <v>0</v>
      </c>
    </row>
    <row r="314" spans="1:84" s="405" customFormat="1" x14ac:dyDescent="0.3">
      <c r="A314" s="405">
        <v>661</v>
      </c>
      <c r="B314" s="406">
        <v>661</v>
      </c>
      <c r="C314" s="405">
        <v>661</v>
      </c>
      <c r="D314" s="405" t="s">
        <v>820</v>
      </c>
      <c r="F314" s="405">
        <v>0</v>
      </c>
      <c r="G314" s="405">
        <v>0</v>
      </c>
      <c r="H314" s="405">
        <v>0</v>
      </c>
      <c r="I314" s="405">
        <v>0</v>
      </c>
      <c r="J314" s="405">
        <v>0</v>
      </c>
      <c r="K314" s="405">
        <v>0</v>
      </c>
      <c r="L314" s="405">
        <v>0</v>
      </c>
      <c r="M314" s="405">
        <v>0</v>
      </c>
      <c r="N314" s="405">
        <v>0</v>
      </c>
      <c r="O314" s="405">
        <v>0</v>
      </c>
      <c r="P314" s="405">
        <v>0</v>
      </c>
      <c r="Q314" s="405">
        <v>0</v>
      </c>
      <c r="R314" s="405">
        <v>0</v>
      </c>
      <c r="S314" s="405">
        <v>0</v>
      </c>
      <c r="T314" s="405">
        <v>0</v>
      </c>
      <c r="U314" s="405">
        <v>0</v>
      </c>
      <c r="V314" s="405">
        <v>0</v>
      </c>
      <c r="W314" s="405">
        <v>0</v>
      </c>
      <c r="X314" s="405">
        <v>0</v>
      </c>
      <c r="Y314" s="405">
        <v>0</v>
      </c>
      <c r="Z314" s="405">
        <v>0</v>
      </c>
      <c r="AA314" s="405">
        <v>0</v>
      </c>
      <c r="AB314" s="405">
        <v>0</v>
      </c>
      <c r="AC314" s="405">
        <v>0</v>
      </c>
      <c r="AD314" s="405">
        <v>0</v>
      </c>
      <c r="AE314" s="405">
        <v>0</v>
      </c>
      <c r="AF314" s="405">
        <v>0</v>
      </c>
      <c r="AG314" s="405">
        <v>0</v>
      </c>
      <c r="AH314" s="405">
        <v>0</v>
      </c>
      <c r="AI314" s="405">
        <v>0</v>
      </c>
      <c r="AJ314" s="405">
        <v>0</v>
      </c>
      <c r="AK314" s="405">
        <v>0</v>
      </c>
      <c r="AL314" s="405">
        <v>0</v>
      </c>
      <c r="AM314" s="405">
        <v>0</v>
      </c>
      <c r="AN314" s="405">
        <v>0</v>
      </c>
      <c r="AO314" s="405">
        <v>0</v>
      </c>
      <c r="AP314" s="405">
        <v>0</v>
      </c>
      <c r="AQ314" s="405">
        <v>0</v>
      </c>
      <c r="AR314" s="405">
        <v>0</v>
      </c>
      <c r="AS314" s="405">
        <v>0</v>
      </c>
      <c r="AT314" s="405">
        <v>0</v>
      </c>
      <c r="AU314" s="405">
        <v>0</v>
      </c>
      <c r="AV314" s="405">
        <v>0</v>
      </c>
      <c r="AW314" s="405">
        <v>17</v>
      </c>
      <c r="AX314" s="405">
        <v>12</v>
      </c>
      <c r="AY314" s="405">
        <v>0</v>
      </c>
      <c r="AZ314" s="405">
        <v>0</v>
      </c>
      <c r="BA314" s="405">
        <v>0</v>
      </c>
      <c r="BB314" s="405">
        <v>0</v>
      </c>
      <c r="BC314" s="405">
        <v>0</v>
      </c>
      <c r="BD314" s="405">
        <v>0</v>
      </c>
      <c r="BE314" s="405">
        <v>0</v>
      </c>
      <c r="BF314" s="405">
        <v>0</v>
      </c>
      <c r="BG314" s="405">
        <v>0</v>
      </c>
      <c r="BH314" s="405">
        <v>0</v>
      </c>
      <c r="BI314" s="405">
        <v>0</v>
      </c>
      <c r="BJ314" s="405">
        <v>0</v>
      </c>
      <c r="BK314" s="405">
        <v>0</v>
      </c>
      <c r="BL314" s="405">
        <v>0</v>
      </c>
      <c r="BM314" s="405">
        <v>0</v>
      </c>
      <c r="BN314" s="405">
        <v>0</v>
      </c>
      <c r="BO314" s="405">
        <v>0</v>
      </c>
      <c r="BP314" s="405">
        <v>0</v>
      </c>
      <c r="BQ314" s="405">
        <v>0</v>
      </c>
      <c r="BR314" s="405">
        <v>0</v>
      </c>
      <c r="BS314" s="405">
        <v>0</v>
      </c>
      <c r="BT314" s="405">
        <v>0</v>
      </c>
      <c r="BU314" s="405">
        <v>0</v>
      </c>
      <c r="BV314" s="405">
        <v>0</v>
      </c>
      <c r="BW314" s="405">
        <v>0</v>
      </c>
      <c r="BX314" s="405">
        <v>0</v>
      </c>
      <c r="BY314" s="405">
        <v>0</v>
      </c>
      <c r="BZ314" s="405">
        <v>0</v>
      </c>
      <c r="CA314" s="405">
        <v>11.6</v>
      </c>
      <c r="CB314" s="405">
        <v>0</v>
      </c>
      <c r="CC314" s="405">
        <v>0</v>
      </c>
      <c r="CD314" s="405">
        <v>0</v>
      </c>
      <c r="CE314" s="405">
        <v>0</v>
      </c>
      <c r="CF314" s="405">
        <v>0</v>
      </c>
    </row>
    <row r="315" spans="1:84" s="405" customFormat="1" x14ac:dyDescent="0.3">
      <c r="A315" s="405">
        <v>662</v>
      </c>
      <c r="B315" s="406">
        <v>662</v>
      </c>
      <c r="C315" s="405">
        <v>662</v>
      </c>
      <c r="D315" s="405" t="s">
        <v>857</v>
      </c>
      <c r="F315" s="405">
        <v>0</v>
      </c>
      <c r="G315" s="405">
        <v>0</v>
      </c>
      <c r="H315" s="405">
        <v>0</v>
      </c>
      <c r="I315" s="405">
        <v>0</v>
      </c>
      <c r="J315" s="405">
        <v>0</v>
      </c>
      <c r="K315" s="405">
        <v>0</v>
      </c>
      <c r="L315" s="405">
        <v>0</v>
      </c>
      <c r="M315" s="405">
        <v>0</v>
      </c>
      <c r="N315" s="405">
        <v>0</v>
      </c>
      <c r="O315" s="405">
        <v>900000</v>
      </c>
      <c r="P315" s="405">
        <v>0</v>
      </c>
      <c r="Q315" s="405">
        <v>0</v>
      </c>
      <c r="R315" s="405">
        <v>0</v>
      </c>
      <c r="S315" s="405">
        <v>0</v>
      </c>
      <c r="T315" s="405">
        <v>0</v>
      </c>
      <c r="U315" s="405">
        <v>0</v>
      </c>
      <c r="V315" s="405">
        <v>0</v>
      </c>
      <c r="W315" s="405">
        <v>0</v>
      </c>
      <c r="X315" s="405">
        <v>0</v>
      </c>
      <c r="Y315" s="405">
        <v>0</v>
      </c>
      <c r="Z315" s="405">
        <v>0</v>
      </c>
      <c r="AA315" s="405">
        <v>0</v>
      </c>
      <c r="AB315" s="405">
        <v>0</v>
      </c>
      <c r="AC315" s="405">
        <v>0</v>
      </c>
      <c r="AD315" s="405">
        <v>0</v>
      </c>
      <c r="AE315" s="405">
        <v>56778</v>
      </c>
      <c r="AF315" s="405">
        <v>0</v>
      </c>
      <c r="AG315" s="405">
        <v>0</v>
      </c>
      <c r="AH315" s="405">
        <v>111979</v>
      </c>
      <c r="AI315" s="405">
        <v>0</v>
      </c>
      <c r="AJ315" s="405">
        <v>0</v>
      </c>
      <c r="AK315" s="405">
        <v>55706</v>
      </c>
      <c r="AL315" s="405">
        <v>0</v>
      </c>
      <c r="AM315" s="405">
        <v>0</v>
      </c>
      <c r="AN315" s="405">
        <v>0</v>
      </c>
      <c r="AO315" s="405">
        <v>0</v>
      </c>
      <c r="AP315" s="405">
        <v>0</v>
      </c>
      <c r="AQ315" s="405">
        <v>0</v>
      </c>
      <c r="AR315" s="405">
        <v>0</v>
      </c>
      <c r="AS315" s="405">
        <v>0</v>
      </c>
      <c r="AT315" s="405">
        <v>0</v>
      </c>
      <c r="AU315" s="405">
        <v>0</v>
      </c>
      <c r="AV315" s="405">
        <v>0</v>
      </c>
      <c r="AW315" s="405">
        <v>0</v>
      </c>
      <c r="AX315" s="405">
        <v>0</v>
      </c>
      <c r="AY315" s="405">
        <v>0</v>
      </c>
      <c r="AZ315" s="405">
        <v>0</v>
      </c>
      <c r="BA315" s="405">
        <v>0</v>
      </c>
      <c r="BB315" s="405">
        <v>0</v>
      </c>
      <c r="BC315" s="405">
        <v>0</v>
      </c>
      <c r="BD315" s="405">
        <v>0</v>
      </c>
      <c r="BE315" s="405">
        <v>0</v>
      </c>
      <c r="BF315" s="405">
        <v>0</v>
      </c>
      <c r="BG315" s="405">
        <v>0</v>
      </c>
      <c r="BH315" s="405">
        <v>27192</v>
      </c>
      <c r="BI315" s="405">
        <v>0</v>
      </c>
      <c r="BJ315" s="405">
        <v>149058</v>
      </c>
      <c r="BK315" s="405">
        <v>0</v>
      </c>
      <c r="BL315" s="405">
        <v>0</v>
      </c>
      <c r="BM315" s="405">
        <v>0</v>
      </c>
      <c r="BN315" s="405">
        <v>0</v>
      </c>
      <c r="BO315" s="405">
        <v>0</v>
      </c>
      <c r="BP315" s="405">
        <v>0</v>
      </c>
      <c r="BQ315" s="405">
        <v>839173</v>
      </c>
      <c r="BR315" s="405">
        <v>0</v>
      </c>
      <c r="BS315" s="405">
        <v>0</v>
      </c>
      <c r="BT315" s="405">
        <v>0</v>
      </c>
      <c r="BU315" s="405">
        <v>0</v>
      </c>
      <c r="BV315" s="405">
        <v>0</v>
      </c>
      <c r="BW315" s="405">
        <v>0</v>
      </c>
      <c r="BX315" s="405">
        <v>0</v>
      </c>
      <c r="BY315" s="405">
        <v>0</v>
      </c>
      <c r="BZ315" s="405">
        <v>0</v>
      </c>
      <c r="CA315" s="405">
        <v>7786</v>
      </c>
      <c r="CB315" s="405">
        <v>0</v>
      </c>
      <c r="CC315" s="405">
        <v>0</v>
      </c>
      <c r="CD315" s="405">
        <v>0</v>
      </c>
      <c r="CE315" s="405">
        <v>0</v>
      </c>
      <c r="CF315" s="405">
        <v>60689</v>
      </c>
    </row>
    <row r="316" spans="1:84" s="405" customFormat="1" x14ac:dyDescent="0.3">
      <c r="A316" s="405">
        <v>663</v>
      </c>
      <c r="B316" s="406">
        <v>663</v>
      </c>
      <c r="C316" s="405">
        <v>663</v>
      </c>
      <c r="D316" s="405" t="s">
        <v>858</v>
      </c>
      <c r="F316" s="405">
        <v>0</v>
      </c>
      <c r="G316" s="405">
        <v>0</v>
      </c>
      <c r="H316" s="405">
        <v>0</v>
      </c>
      <c r="I316" s="405">
        <v>0</v>
      </c>
      <c r="J316" s="405">
        <v>0</v>
      </c>
      <c r="K316" s="405">
        <v>0</v>
      </c>
      <c r="L316" s="405">
        <v>0</v>
      </c>
      <c r="M316" s="405">
        <v>0</v>
      </c>
      <c r="N316" s="405">
        <v>0</v>
      </c>
      <c r="O316" s="405">
        <v>23184</v>
      </c>
      <c r="P316" s="405">
        <v>0</v>
      </c>
      <c r="Q316" s="405">
        <v>0</v>
      </c>
      <c r="R316" s="405">
        <v>0</v>
      </c>
      <c r="S316" s="405">
        <v>0</v>
      </c>
      <c r="T316" s="405">
        <v>0</v>
      </c>
      <c r="U316" s="405">
        <v>0</v>
      </c>
      <c r="V316" s="405">
        <v>0</v>
      </c>
      <c r="W316" s="405">
        <v>0</v>
      </c>
      <c r="X316" s="405">
        <v>0</v>
      </c>
      <c r="Y316" s="405">
        <v>0</v>
      </c>
      <c r="Z316" s="405">
        <v>0</v>
      </c>
      <c r="AA316" s="405">
        <v>0</v>
      </c>
      <c r="AB316" s="405">
        <v>0</v>
      </c>
      <c r="AC316" s="405">
        <v>0</v>
      </c>
      <c r="AD316" s="405">
        <v>0</v>
      </c>
      <c r="AE316" s="405">
        <v>0</v>
      </c>
      <c r="AF316" s="405">
        <v>0</v>
      </c>
      <c r="AG316" s="405">
        <v>0</v>
      </c>
      <c r="AH316" s="405">
        <v>0</v>
      </c>
      <c r="AI316" s="405">
        <v>0</v>
      </c>
      <c r="AJ316" s="405">
        <v>0</v>
      </c>
      <c r="AK316" s="405">
        <v>0</v>
      </c>
      <c r="AL316" s="405">
        <v>0</v>
      </c>
      <c r="AM316" s="405">
        <v>0</v>
      </c>
      <c r="AN316" s="405">
        <v>0</v>
      </c>
      <c r="AO316" s="405">
        <v>0</v>
      </c>
      <c r="AP316" s="405">
        <v>0</v>
      </c>
      <c r="AQ316" s="405">
        <v>0</v>
      </c>
      <c r="AR316" s="405">
        <v>0</v>
      </c>
      <c r="AS316" s="405">
        <v>0</v>
      </c>
      <c r="AT316" s="405">
        <v>0</v>
      </c>
      <c r="AU316" s="405">
        <v>0</v>
      </c>
      <c r="AV316" s="405">
        <v>0</v>
      </c>
      <c r="AW316" s="405">
        <v>8082101</v>
      </c>
      <c r="AX316" s="405">
        <v>0</v>
      </c>
      <c r="AY316" s="405">
        <v>0</v>
      </c>
      <c r="AZ316" s="405">
        <v>0</v>
      </c>
      <c r="BA316" s="405">
        <v>0</v>
      </c>
      <c r="BB316" s="405">
        <v>0</v>
      </c>
      <c r="BC316" s="405">
        <v>0</v>
      </c>
      <c r="BD316" s="405">
        <v>0</v>
      </c>
      <c r="BE316" s="405">
        <v>0</v>
      </c>
      <c r="BF316" s="405">
        <v>0</v>
      </c>
      <c r="BG316" s="405">
        <v>0</v>
      </c>
      <c r="BH316" s="405">
        <v>0</v>
      </c>
      <c r="BI316" s="405">
        <v>0</v>
      </c>
      <c r="BJ316" s="405">
        <v>26757</v>
      </c>
      <c r="BK316" s="405">
        <v>0</v>
      </c>
      <c r="BL316" s="405">
        <v>0</v>
      </c>
      <c r="BM316" s="405">
        <v>0</v>
      </c>
      <c r="BN316" s="405">
        <v>40485</v>
      </c>
      <c r="BO316" s="405">
        <v>14639</v>
      </c>
      <c r="BP316" s="405">
        <v>0</v>
      </c>
      <c r="BQ316" s="405">
        <v>189459</v>
      </c>
      <c r="BR316" s="405">
        <v>42510</v>
      </c>
      <c r="BS316" s="405">
        <v>0</v>
      </c>
      <c r="BT316" s="405">
        <v>0</v>
      </c>
      <c r="BU316" s="405">
        <v>0</v>
      </c>
      <c r="BV316" s="405">
        <v>0</v>
      </c>
      <c r="BW316" s="405">
        <v>0</v>
      </c>
      <c r="BX316" s="405">
        <v>0</v>
      </c>
      <c r="BY316" s="405">
        <v>0</v>
      </c>
      <c r="BZ316" s="405">
        <v>0</v>
      </c>
      <c r="CA316" s="405">
        <v>0</v>
      </c>
      <c r="CB316" s="405">
        <v>0</v>
      </c>
      <c r="CC316" s="405">
        <v>0</v>
      </c>
      <c r="CD316" s="405">
        <v>0</v>
      </c>
      <c r="CE316" s="405">
        <v>0</v>
      </c>
      <c r="CF316" s="405">
        <v>0</v>
      </c>
    </row>
    <row r="317" spans="1:84" s="405" customFormat="1" x14ac:dyDescent="0.3">
      <c r="A317" s="405">
        <v>906</v>
      </c>
      <c r="B317" s="405">
        <v>906</v>
      </c>
      <c r="C317" s="405" t="s">
        <v>1776</v>
      </c>
      <c r="D317" s="405" t="s">
        <v>910</v>
      </c>
      <c r="F317" s="405">
        <v>1</v>
      </c>
      <c r="G317" s="405">
        <v>1</v>
      </c>
      <c r="H317" s="405">
        <v>1</v>
      </c>
      <c r="I317" s="405">
        <v>1</v>
      </c>
      <c r="J317" s="405">
        <v>1</v>
      </c>
      <c r="K317" s="405">
        <v>1</v>
      </c>
      <c r="L317" s="405">
        <v>1</v>
      </c>
      <c r="M317" s="405">
        <v>1</v>
      </c>
      <c r="N317" s="405">
        <v>1</v>
      </c>
      <c r="O317" s="405">
        <v>1</v>
      </c>
      <c r="P317" s="405">
        <v>1</v>
      </c>
      <c r="Q317" s="405">
        <v>1</v>
      </c>
      <c r="R317" s="405">
        <v>1</v>
      </c>
      <c r="S317" s="405">
        <v>1</v>
      </c>
      <c r="T317" s="405">
        <v>1</v>
      </c>
      <c r="U317" s="405">
        <v>1</v>
      </c>
      <c r="V317" s="405">
        <v>0</v>
      </c>
      <c r="W317" s="405">
        <v>1</v>
      </c>
      <c r="X317" s="405">
        <v>1</v>
      </c>
      <c r="Y317" s="405">
        <v>1</v>
      </c>
      <c r="Z317" s="405">
        <v>0</v>
      </c>
      <c r="AA317" s="405">
        <v>1</v>
      </c>
      <c r="AB317" s="405">
        <v>1</v>
      </c>
      <c r="AC317" s="405">
        <v>1</v>
      </c>
      <c r="AD317" s="405">
        <v>1</v>
      </c>
      <c r="AE317" s="405">
        <v>1</v>
      </c>
      <c r="AF317" s="405">
        <v>1</v>
      </c>
      <c r="AG317" s="405">
        <v>1</v>
      </c>
      <c r="AH317" s="405">
        <v>1</v>
      </c>
      <c r="AI317" s="405">
        <v>1</v>
      </c>
      <c r="AJ317" s="405">
        <v>1</v>
      </c>
      <c r="AK317" s="405">
        <v>1</v>
      </c>
      <c r="AL317" s="405">
        <v>1</v>
      </c>
      <c r="AM317" s="405">
        <v>1</v>
      </c>
      <c r="AN317" s="405">
        <v>0</v>
      </c>
      <c r="AO317" s="405">
        <v>1</v>
      </c>
      <c r="AP317" s="405">
        <v>1</v>
      </c>
      <c r="AQ317" s="405">
        <v>1</v>
      </c>
      <c r="AR317" s="405">
        <v>1</v>
      </c>
      <c r="AS317" s="405">
        <v>1</v>
      </c>
      <c r="AT317" s="405">
        <v>1</v>
      </c>
      <c r="AU317" s="405">
        <v>0</v>
      </c>
      <c r="AV317" s="405">
        <v>1</v>
      </c>
      <c r="AW317" s="405">
        <v>1</v>
      </c>
      <c r="AX317" s="405">
        <v>1</v>
      </c>
      <c r="AY317" s="405">
        <v>1</v>
      </c>
      <c r="AZ317" s="405">
        <v>1</v>
      </c>
      <c r="BA317" s="405">
        <v>1</v>
      </c>
      <c r="BB317" s="405">
        <v>1</v>
      </c>
      <c r="BC317" s="405">
        <v>0</v>
      </c>
      <c r="BD317" s="405">
        <v>1</v>
      </c>
      <c r="BE317" s="405">
        <v>1</v>
      </c>
      <c r="BF317" s="405">
        <v>1</v>
      </c>
      <c r="BG317" s="405">
        <v>1</v>
      </c>
      <c r="BH317" s="405">
        <v>1</v>
      </c>
      <c r="BI317" s="405">
        <v>1</v>
      </c>
      <c r="BJ317" s="405">
        <v>1</v>
      </c>
      <c r="BK317" s="405">
        <v>1</v>
      </c>
      <c r="BL317" s="405">
        <v>1</v>
      </c>
      <c r="BM317" s="405">
        <v>1</v>
      </c>
      <c r="BN317" s="405">
        <v>1</v>
      </c>
      <c r="BO317" s="405">
        <v>1</v>
      </c>
      <c r="BP317" s="405">
        <v>0</v>
      </c>
      <c r="BQ317" s="405">
        <v>1</v>
      </c>
      <c r="BR317" s="405">
        <v>1</v>
      </c>
      <c r="BS317" s="405">
        <v>1</v>
      </c>
      <c r="BT317" s="405">
        <v>1</v>
      </c>
      <c r="BU317" s="405">
        <v>1</v>
      </c>
      <c r="BV317" s="405">
        <v>1</v>
      </c>
      <c r="BW317" s="405">
        <v>1</v>
      </c>
      <c r="BX317" s="405">
        <v>1</v>
      </c>
      <c r="BY317" s="405">
        <v>1</v>
      </c>
      <c r="BZ317" s="405">
        <v>1</v>
      </c>
      <c r="CA317" s="405">
        <v>1</v>
      </c>
      <c r="CB317" s="405">
        <v>0</v>
      </c>
      <c r="CC317" s="405">
        <v>1</v>
      </c>
      <c r="CD317" s="405">
        <v>1</v>
      </c>
      <c r="CE317" s="405">
        <v>1</v>
      </c>
      <c r="CF317" s="405">
        <v>1</v>
      </c>
    </row>
    <row r="318" spans="1:84" s="405" customFormat="1" x14ac:dyDescent="0.3">
      <c r="A318" s="405">
        <v>907</v>
      </c>
      <c r="B318" s="405">
        <v>907</v>
      </c>
      <c r="C318" s="405" t="s">
        <v>1776</v>
      </c>
      <c r="D318" s="405" t="s">
        <v>911</v>
      </c>
      <c r="F318" s="405">
        <v>1</v>
      </c>
      <c r="G318" s="405">
        <v>2</v>
      </c>
      <c r="H318" s="405">
        <v>1</v>
      </c>
      <c r="I318" s="405">
        <v>1</v>
      </c>
      <c r="J318" s="405">
        <v>1</v>
      </c>
      <c r="K318" s="405">
        <v>1</v>
      </c>
      <c r="L318" s="405">
        <v>2</v>
      </c>
      <c r="M318" s="405">
        <v>2</v>
      </c>
      <c r="N318" s="405">
        <v>2</v>
      </c>
      <c r="O318" s="405">
        <v>2</v>
      </c>
      <c r="P318" s="405">
        <v>2</v>
      </c>
      <c r="Q318" s="405">
        <v>2</v>
      </c>
      <c r="R318" s="405">
        <v>2</v>
      </c>
      <c r="S318" s="405">
        <v>2</v>
      </c>
      <c r="T318" s="405">
        <v>1</v>
      </c>
      <c r="U318" s="405">
        <v>1</v>
      </c>
      <c r="V318" s="405">
        <v>0</v>
      </c>
      <c r="W318" s="405">
        <v>2</v>
      </c>
      <c r="X318" s="405">
        <v>2</v>
      </c>
      <c r="Y318" s="405">
        <v>1</v>
      </c>
      <c r="Z318" s="405">
        <v>0</v>
      </c>
      <c r="AA318" s="405">
        <v>2</v>
      </c>
      <c r="AB318" s="405">
        <v>2</v>
      </c>
      <c r="AC318" s="405">
        <v>2</v>
      </c>
      <c r="AD318" s="405">
        <v>1</v>
      </c>
      <c r="AE318" s="405">
        <v>2</v>
      </c>
      <c r="AF318" s="405">
        <v>1</v>
      </c>
      <c r="AG318" s="405">
        <v>2</v>
      </c>
      <c r="AH318" s="405">
        <v>2</v>
      </c>
      <c r="AI318" s="405">
        <v>2</v>
      </c>
      <c r="AJ318" s="405">
        <v>2</v>
      </c>
      <c r="AK318" s="405">
        <v>2</v>
      </c>
      <c r="AL318" s="405">
        <v>1</v>
      </c>
      <c r="AM318" s="405">
        <v>2</v>
      </c>
      <c r="AN318" s="405">
        <v>0</v>
      </c>
      <c r="AO318" s="405">
        <v>1</v>
      </c>
      <c r="AP318" s="405">
        <v>2</v>
      </c>
      <c r="AQ318" s="405">
        <v>2</v>
      </c>
      <c r="AR318" s="405">
        <v>2</v>
      </c>
      <c r="AS318" s="405">
        <v>1</v>
      </c>
      <c r="AT318" s="405">
        <v>2</v>
      </c>
      <c r="AU318" s="405">
        <v>0</v>
      </c>
      <c r="AV318" s="405">
        <v>1</v>
      </c>
      <c r="AW318" s="405">
        <v>2</v>
      </c>
      <c r="AX318" s="405">
        <v>2</v>
      </c>
      <c r="AY318" s="405">
        <v>2</v>
      </c>
      <c r="AZ318" s="405">
        <v>2</v>
      </c>
      <c r="BA318" s="405">
        <v>2</v>
      </c>
      <c r="BB318" s="405">
        <v>1</v>
      </c>
      <c r="BC318" s="405">
        <v>0</v>
      </c>
      <c r="BD318" s="405">
        <v>2</v>
      </c>
      <c r="BE318" s="405">
        <v>1</v>
      </c>
      <c r="BF318" s="405">
        <v>1</v>
      </c>
      <c r="BG318" s="405">
        <v>1</v>
      </c>
      <c r="BH318" s="405">
        <v>2</v>
      </c>
      <c r="BI318" s="405">
        <v>2</v>
      </c>
      <c r="BJ318" s="405">
        <v>2</v>
      </c>
      <c r="BK318" s="405">
        <v>2</v>
      </c>
      <c r="BL318" s="405">
        <v>2</v>
      </c>
      <c r="BM318" s="405">
        <v>1</v>
      </c>
      <c r="BN318" s="405">
        <v>2</v>
      </c>
      <c r="BO318" s="405">
        <v>2</v>
      </c>
      <c r="BP318" s="405">
        <v>0</v>
      </c>
      <c r="BQ318" s="405">
        <v>2</v>
      </c>
      <c r="BR318" s="405">
        <v>2</v>
      </c>
      <c r="BS318" s="405">
        <v>2</v>
      </c>
      <c r="BT318" s="405">
        <v>1</v>
      </c>
      <c r="BU318" s="405">
        <v>2</v>
      </c>
      <c r="BV318" s="405">
        <v>2</v>
      </c>
      <c r="BW318" s="405">
        <v>2</v>
      </c>
      <c r="BX318" s="405">
        <v>2</v>
      </c>
      <c r="BY318" s="405">
        <v>2</v>
      </c>
      <c r="BZ318" s="405">
        <v>2</v>
      </c>
      <c r="CA318" s="405">
        <v>2</v>
      </c>
      <c r="CB318" s="405">
        <v>0</v>
      </c>
      <c r="CC318" s="405">
        <v>2</v>
      </c>
      <c r="CD318" s="405">
        <v>1</v>
      </c>
      <c r="CE318" s="405">
        <v>2</v>
      </c>
      <c r="CF318" s="405">
        <v>2</v>
      </c>
    </row>
    <row r="319" spans="1:84" s="405" customFormat="1" x14ac:dyDescent="0.3">
      <c r="A319" s="405">
        <v>951</v>
      </c>
      <c r="B319" s="405">
        <v>951</v>
      </c>
      <c r="C319" s="405" t="s">
        <v>1776</v>
      </c>
      <c r="D319" s="405" t="s">
        <v>912</v>
      </c>
      <c r="F319" s="405">
        <v>2</v>
      </c>
      <c r="G319" s="405">
        <v>2</v>
      </c>
      <c r="H319" s="405">
        <v>2</v>
      </c>
      <c r="I319" s="405">
        <v>2</v>
      </c>
      <c r="J319" s="405">
        <v>1</v>
      </c>
      <c r="K319" s="405">
        <v>2</v>
      </c>
      <c r="L319" s="405">
        <v>2</v>
      </c>
      <c r="M319" s="405">
        <v>2</v>
      </c>
      <c r="N319" s="405">
        <v>2</v>
      </c>
      <c r="O319" s="405">
        <v>2</v>
      </c>
      <c r="P319" s="405">
        <v>2</v>
      </c>
      <c r="Q319" s="405">
        <v>2</v>
      </c>
      <c r="R319" s="405">
        <v>2</v>
      </c>
      <c r="S319" s="405">
        <v>2</v>
      </c>
      <c r="T319" s="405">
        <v>2</v>
      </c>
      <c r="U319" s="405">
        <v>2</v>
      </c>
      <c r="V319" s="405">
        <v>0</v>
      </c>
      <c r="W319" s="405">
        <v>2</v>
      </c>
      <c r="X319" s="405">
        <v>2</v>
      </c>
      <c r="Y319" s="405">
        <v>2</v>
      </c>
      <c r="Z319" s="405">
        <v>0</v>
      </c>
      <c r="AA319" s="405">
        <v>2</v>
      </c>
      <c r="AB319" s="405">
        <v>2</v>
      </c>
      <c r="AC319" s="405">
        <v>2</v>
      </c>
      <c r="AD319" s="405">
        <v>2</v>
      </c>
      <c r="AE319" s="405">
        <v>2</v>
      </c>
      <c r="AF319" s="405">
        <v>1</v>
      </c>
      <c r="AG319" s="405">
        <v>2</v>
      </c>
      <c r="AH319" s="405">
        <v>2</v>
      </c>
      <c r="AI319" s="405">
        <v>2</v>
      </c>
      <c r="AJ319" s="405">
        <v>2</v>
      </c>
      <c r="AK319" s="405">
        <v>2</v>
      </c>
      <c r="AL319" s="405">
        <v>1</v>
      </c>
      <c r="AM319" s="405">
        <v>2</v>
      </c>
      <c r="AN319" s="405">
        <v>0</v>
      </c>
      <c r="AO319" s="405">
        <v>2</v>
      </c>
      <c r="AP319" s="405">
        <v>2</v>
      </c>
      <c r="AQ319" s="405">
        <v>2</v>
      </c>
      <c r="AR319" s="405">
        <v>2</v>
      </c>
      <c r="AS319" s="405">
        <v>1</v>
      </c>
      <c r="AT319" s="405">
        <v>2</v>
      </c>
      <c r="AU319" s="405">
        <v>0</v>
      </c>
      <c r="AV319" s="405">
        <v>2</v>
      </c>
      <c r="AW319" s="405">
        <v>2</v>
      </c>
      <c r="AX319" s="405">
        <v>2</v>
      </c>
      <c r="AY319" s="405">
        <v>2</v>
      </c>
      <c r="AZ319" s="405">
        <v>2</v>
      </c>
      <c r="BA319" s="405">
        <v>2</v>
      </c>
      <c r="BB319" s="405">
        <v>1</v>
      </c>
      <c r="BC319" s="405">
        <v>0</v>
      </c>
      <c r="BD319" s="405">
        <v>2</v>
      </c>
      <c r="BE319" s="405">
        <v>1</v>
      </c>
      <c r="BF319" s="405">
        <v>2</v>
      </c>
      <c r="BG319" s="405">
        <v>1</v>
      </c>
      <c r="BH319" s="405">
        <v>2</v>
      </c>
      <c r="BI319" s="405">
        <v>2</v>
      </c>
      <c r="BJ319" s="405">
        <v>2</v>
      </c>
      <c r="BK319" s="405">
        <v>2</v>
      </c>
      <c r="BL319" s="405">
        <v>2</v>
      </c>
      <c r="BM319" s="405">
        <v>2</v>
      </c>
      <c r="BN319" s="405">
        <v>2</v>
      </c>
      <c r="BO319" s="405">
        <v>2</v>
      </c>
      <c r="BP319" s="405">
        <v>0</v>
      </c>
      <c r="BQ319" s="405">
        <v>2</v>
      </c>
      <c r="BR319" s="405">
        <v>2</v>
      </c>
      <c r="BS319" s="405">
        <v>2</v>
      </c>
      <c r="BT319" s="405">
        <v>2</v>
      </c>
      <c r="BU319" s="405">
        <v>2</v>
      </c>
      <c r="BV319" s="405">
        <v>2</v>
      </c>
      <c r="BW319" s="405">
        <v>2</v>
      </c>
      <c r="BX319" s="405">
        <v>2</v>
      </c>
      <c r="BY319" s="405">
        <v>2</v>
      </c>
      <c r="BZ319" s="405">
        <v>2</v>
      </c>
      <c r="CA319" s="405">
        <v>2</v>
      </c>
      <c r="CB319" s="405">
        <v>0</v>
      </c>
      <c r="CC319" s="405">
        <v>2</v>
      </c>
      <c r="CD319" s="405">
        <v>2</v>
      </c>
      <c r="CE319" s="405">
        <v>2</v>
      </c>
      <c r="CF319" s="405">
        <v>2</v>
      </c>
    </row>
    <row r="320" spans="1:84" s="405" customFormat="1" x14ac:dyDescent="0.3">
      <c r="A320" s="405">
        <v>953</v>
      </c>
      <c r="B320" s="405">
        <v>953</v>
      </c>
      <c r="C320" s="405" t="s">
        <v>1776</v>
      </c>
      <c r="D320" s="405" t="s">
        <v>913</v>
      </c>
      <c r="F320" s="405">
        <v>2</v>
      </c>
      <c r="G320" s="405">
        <v>2</v>
      </c>
      <c r="H320" s="405">
        <v>2</v>
      </c>
      <c r="I320" s="405">
        <v>2</v>
      </c>
      <c r="J320" s="405">
        <v>2</v>
      </c>
      <c r="K320" s="405">
        <v>2</v>
      </c>
      <c r="L320" s="405">
        <v>2</v>
      </c>
      <c r="M320" s="405">
        <v>2</v>
      </c>
      <c r="N320" s="405">
        <v>2</v>
      </c>
      <c r="O320" s="405">
        <v>2</v>
      </c>
      <c r="P320" s="405">
        <v>2</v>
      </c>
      <c r="Q320" s="405">
        <v>2</v>
      </c>
      <c r="R320" s="405">
        <v>2</v>
      </c>
      <c r="S320" s="405">
        <v>2</v>
      </c>
      <c r="T320" s="405">
        <v>2</v>
      </c>
      <c r="U320" s="405">
        <v>2</v>
      </c>
      <c r="V320" s="405">
        <v>0</v>
      </c>
      <c r="W320" s="405">
        <v>2</v>
      </c>
      <c r="X320" s="405">
        <v>2</v>
      </c>
      <c r="Y320" s="405">
        <v>2</v>
      </c>
      <c r="Z320" s="405">
        <v>0</v>
      </c>
      <c r="AA320" s="405">
        <v>2</v>
      </c>
      <c r="AB320" s="405">
        <v>2</v>
      </c>
      <c r="AC320" s="405">
        <v>2</v>
      </c>
      <c r="AD320" s="405">
        <v>2</v>
      </c>
      <c r="AE320" s="405">
        <v>2</v>
      </c>
      <c r="AF320" s="405">
        <v>2</v>
      </c>
      <c r="AG320" s="405">
        <v>2</v>
      </c>
      <c r="AH320" s="405">
        <v>2</v>
      </c>
      <c r="AI320" s="405">
        <v>2</v>
      </c>
      <c r="AJ320" s="405">
        <v>2</v>
      </c>
      <c r="AK320" s="405">
        <v>2</v>
      </c>
      <c r="AL320" s="405">
        <v>2</v>
      </c>
      <c r="AM320" s="405">
        <v>2</v>
      </c>
      <c r="AN320" s="405">
        <v>0</v>
      </c>
      <c r="AO320" s="405">
        <v>2</v>
      </c>
      <c r="AP320" s="405">
        <v>2</v>
      </c>
      <c r="AQ320" s="405">
        <v>2</v>
      </c>
      <c r="AR320" s="405">
        <v>2</v>
      </c>
      <c r="AS320" s="405">
        <v>2</v>
      </c>
      <c r="AT320" s="405">
        <v>2</v>
      </c>
      <c r="AU320" s="405">
        <v>0</v>
      </c>
      <c r="AV320" s="405">
        <v>2</v>
      </c>
      <c r="AW320" s="405">
        <v>2</v>
      </c>
      <c r="AX320" s="405">
        <v>2</v>
      </c>
      <c r="AY320" s="405">
        <v>2</v>
      </c>
      <c r="AZ320" s="405">
        <v>2</v>
      </c>
      <c r="BA320" s="405">
        <v>2</v>
      </c>
      <c r="BB320" s="405">
        <v>2</v>
      </c>
      <c r="BC320" s="405">
        <v>0</v>
      </c>
      <c r="BD320" s="405">
        <v>2</v>
      </c>
      <c r="BE320" s="405">
        <v>2</v>
      </c>
      <c r="BF320" s="405">
        <v>2</v>
      </c>
      <c r="BG320" s="405">
        <v>2</v>
      </c>
      <c r="BH320" s="405">
        <v>2</v>
      </c>
      <c r="BI320" s="405">
        <v>2</v>
      </c>
      <c r="BJ320" s="405">
        <v>2</v>
      </c>
      <c r="BK320" s="405">
        <v>2</v>
      </c>
      <c r="BL320" s="405">
        <v>2</v>
      </c>
      <c r="BM320" s="405">
        <v>2</v>
      </c>
      <c r="BN320" s="405">
        <v>2</v>
      </c>
      <c r="BO320" s="405">
        <v>2</v>
      </c>
      <c r="BP320" s="405">
        <v>0</v>
      </c>
      <c r="BQ320" s="405">
        <v>2</v>
      </c>
      <c r="BR320" s="405">
        <v>2</v>
      </c>
      <c r="BS320" s="405">
        <v>2</v>
      </c>
      <c r="BT320" s="405">
        <v>2</v>
      </c>
      <c r="BU320" s="405">
        <v>2</v>
      </c>
      <c r="BV320" s="405">
        <v>2</v>
      </c>
      <c r="BW320" s="405">
        <v>2</v>
      </c>
      <c r="BX320" s="405">
        <v>2</v>
      </c>
      <c r="BY320" s="405">
        <v>2</v>
      </c>
      <c r="BZ320" s="405">
        <v>2</v>
      </c>
      <c r="CA320" s="405">
        <v>2</v>
      </c>
      <c r="CB320" s="405">
        <v>0</v>
      </c>
      <c r="CC320" s="405">
        <v>2</v>
      </c>
      <c r="CD320" s="405">
        <v>2</v>
      </c>
      <c r="CE320" s="405">
        <v>2</v>
      </c>
      <c r="CF320" s="405">
        <v>2</v>
      </c>
    </row>
    <row r="321" spans="1:84" s="405" customFormat="1" x14ac:dyDescent="0.3">
      <c r="A321" s="405">
        <v>955</v>
      </c>
      <c r="B321" s="405">
        <v>955</v>
      </c>
      <c r="C321" s="405" t="s">
        <v>1776</v>
      </c>
      <c r="D321" s="405" t="s">
        <v>923</v>
      </c>
      <c r="F321" s="405">
        <v>1</v>
      </c>
      <c r="G321" s="405">
        <v>0</v>
      </c>
      <c r="H321" s="405">
        <v>0</v>
      </c>
      <c r="I321" s="405">
        <v>0</v>
      </c>
      <c r="J321" s="405">
        <v>0</v>
      </c>
      <c r="K321" s="405">
        <v>0</v>
      </c>
      <c r="L321" s="405">
        <v>0</v>
      </c>
      <c r="M321" s="405">
        <v>0</v>
      </c>
      <c r="N321" s="405">
        <v>0</v>
      </c>
      <c r="O321" s="405">
        <v>0</v>
      </c>
      <c r="P321" s="405">
        <v>0</v>
      </c>
      <c r="Q321" s="405">
        <v>0</v>
      </c>
      <c r="R321" s="405">
        <v>0</v>
      </c>
      <c r="S321" s="405">
        <v>0</v>
      </c>
      <c r="T321" s="405">
        <v>0</v>
      </c>
      <c r="U321" s="405">
        <v>0</v>
      </c>
      <c r="V321" s="405">
        <v>0</v>
      </c>
      <c r="W321" s="405">
        <v>0</v>
      </c>
      <c r="X321" s="405">
        <v>0</v>
      </c>
      <c r="Y321" s="405">
        <v>0</v>
      </c>
      <c r="Z321" s="405">
        <v>0</v>
      </c>
      <c r="AA321" s="405">
        <v>0</v>
      </c>
      <c r="AB321" s="405">
        <v>0</v>
      </c>
      <c r="AC321" s="405">
        <v>0</v>
      </c>
      <c r="AD321" s="405">
        <v>0</v>
      </c>
      <c r="AE321" s="405">
        <v>0</v>
      </c>
      <c r="AF321" s="405">
        <v>0</v>
      </c>
      <c r="AG321" s="405">
        <v>0</v>
      </c>
      <c r="AH321" s="405">
        <v>1</v>
      </c>
      <c r="AI321" s="405">
        <v>0</v>
      </c>
      <c r="AJ321" s="405">
        <v>0</v>
      </c>
      <c r="AK321" s="405">
        <v>0</v>
      </c>
      <c r="AL321" s="405">
        <v>1</v>
      </c>
      <c r="AM321" s="405">
        <v>0</v>
      </c>
      <c r="AN321" s="405">
        <v>0</v>
      </c>
      <c r="AO321" s="405">
        <v>1</v>
      </c>
      <c r="AP321" s="405">
        <v>0</v>
      </c>
      <c r="AQ321" s="405">
        <v>0</v>
      </c>
      <c r="AR321" s="405">
        <v>0</v>
      </c>
      <c r="AS321" s="405">
        <v>0</v>
      </c>
      <c r="AT321" s="405">
        <v>0</v>
      </c>
      <c r="AU321" s="405">
        <v>0</v>
      </c>
      <c r="AV321" s="405">
        <v>2</v>
      </c>
      <c r="AW321" s="405">
        <v>0</v>
      </c>
      <c r="AX321" s="405">
        <v>0</v>
      </c>
      <c r="AY321" s="405">
        <v>0</v>
      </c>
      <c r="AZ321" s="405">
        <v>0</v>
      </c>
      <c r="BA321" s="405">
        <v>0</v>
      </c>
      <c r="BB321" s="405">
        <v>0</v>
      </c>
      <c r="BC321" s="405">
        <v>0</v>
      </c>
      <c r="BD321" s="405">
        <v>0</v>
      </c>
      <c r="BE321" s="405">
        <v>0</v>
      </c>
      <c r="BF321" s="405">
        <v>1</v>
      </c>
      <c r="BG321" s="405">
        <v>0</v>
      </c>
      <c r="BH321" s="405">
        <v>0</v>
      </c>
      <c r="BI321" s="405">
        <v>0</v>
      </c>
      <c r="BJ321" s="405">
        <v>0</v>
      </c>
      <c r="BK321" s="405">
        <v>0</v>
      </c>
      <c r="BL321" s="405">
        <v>0</v>
      </c>
      <c r="BM321" s="405">
        <v>2</v>
      </c>
      <c r="BN321" s="405">
        <v>0</v>
      </c>
      <c r="BO321" s="405">
        <v>0</v>
      </c>
      <c r="BP321" s="405">
        <v>0</v>
      </c>
      <c r="BQ321" s="405">
        <v>0</v>
      </c>
      <c r="BR321" s="405">
        <v>1</v>
      </c>
      <c r="BS321" s="405">
        <v>0</v>
      </c>
      <c r="BT321" s="405">
        <v>1</v>
      </c>
      <c r="BU321" s="405">
        <v>0</v>
      </c>
      <c r="BV321" s="405">
        <v>0</v>
      </c>
      <c r="BW321" s="405">
        <v>0</v>
      </c>
      <c r="BX321" s="405">
        <v>0</v>
      </c>
      <c r="BY321" s="405">
        <v>0</v>
      </c>
      <c r="BZ321" s="405">
        <v>0</v>
      </c>
      <c r="CA321" s="405">
        <v>1</v>
      </c>
      <c r="CB321" s="405">
        <v>0</v>
      </c>
      <c r="CC321" s="405">
        <v>0</v>
      </c>
      <c r="CD321" s="405">
        <v>1</v>
      </c>
      <c r="CE321" s="405">
        <v>0</v>
      </c>
      <c r="CF321" s="405">
        <v>0</v>
      </c>
    </row>
    <row r="322" spans="1:84" s="405" customFormat="1" x14ac:dyDescent="0.3">
      <c r="A322" s="405">
        <v>957</v>
      </c>
      <c r="B322" s="405">
        <v>957</v>
      </c>
      <c r="C322" s="405" t="s">
        <v>1776</v>
      </c>
      <c r="D322" s="405" t="s">
        <v>924</v>
      </c>
      <c r="F322" s="405">
        <v>0</v>
      </c>
      <c r="G322" s="405">
        <v>0</v>
      </c>
      <c r="H322" s="405">
        <v>0</v>
      </c>
      <c r="I322" s="405">
        <v>0</v>
      </c>
      <c r="J322" s="405">
        <v>0</v>
      </c>
      <c r="K322" s="405">
        <v>0</v>
      </c>
      <c r="L322" s="405">
        <v>0</v>
      </c>
      <c r="M322" s="405">
        <v>0</v>
      </c>
      <c r="N322" s="405">
        <v>0</v>
      </c>
      <c r="O322" s="405">
        <v>0</v>
      </c>
      <c r="P322" s="405">
        <v>0</v>
      </c>
      <c r="Q322" s="405">
        <v>0</v>
      </c>
      <c r="R322" s="405">
        <v>0</v>
      </c>
      <c r="S322" s="405">
        <v>0</v>
      </c>
      <c r="T322" s="405">
        <v>0</v>
      </c>
      <c r="U322" s="405">
        <v>0</v>
      </c>
      <c r="V322" s="405">
        <v>0</v>
      </c>
      <c r="W322" s="405">
        <v>0</v>
      </c>
      <c r="X322" s="405">
        <v>0</v>
      </c>
      <c r="Y322" s="405">
        <v>0</v>
      </c>
      <c r="Z322" s="405">
        <v>0</v>
      </c>
      <c r="AA322" s="405">
        <v>0</v>
      </c>
      <c r="AB322" s="405">
        <v>0</v>
      </c>
      <c r="AC322" s="405">
        <v>0</v>
      </c>
      <c r="AD322" s="405">
        <v>0</v>
      </c>
      <c r="AE322" s="405">
        <v>0</v>
      </c>
      <c r="AF322" s="405">
        <v>0</v>
      </c>
      <c r="AG322" s="405">
        <v>0</v>
      </c>
      <c r="AH322" s="405">
        <v>0</v>
      </c>
      <c r="AI322" s="405">
        <v>0</v>
      </c>
      <c r="AJ322" s="405">
        <v>0</v>
      </c>
      <c r="AK322" s="405">
        <v>0</v>
      </c>
      <c r="AL322" s="405">
        <v>3</v>
      </c>
      <c r="AM322" s="405">
        <v>0</v>
      </c>
      <c r="AN322" s="405">
        <v>0</v>
      </c>
      <c r="AO322" s="405">
        <v>0</v>
      </c>
      <c r="AP322" s="405">
        <v>0</v>
      </c>
      <c r="AQ322" s="405">
        <v>0</v>
      </c>
      <c r="AR322" s="405">
        <v>0</v>
      </c>
      <c r="AS322" s="405">
        <v>0</v>
      </c>
      <c r="AT322" s="405">
        <v>0</v>
      </c>
      <c r="AU322" s="405">
        <v>0</v>
      </c>
      <c r="AV322" s="405">
        <v>0</v>
      </c>
      <c r="AW322" s="405">
        <v>0</v>
      </c>
      <c r="AX322" s="405">
        <v>0</v>
      </c>
      <c r="AY322" s="405">
        <v>0</v>
      </c>
      <c r="AZ322" s="405">
        <v>0</v>
      </c>
      <c r="BA322" s="405">
        <v>0</v>
      </c>
      <c r="BB322" s="405">
        <v>0</v>
      </c>
      <c r="BC322" s="405">
        <v>0</v>
      </c>
      <c r="BD322" s="405">
        <v>0</v>
      </c>
      <c r="BE322" s="405">
        <v>0</v>
      </c>
      <c r="BF322" s="405">
        <v>0</v>
      </c>
      <c r="BG322" s="405">
        <v>0</v>
      </c>
      <c r="BH322" s="405">
        <v>0</v>
      </c>
      <c r="BI322" s="405">
        <v>0</v>
      </c>
      <c r="BJ322" s="405">
        <v>0</v>
      </c>
      <c r="BK322" s="405">
        <v>0</v>
      </c>
      <c r="BL322" s="405">
        <v>0</v>
      </c>
      <c r="BM322" s="405">
        <v>0</v>
      </c>
      <c r="BN322" s="405">
        <v>1</v>
      </c>
      <c r="BO322" s="405">
        <v>0</v>
      </c>
      <c r="BP322" s="405">
        <v>0</v>
      </c>
      <c r="BQ322" s="405">
        <v>0</v>
      </c>
      <c r="BR322" s="405">
        <v>0</v>
      </c>
      <c r="BS322" s="405">
        <v>0</v>
      </c>
      <c r="BT322" s="405">
        <v>1</v>
      </c>
      <c r="BU322" s="405">
        <v>0</v>
      </c>
      <c r="BV322" s="405">
        <v>0</v>
      </c>
      <c r="BW322" s="405">
        <v>0</v>
      </c>
      <c r="BX322" s="405">
        <v>0</v>
      </c>
      <c r="BY322" s="405">
        <v>0</v>
      </c>
      <c r="BZ322" s="405">
        <v>0</v>
      </c>
      <c r="CA322" s="405">
        <v>0</v>
      </c>
      <c r="CB322" s="405">
        <v>0</v>
      </c>
      <c r="CC322" s="405">
        <v>0</v>
      </c>
      <c r="CD322" s="405">
        <v>0</v>
      </c>
      <c r="CE322" s="405">
        <v>0</v>
      </c>
      <c r="CF322" s="405">
        <v>0</v>
      </c>
    </row>
    <row r="323" spans="1:84" s="405" customFormat="1" x14ac:dyDescent="0.3">
      <c r="A323" s="405">
        <v>959</v>
      </c>
      <c r="B323" s="405">
        <v>959</v>
      </c>
      <c r="C323" s="405" t="s">
        <v>1776</v>
      </c>
      <c r="D323" s="405" t="s">
        <v>914</v>
      </c>
      <c r="F323" s="405">
        <v>2</v>
      </c>
      <c r="G323" s="405">
        <v>2</v>
      </c>
      <c r="H323" s="405">
        <v>2</v>
      </c>
      <c r="I323" s="405">
        <v>2</v>
      </c>
      <c r="J323" s="405">
        <v>2</v>
      </c>
      <c r="K323" s="405">
        <v>2</v>
      </c>
      <c r="L323" s="405">
        <v>3</v>
      </c>
      <c r="M323" s="405">
        <v>2</v>
      </c>
      <c r="N323" s="405">
        <v>2</v>
      </c>
      <c r="O323" s="405">
        <v>2</v>
      </c>
      <c r="P323" s="405">
        <v>3</v>
      </c>
      <c r="Q323" s="405">
        <v>3</v>
      </c>
      <c r="R323" s="405">
        <v>3</v>
      </c>
      <c r="S323" s="405">
        <v>2</v>
      </c>
      <c r="T323" s="405">
        <v>3</v>
      </c>
      <c r="U323" s="405">
        <v>2</v>
      </c>
      <c r="V323" s="405">
        <v>0</v>
      </c>
      <c r="W323" s="405">
        <v>2</v>
      </c>
      <c r="X323" s="405">
        <v>2</v>
      </c>
      <c r="Y323" s="405">
        <v>2</v>
      </c>
      <c r="Z323" s="405">
        <v>0</v>
      </c>
      <c r="AA323" s="405">
        <v>2</v>
      </c>
      <c r="AB323" s="405">
        <v>2</v>
      </c>
      <c r="AC323" s="405">
        <v>2</v>
      </c>
      <c r="AD323" s="405">
        <v>2</v>
      </c>
      <c r="AE323" s="405">
        <v>2</v>
      </c>
      <c r="AF323" s="405">
        <v>2</v>
      </c>
      <c r="AG323" s="405">
        <v>2</v>
      </c>
      <c r="AH323" s="405">
        <v>2</v>
      </c>
      <c r="AI323" s="405">
        <v>2</v>
      </c>
      <c r="AJ323" s="405">
        <v>2</v>
      </c>
      <c r="AK323" s="405">
        <v>2</v>
      </c>
      <c r="AL323" s="405">
        <v>3</v>
      </c>
      <c r="AM323" s="405">
        <v>2</v>
      </c>
      <c r="AN323" s="405">
        <v>0</v>
      </c>
      <c r="AO323" s="405">
        <v>2</v>
      </c>
      <c r="AP323" s="405">
        <v>2</v>
      </c>
      <c r="AQ323" s="405">
        <v>2</v>
      </c>
      <c r="AR323" s="405">
        <v>2</v>
      </c>
      <c r="AS323" s="405">
        <v>2</v>
      </c>
      <c r="AT323" s="405">
        <v>2</v>
      </c>
      <c r="AU323" s="405">
        <v>0</v>
      </c>
      <c r="AV323" s="405">
        <v>2</v>
      </c>
      <c r="AW323" s="405">
        <v>2</v>
      </c>
      <c r="AX323" s="405">
        <v>2</v>
      </c>
      <c r="AY323" s="405">
        <v>2</v>
      </c>
      <c r="AZ323" s="405">
        <v>2</v>
      </c>
      <c r="BA323" s="405">
        <v>2</v>
      </c>
      <c r="BB323" s="405">
        <v>2</v>
      </c>
      <c r="BC323" s="405">
        <v>0</v>
      </c>
      <c r="BD323" s="405">
        <v>2</v>
      </c>
      <c r="BE323" s="405">
        <v>2</v>
      </c>
      <c r="BF323" s="405">
        <v>2</v>
      </c>
      <c r="BG323" s="405">
        <v>2</v>
      </c>
      <c r="BH323" s="405">
        <v>2</v>
      </c>
      <c r="BI323" s="405">
        <v>3</v>
      </c>
      <c r="BJ323" s="405">
        <v>2</v>
      </c>
      <c r="BK323" s="405">
        <v>2</v>
      </c>
      <c r="BL323" s="405">
        <v>3</v>
      </c>
      <c r="BM323" s="405">
        <v>2</v>
      </c>
      <c r="BN323" s="405">
        <v>2</v>
      </c>
      <c r="BO323" s="405">
        <v>2</v>
      </c>
      <c r="BP323" s="405">
        <v>0</v>
      </c>
      <c r="BQ323" s="405">
        <v>2</v>
      </c>
      <c r="BR323" s="405">
        <v>2</v>
      </c>
      <c r="BS323" s="405">
        <v>2</v>
      </c>
      <c r="BT323" s="405">
        <v>2</v>
      </c>
      <c r="BU323" s="405">
        <v>2</v>
      </c>
      <c r="BV323" s="405">
        <v>2</v>
      </c>
      <c r="BW323" s="405">
        <v>2</v>
      </c>
      <c r="BX323" s="405">
        <v>2</v>
      </c>
      <c r="BY323" s="405">
        <v>2</v>
      </c>
      <c r="BZ323" s="405">
        <v>2</v>
      </c>
      <c r="CA323" s="405">
        <v>2</v>
      </c>
      <c r="CB323" s="405">
        <v>0</v>
      </c>
      <c r="CC323" s="405">
        <v>2</v>
      </c>
      <c r="CD323" s="405">
        <v>2</v>
      </c>
      <c r="CE323" s="405">
        <v>3</v>
      </c>
      <c r="CF323" s="405">
        <v>2</v>
      </c>
    </row>
    <row r="324" spans="1:84" s="405" customFormat="1" x14ac:dyDescent="0.3">
      <c r="A324" s="405">
        <v>961</v>
      </c>
      <c r="B324" s="405">
        <v>961</v>
      </c>
      <c r="C324" s="405" t="s">
        <v>1776</v>
      </c>
      <c r="D324" s="405" t="s">
        <v>915</v>
      </c>
      <c r="F324" s="405">
        <v>3</v>
      </c>
      <c r="G324" s="405">
        <v>2</v>
      </c>
      <c r="H324" s="405">
        <v>2</v>
      </c>
      <c r="I324" s="405">
        <v>2</v>
      </c>
      <c r="J324" s="405">
        <v>2</v>
      </c>
      <c r="K324" s="405">
        <v>2</v>
      </c>
      <c r="L324" s="405">
        <v>3</v>
      </c>
      <c r="M324" s="405">
        <v>2</v>
      </c>
      <c r="N324" s="405">
        <v>2</v>
      </c>
      <c r="O324" s="405">
        <v>2</v>
      </c>
      <c r="P324" s="405">
        <v>3</v>
      </c>
      <c r="Q324" s="405">
        <v>2</v>
      </c>
      <c r="R324" s="405">
        <v>3</v>
      </c>
      <c r="S324" s="405">
        <v>2</v>
      </c>
      <c r="T324" s="405">
        <v>3</v>
      </c>
      <c r="U324" s="405">
        <v>2</v>
      </c>
      <c r="V324" s="405">
        <v>0</v>
      </c>
      <c r="W324" s="405">
        <v>3</v>
      </c>
      <c r="X324" s="405">
        <v>2</v>
      </c>
      <c r="Y324" s="405">
        <v>3</v>
      </c>
      <c r="Z324" s="405">
        <v>0</v>
      </c>
      <c r="AA324" s="405">
        <v>2</v>
      </c>
      <c r="AB324" s="405">
        <v>2</v>
      </c>
      <c r="AC324" s="405">
        <v>2</v>
      </c>
      <c r="AD324" s="405">
        <v>2</v>
      </c>
      <c r="AE324" s="405">
        <v>2</v>
      </c>
      <c r="AF324" s="405">
        <v>3</v>
      </c>
      <c r="AG324" s="405">
        <v>2</v>
      </c>
      <c r="AH324" s="405">
        <v>2</v>
      </c>
      <c r="AI324" s="405">
        <v>3</v>
      </c>
      <c r="AJ324" s="405">
        <v>2</v>
      </c>
      <c r="AK324" s="405">
        <v>2</v>
      </c>
      <c r="AL324" s="405">
        <v>3</v>
      </c>
      <c r="AM324" s="405">
        <v>2</v>
      </c>
      <c r="AN324" s="405">
        <v>0</v>
      </c>
      <c r="AO324" s="405">
        <v>2</v>
      </c>
      <c r="AP324" s="405">
        <v>2</v>
      </c>
      <c r="AQ324" s="405">
        <v>3</v>
      </c>
      <c r="AR324" s="405">
        <v>2</v>
      </c>
      <c r="AS324" s="405">
        <v>2</v>
      </c>
      <c r="AT324" s="405">
        <v>3</v>
      </c>
      <c r="AU324" s="405">
        <v>0</v>
      </c>
      <c r="AV324" s="405">
        <v>2</v>
      </c>
      <c r="AW324" s="405">
        <v>2</v>
      </c>
      <c r="AX324" s="405">
        <v>2</v>
      </c>
      <c r="AY324" s="405">
        <v>2</v>
      </c>
      <c r="AZ324" s="405">
        <v>2</v>
      </c>
      <c r="BA324" s="405">
        <v>2</v>
      </c>
      <c r="BB324" s="405">
        <v>2</v>
      </c>
      <c r="BC324" s="405">
        <v>0</v>
      </c>
      <c r="BD324" s="405">
        <v>3</v>
      </c>
      <c r="BE324" s="405">
        <v>2</v>
      </c>
      <c r="BF324" s="405">
        <v>2</v>
      </c>
      <c r="BG324" s="405">
        <v>2</v>
      </c>
      <c r="BH324" s="405">
        <v>2</v>
      </c>
      <c r="BI324" s="405">
        <v>3</v>
      </c>
      <c r="BJ324" s="405">
        <v>2</v>
      </c>
      <c r="BK324" s="405">
        <v>2</v>
      </c>
      <c r="BL324" s="405">
        <v>3</v>
      </c>
      <c r="BM324" s="405">
        <v>3</v>
      </c>
      <c r="BN324" s="405">
        <v>2</v>
      </c>
      <c r="BO324" s="405">
        <v>2</v>
      </c>
      <c r="BP324" s="405">
        <v>0</v>
      </c>
      <c r="BQ324" s="405">
        <v>2</v>
      </c>
      <c r="BR324" s="405">
        <v>2</v>
      </c>
      <c r="BS324" s="405">
        <v>2</v>
      </c>
      <c r="BT324" s="405">
        <v>2</v>
      </c>
      <c r="BU324" s="405">
        <v>3</v>
      </c>
      <c r="BV324" s="405">
        <v>2</v>
      </c>
      <c r="BW324" s="405">
        <v>2</v>
      </c>
      <c r="BX324" s="405">
        <v>3</v>
      </c>
      <c r="BY324" s="405">
        <v>2</v>
      </c>
      <c r="BZ324" s="405">
        <v>2</v>
      </c>
      <c r="CA324" s="405">
        <v>2</v>
      </c>
      <c r="CB324" s="405">
        <v>0</v>
      </c>
      <c r="CC324" s="405">
        <v>2</v>
      </c>
      <c r="CD324" s="405">
        <v>2</v>
      </c>
      <c r="CE324" s="405">
        <v>2</v>
      </c>
      <c r="CF324" s="405">
        <v>2</v>
      </c>
    </row>
    <row r="325" spans="1:84" s="405" customFormat="1" x14ac:dyDescent="0.3">
      <c r="A325" s="405">
        <v>963</v>
      </c>
      <c r="B325" s="405">
        <v>963</v>
      </c>
      <c r="C325" s="405" t="s">
        <v>1776</v>
      </c>
      <c r="D325" s="405" t="s">
        <v>916</v>
      </c>
      <c r="F325" s="405">
        <v>3</v>
      </c>
      <c r="G325" s="405">
        <v>3</v>
      </c>
      <c r="H325" s="405">
        <v>3</v>
      </c>
      <c r="I325" s="405">
        <v>1</v>
      </c>
      <c r="J325" s="405">
        <v>3</v>
      </c>
      <c r="K325" s="405">
        <v>3</v>
      </c>
      <c r="L325" s="405">
        <v>3</v>
      </c>
      <c r="M325" s="405">
        <v>1</v>
      </c>
      <c r="N325" s="405">
        <v>1</v>
      </c>
      <c r="O325" s="405">
        <v>1</v>
      </c>
      <c r="P325" s="405">
        <v>3</v>
      </c>
      <c r="Q325" s="405">
        <v>3</v>
      </c>
      <c r="R325" s="405">
        <v>3</v>
      </c>
      <c r="S325" s="405">
        <v>3</v>
      </c>
      <c r="T325" s="405">
        <v>3</v>
      </c>
      <c r="U325" s="405">
        <v>1</v>
      </c>
      <c r="V325" s="405">
        <v>0</v>
      </c>
      <c r="W325" s="405">
        <v>3</v>
      </c>
      <c r="X325" s="405">
        <v>3</v>
      </c>
      <c r="Y325" s="405">
        <v>3</v>
      </c>
      <c r="Z325" s="405">
        <v>0</v>
      </c>
      <c r="AA325" s="405">
        <v>1</v>
      </c>
      <c r="AB325" s="405">
        <v>1</v>
      </c>
      <c r="AC325" s="405">
        <v>3</v>
      </c>
      <c r="AD325" s="405">
        <v>3</v>
      </c>
      <c r="AE325" s="405">
        <v>1</v>
      </c>
      <c r="AF325" s="405">
        <v>3</v>
      </c>
      <c r="AG325" s="405">
        <v>3</v>
      </c>
      <c r="AH325" s="405">
        <v>1</v>
      </c>
      <c r="AI325" s="405">
        <v>3</v>
      </c>
      <c r="AJ325" s="405">
        <v>3</v>
      </c>
      <c r="AK325" s="405">
        <v>1</v>
      </c>
      <c r="AL325" s="405">
        <v>3</v>
      </c>
      <c r="AM325" s="405">
        <v>3</v>
      </c>
      <c r="AN325" s="405">
        <v>0</v>
      </c>
      <c r="AO325" s="405">
        <v>2</v>
      </c>
      <c r="AP325" s="405">
        <v>3</v>
      </c>
      <c r="AQ325" s="405">
        <v>3</v>
      </c>
      <c r="AR325" s="405">
        <v>3</v>
      </c>
      <c r="AS325" s="405">
        <v>3</v>
      </c>
      <c r="AT325" s="405">
        <v>3</v>
      </c>
      <c r="AU325" s="405">
        <v>0</v>
      </c>
      <c r="AV325" s="405">
        <v>1</v>
      </c>
      <c r="AW325" s="405">
        <v>1</v>
      </c>
      <c r="AX325" s="405">
        <v>1</v>
      </c>
      <c r="AY325" s="405">
        <v>3</v>
      </c>
      <c r="AZ325" s="405">
        <v>3</v>
      </c>
      <c r="BA325" s="405">
        <v>3</v>
      </c>
      <c r="BB325" s="405">
        <v>1</v>
      </c>
      <c r="BC325" s="405">
        <v>0</v>
      </c>
      <c r="BD325" s="405">
        <v>3</v>
      </c>
      <c r="BE325" s="405">
        <v>3</v>
      </c>
      <c r="BF325" s="405">
        <v>3</v>
      </c>
      <c r="BG325" s="405">
        <v>3</v>
      </c>
      <c r="BH325" s="405">
        <v>1</v>
      </c>
      <c r="BI325" s="405">
        <v>3</v>
      </c>
      <c r="BJ325" s="405">
        <v>3</v>
      </c>
      <c r="BK325" s="405">
        <v>3</v>
      </c>
      <c r="BL325" s="405">
        <v>3</v>
      </c>
      <c r="BM325" s="405">
        <v>3</v>
      </c>
      <c r="BN325" s="405">
        <v>1</v>
      </c>
      <c r="BO325" s="405">
        <v>1</v>
      </c>
      <c r="BP325" s="405">
        <v>0</v>
      </c>
      <c r="BQ325" s="405">
        <v>3</v>
      </c>
      <c r="BR325" s="405">
        <v>1</v>
      </c>
      <c r="BS325" s="405">
        <v>3</v>
      </c>
      <c r="BT325" s="405">
        <v>3</v>
      </c>
      <c r="BU325" s="405">
        <v>3</v>
      </c>
      <c r="BV325" s="405">
        <v>1</v>
      </c>
      <c r="BW325" s="405">
        <v>3</v>
      </c>
      <c r="BX325" s="405">
        <v>3</v>
      </c>
      <c r="BY325" s="405">
        <v>3</v>
      </c>
      <c r="BZ325" s="405">
        <v>3</v>
      </c>
      <c r="CA325" s="405">
        <v>1</v>
      </c>
      <c r="CB325" s="405">
        <v>0</v>
      </c>
      <c r="CC325" s="405">
        <v>3</v>
      </c>
      <c r="CD325" s="405">
        <v>3</v>
      </c>
      <c r="CE325" s="405">
        <v>3</v>
      </c>
      <c r="CF325" s="405">
        <v>3</v>
      </c>
    </row>
    <row r="326" spans="1:84" s="405" customFormat="1" x14ac:dyDescent="0.3">
      <c r="A326" s="405">
        <v>965</v>
      </c>
      <c r="B326" s="405">
        <v>965</v>
      </c>
      <c r="C326" s="405" t="s">
        <v>1776</v>
      </c>
      <c r="D326" s="405" t="s">
        <v>917</v>
      </c>
      <c r="F326" s="405">
        <v>1</v>
      </c>
      <c r="G326" s="405">
        <v>1</v>
      </c>
      <c r="H326" s="405">
        <v>1</v>
      </c>
      <c r="I326" s="405">
        <v>1</v>
      </c>
      <c r="J326" s="405">
        <v>1</v>
      </c>
      <c r="K326" s="405">
        <v>1</v>
      </c>
      <c r="L326" s="405">
        <v>1</v>
      </c>
      <c r="M326" s="405">
        <v>1</v>
      </c>
      <c r="N326" s="405">
        <v>1</v>
      </c>
      <c r="O326" s="405">
        <v>1</v>
      </c>
      <c r="P326" s="405">
        <v>1</v>
      </c>
      <c r="Q326" s="405">
        <v>1</v>
      </c>
      <c r="R326" s="405">
        <v>1</v>
      </c>
      <c r="S326" s="405">
        <v>1</v>
      </c>
      <c r="T326" s="405">
        <v>1</v>
      </c>
      <c r="U326" s="405">
        <v>1</v>
      </c>
      <c r="V326" s="405">
        <v>0</v>
      </c>
      <c r="W326" s="405">
        <v>1</v>
      </c>
      <c r="X326" s="405">
        <v>1</v>
      </c>
      <c r="Y326" s="405">
        <v>1</v>
      </c>
      <c r="Z326" s="405">
        <v>0</v>
      </c>
      <c r="AA326" s="405">
        <v>1</v>
      </c>
      <c r="AB326" s="405">
        <v>1</v>
      </c>
      <c r="AC326" s="405">
        <v>1</v>
      </c>
      <c r="AD326" s="405">
        <v>1</v>
      </c>
      <c r="AE326" s="405">
        <v>1</v>
      </c>
      <c r="AF326" s="405">
        <v>1</v>
      </c>
      <c r="AG326" s="405">
        <v>1</v>
      </c>
      <c r="AH326" s="405">
        <v>1</v>
      </c>
      <c r="AI326" s="405">
        <v>1</v>
      </c>
      <c r="AJ326" s="405">
        <v>1</v>
      </c>
      <c r="AK326" s="405">
        <v>1</v>
      </c>
      <c r="AL326" s="405">
        <v>1</v>
      </c>
      <c r="AM326" s="405">
        <v>1</v>
      </c>
      <c r="AN326" s="405">
        <v>0</v>
      </c>
      <c r="AO326" s="405">
        <v>1</v>
      </c>
      <c r="AP326" s="405">
        <v>1</v>
      </c>
      <c r="AQ326" s="405">
        <v>1</v>
      </c>
      <c r="AR326" s="405">
        <v>1</v>
      </c>
      <c r="AS326" s="405">
        <v>1</v>
      </c>
      <c r="AT326" s="405">
        <v>1</v>
      </c>
      <c r="AU326" s="405">
        <v>0</v>
      </c>
      <c r="AV326" s="405">
        <v>1</v>
      </c>
      <c r="AW326" s="405">
        <v>1</v>
      </c>
      <c r="AX326" s="405">
        <v>1</v>
      </c>
      <c r="AY326" s="405">
        <v>1</v>
      </c>
      <c r="AZ326" s="405">
        <v>1</v>
      </c>
      <c r="BA326" s="405">
        <v>1</v>
      </c>
      <c r="BB326" s="405">
        <v>1</v>
      </c>
      <c r="BC326" s="405">
        <v>0</v>
      </c>
      <c r="BD326" s="405">
        <v>1</v>
      </c>
      <c r="BE326" s="405">
        <v>1</v>
      </c>
      <c r="BF326" s="405">
        <v>1</v>
      </c>
      <c r="BG326" s="405">
        <v>1</v>
      </c>
      <c r="BH326" s="405">
        <v>1</v>
      </c>
      <c r="BI326" s="405">
        <v>1</v>
      </c>
      <c r="BJ326" s="405">
        <v>1</v>
      </c>
      <c r="BK326" s="405">
        <v>1</v>
      </c>
      <c r="BL326" s="405">
        <v>1</v>
      </c>
      <c r="BM326" s="405">
        <v>1</v>
      </c>
      <c r="BN326" s="405">
        <v>1</v>
      </c>
      <c r="BO326" s="405">
        <v>1</v>
      </c>
      <c r="BP326" s="405">
        <v>0</v>
      </c>
      <c r="BQ326" s="405">
        <v>1</v>
      </c>
      <c r="BR326" s="405">
        <v>1</v>
      </c>
      <c r="BS326" s="405">
        <v>1</v>
      </c>
      <c r="BT326" s="405">
        <v>1</v>
      </c>
      <c r="BU326" s="405">
        <v>1</v>
      </c>
      <c r="BV326" s="405">
        <v>1</v>
      </c>
      <c r="BW326" s="405">
        <v>1</v>
      </c>
      <c r="BX326" s="405">
        <v>1</v>
      </c>
      <c r="BY326" s="405">
        <v>1</v>
      </c>
      <c r="BZ326" s="405">
        <v>1</v>
      </c>
      <c r="CA326" s="405">
        <v>1</v>
      </c>
      <c r="CB326" s="405">
        <v>0</v>
      </c>
      <c r="CC326" s="405">
        <v>1</v>
      </c>
      <c r="CD326" s="405">
        <v>1</v>
      </c>
      <c r="CE326" s="405">
        <v>1</v>
      </c>
      <c r="CF326" s="405">
        <v>1</v>
      </c>
    </row>
    <row r="327" spans="1:84" s="405" customFormat="1" x14ac:dyDescent="0.3">
      <c r="A327" s="405">
        <v>603</v>
      </c>
      <c r="B327" s="405">
        <v>603</v>
      </c>
      <c r="C327" s="405" t="s">
        <v>1777</v>
      </c>
      <c r="D327" s="405" t="s">
        <v>922</v>
      </c>
      <c r="F327" s="405">
        <v>4</v>
      </c>
      <c r="G327" s="405">
        <v>2</v>
      </c>
      <c r="H327" s="405">
        <v>0</v>
      </c>
      <c r="I327" s="405">
        <v>0</v>
      </c>
      <c r="J327" s="405">
        <v>0</v>
      </c>
      <c r="K327" s="405">
        <v>0</v>
      </c>
      <c r="L327" s="405">
        <v>0</v>
      </c>
      <c r="M327" s="405">
        <v>2</v>
      </c>
      <c r="N327" s="405">
        <v>1</v>
      </c>
      <c r="O327" s="405">
        <v>0</v>
      </c>
      <c r="P327" s="405">
        <v>0</v>
      </c>
      <c r="Q327" s="405">
        <v>0</v>
      </c>
      <c r="R327" s="405">
        <v>3</v>
      </c>
      <c r="S327" s="405">
        <v>0</v>
      </c>
      <c r="T327" s="405">
        <v>0</v>
      </c>
      <c r="U327" s="405">
        <v>2</v>
      </c>
      <c r="V327" s="405">
        <v>0</v>
      </c>
      <c r="W327" s="405">
        <v>0</v>
      </c>
      <c r="X327" s="405">
        <v>0</v>
      </c>
      <c r="Y327" s="405">
        <v>0</v>
      </c>
      <c r="Z327" s="405">
        <v>0</v>
      </c>
      <c r="AA327" s="405">
        <v>1</v>
      </c>
      <c r="AB327" s="405">
        <v>0</v>
      </c>
      <c r="AC327" s="405">
        <v>2</v>
      </c>
      <c r="AD327" s="405">
        <v>0</v>
      </c>
      <c r="AE327" s="405">
        <v>0</v>
      </c>
      <c r="AF327" s="405">
        <v>0</v>
      </c>
      <c r="AG327" s="405">
        <v>4</v>
      </c>
      <c r="AH327" s="405">
        <v>0</v>
      </c>
      <c r="AI327" s="405">
        <v>0</v>
      </c>
      <c r="AJ327" s="405">
        <v>4</v>
      </c>
      <c r="AK327" s="405">
        <v>0</v>
      </c>
      <c r="AL327" s="405">
        <v>4</v>
      </c>
      <c r="AM327" s="405">
        <v>2</v>
      </c>
      <c r="AN327" s="405">
        <v>0</v>
      </c>
      <c r="AO327" s="405">
        <v>2</v>
      </c>
      <c r="AP327" s="405">
        <v>0</v>
      </c>
      <c r="AQ327" s="405">
        <v>0</v>
      </c>
      <c r="AR327" s="405">
        <v>0</v>
      </c>
      <c r="AS327" s="405">
        <v>0</v>
      </c>
      <c r="AT327" s="405">
        <v>1</v>
      </c>
      <c r="AU327" s="405">
        <v>0</v>
      </c>
      <c r="AV327" s="405">
        <v>2</v>
      </c>
      <c r="AW327" s="405">
        <v>1</v>
      </c>
      <c r="AX327" s="405">
        <v>0</v>
      </c>
      <c r="AY327" s="405">
        <v>1</v>
      </c>
      <c r="AZ327" s="405">
        <v>1</v>
      </c>
      <c r="BA327" s="405">
        <v>4</v>
      </c>
      <c r="BB327" s="405">
        <v>2</v>
      </c>
      <c r="BC327" s="405">
        <v>0</v>
      </c>
      <c r="BD327" s="405">
        <v>1</v>
      </c>
      <c r="BE327" s="405">
        <v>0</v>
      </c>
      <c r="BF327" s="405">
        <v>0</v>
      </c>
      <c r="BG327" s="405">
        <v>0</v>
      </c>
      <c r="BH327" s="405">
        <v>0</v>
      </c>
      <c r="BI327" s="405">
        <v>1</v>
      </c>
      <c r="BJ327" s="405">
        <v>0</v>
      </c>
      <c r="BK327" s="405">
        <v>1</v>
      </c>
      <c r="BL327" s="405">
        <v>0</v>
      </c>
      <c r="BM327" s="405">
        <v>2</v>
      </c>
      <c r="BN327" s="405">
        <v>4</v>
      </c>
      <c r="BO327" s="405">
        <v>1</v>
      </c>
      <c r="BP327" s="405">
        <v>0</v>
      </c>
      <c r="BQ327" s="405">
        <v>0</v>
      </c>
      <c r="BR327" s="405">
        <v>0</v>
      </c>
      <c r="BS327" s="405">
        <v>0</v>
      </c>
      <c r="BT327" s="405">
        <v>2</v>
      </c>
      <c r="BU327" s="405">
        <v>0</v>
      </c>
      <c r="BV327" s="405">
        <v>0</v>
      </c>
      <c r="BW327" s="405">
        <v>0</v>
      </c>
      <c r="BX327" s="405">
        <v>2</v>
      </c>
      <c r="BY327" s="405">
        <v>1</v>
      </c>
      <c r="BZ327" s="405">
        <v>1</v>
      </c>
      <c r="CA327" s="405">
        <v>0</v>
      </c>
      <c r="CB327" s="405">
        <v>0</v>
      </c>
      <c r="CC327" s="405">
        <v>0</v>
      </c>
      <c r="CD327" s="405">
        <v>4</v>
      </c>
      <c r="CE327" s="405">
        <v>0</v>
      </c>
      <c r="CF327" s="405">
        <v>0</v>
      </c>
    </row>
    <row r="328" spans="1:84" s="405" customFormat="1" x14ac:dyDescent="0.3">
      <c r="A328" s="405">
        <v>929</v>
      </c>
      <c r="B328" s="405">
        <v>929</v>
      </c>
      <c r="C328" s="405" t="s">
        <v>1777</v>
      </c>
      <c r="D328" s="405" t="s">
        <v>918</v>
      </c>
      <c r="F328" s="405">
        <v>2</v>
      </c>
      <c r="G328" s="405">
        <v>2</v>
      </c>
      <c r="H328" s="405">
        <v>0</v>
      </c>
      <c r="I328" s="405">
        <v>0</v>
      </c>
      <c r="J328" s="405">
        <v>0</v>
      </c>
      <c r="K328" s="405">
        <v>0</v>
      </c>
      <c r="L328" s="405">
        <v>0</v>
      </c>
      <c r="M328" s="405">
        <v>2</v>
      </c>
      <c r="N328" s="405">
        <v>1</v>
      </c>
      <c r="O328" s="405">
        <v>0</v>
      </c>
      <c r="P328" s="405">
        <v>0</v>
      </c>
      <c r="Q328" s="405">
        <v>0</v>
      </c>
      <c r="R328" s="405">
        <v>2</v>
      </c>
      <c r="S328" s="405">
        <v>0</v>
      </c>
      <c r="T328" s="405">
        <v>0</v>
      </c>
      <c r="U328" s="405">
        <v>2</v>
      </c>
      <c r="V328" s="405">
        <v>0</v>
      </c>
      <c r="W328" s="405">
        <v>0</v>
      </c>
      <c r="X328" s="405">
        <v>0</v>
      </c>
      <c r="Y328" s="405">
        <v>0</v>
      </c>
      <c r="Z328" s="405">
        <v>0</v>
      </c>
      <c r="AA328" s="405">
        <v>0</v>
      </c>
      <c r="AB328" s="405">
        <v>0</v>
      </c>
      <c r="AC328" s="405">
        <v>1</v>
      </c>
      <c r="AD328" s="405">
        <v>0</v>
      </c>
      <c r="AE328" s="405">
        <v>0</v>
      </c>
      <c r="AF328" s="405">
        <v>0</v>
      </c>
      <c r="AG328" s="405">
        <v>2</v>
      </c>
      <c r="AH328" s="405">
        <v>0</v>
      </c>
      <c r="AI328" s="405">
        <v>0</v>
      </c>
      <c r="AJ328" s="405">
        <v>1</v>
      </c>
      <c r="AK328" s="405">
        <v>0</v>
      </c>
      <c r="AL328" s="405">
        <v>2</v>
      </c>
      <c r="AM328" s="405">
        <v>2</v>
      </c>
      <c r="AN328" s="405">
        <v>0</v>
      </c>
      <c r="AO328" s="405">
        <v>2</v>
      </c>
      <c r="AP328" s="405">
        <v>0</v>
      </c>
      <c r="AQ328" s="405">
        <v>0</v>
      </c>
      <c r="AR328" s="405">
        <v>0</v>
      </c>
      <c r="AS328" s="405">
        <v>0</v>
      </c>
      <c r="AT328" s="405">
        <v>2</v>
      </c>
      <c r="AU328" s="405">
        <v>0</v>
      </c>
      <c r="AV328" s="405">
        <v>0</v>
      </c>
      <c r="AW328" s="405">
        <v>2</v>
      </c>
      <c r="AX328" s="405">
        <v>0</v>
      </c>
      <c r="AY328" s="405">
        <v>2</v>
      </c>
      <c r="AZ328" s="405">
        <v>2</v>
      </c>
      <c r="BA328" s="405">
        <v>1</v>
      </c>
      <c r="BB328" s="405">
        <v>2</v>
      </c>
      <c r="BC328" s="405">
        <v>0</v>
      </c>
      <c r="BD328" s="405">
        <v>2</v>
      </c>
      <c r="BE328" s="405">
        <v>0</v>
      </c>
      <c r="BF328" s="405">
        <v>0</v>
      </c>
      <c r="BG328" s="405">
        <v>0</v>
      </c>
      <c r="BH328" s="405">
        <v>0</v>
      </c>
      <c r="BI328" s="405">
        <v>2</v>
      </c>
      <c r="BJ328" s="405">
        <v>0</v>
      </c>
      <c r="BK328" s="405">
        <v>1</v>
      </c>
      <c r="BL328" s="405">
        <v>0</v>
      </c>
      <c r="BM328" s="405">
        <v>2</v>
      </c>
      <c r="BN328" s="405">
        <v>1</v>
      </c>
      <c r="BO328" s="405">
        <v>2</v>
      </c>
      <c r="BP328" s="405">
        <v>0</v>
      </c>
      <c r="BQ328" s="405">
        <v>0</v>
      </c>
      <c r="BR328" s="405">
        <v>0</v>
      </c>
      <c r="BS328" s="405">
        <v>0</v>
      </c>
      <c r="BT328" s="405">
        <v>2</v>
      </c>
      <c r="BU328" s="405">
        <v>0</v>
      </c>
      <c r="BV328" s="405">
        <v>0</v>
      </c>
      <c r="BW328" s="405">
        <v>0</v>
      </c>
      <c r="BX328" s="405">
        <v>1</v>
      </c>
      <c r="BY328" s="405">
        <v>2</v>
      </c>
      <c r="BZ328" s="405">
        <v>2</v>
      </c>
      <c r="CA328" s="405">
        <v>0</v>
      </c>
      <c r="CB328" s="405">
        <v>0</v>
      </c>
      <c r="CC328" s="405">
        <v>0</v>
      </c>
      <c r="CD328" s="405">
        <v>1</v>
      </c>
      <c r="CE328" s="405">
        <v>0</v>
      </c>
      <c r="CF328" s="405">
        <v>0</v>
      </c>
    </row>
    <row r="329" spans="1:84" s="405" customFormat="1" x14ac:dyDescent="0.3">
      <c r="A329" s="405">
        <v>930</v>
      </c>
      <c r="B329" s="405">
        <v>930</v>
      </c>
      <c r="C329" s="405" t="s">
        <v>1777</v>
      </c>
      <c r="D329" s="405" t="s">
        <v>919</v>
      </c>
      <c r="F329" s="405">
        <v>1</v>
      </c>
      <c r="G329" s="405">
        <v>2</v>
      </c>
      <c r="H329" s="405">
        <v>0</v>
      </c>
      <c r="I329" s="405">
        <v>0</v>
      </c>
      <c r="J329" s="405">
        <v>0</v>
      </c>
      <c r="K329" s="405">
        <v>0</v>
      </c>
      <c r="L329" s="405">
        <v>0</v>
      </c>
      <c r="M329" s="405">
        <v>2</v>
      </c>
      <c r="N329" s="405">
        <v>2</v>
      </c>
      <c r="O329" s="405">
        <v>0</v>
      </c>
      <c r="P329" s="405">
        <v>0</v>
      </c>
      <c r="Q329" s="405">
        <v>0</v>
      </c>
      <c r="R329" s="405">
        <v>2</v>
      </c>
      <c r="S329" s="405">
        <v>0</v>
      </c>
      <c r="T329" s="405">
        <v>0</v>
      </c>
      <c r="U329" s="405">
        <v>2</v>
      </c>
      <c r="V329" s="405">
        <v>0</v>
      </c>
      <c r="W329" s="405">
        <v>0</v>
      </c>
      <c r="X329" s="405">
        <v>0</v>
      </c>
      <c r="Y329" s="405">
        <v>0</v>
      </c>
      <c r="Z329" s="405">
        <v>0</v>
      </c>
      <c r="AA329" s="405">
        <v>1</v>
      </c>
      <c r="AB329" s="405">
        <v>0</v>
      </c>
      <c r="AC329" s="405">
        <v>2</v>
      </c>
      <c r="AD329" s="405">
        <v>0</v>
      </c>
      <c r="AE329" s="405">
        <v>0</v>
      </c>
      <c r="AF329" s="405">
        <v>0</v>
      </c>
      <c r="AG329" s="405">
        <v>1</v>
      </c>
      <c r="AH329" s="405">
        <v>0</v>
      </c>
      <c r="AI329" s="405">
        <v>0</v>
      </c>
      <c r="AJ329" s="405">
        <v>2</v>
      </c>
      <c r="AK329" s="405">
        <v>0</v>
      </c>
      <c r="AL329" s="405">
        <v>1</v>
      </c>
      <c r="AM329" s="405">
        <v>2</v>
      </c>
      <c r="AN329" s="405">
        <v>0</v>
      </c>
      <c r="AO329" s="405">
        <v>2</v>
      </c>
      <c r="AP329" s="405">
        <v>0</v>
      </c>
      <c r="AQ329" s="405">
        <v>0</v>
      </c>
      <c r="AR329" s="405">
        <v>0</v>
      </c>
      <c r="AS329" s="405">
        <v>0</v>
      </c>
      <c r="AT329" s="405">
        <v>2</v>
      </c>
      <c r="AU329" s="405">
        <v>0</v>
      </c>
      <c r="AV329" s="405">
        <v>1</v>
      </c>
      <c r="AW329" s="405">
        <v>2</v>
      </c>
      <c r="AX329" s="405">
        <v>0</v>
      </c>
      <c r="AY329" s="405">
        <v>2</v>
      </c>
      <c r="AZ329" s="405">
        <v>2</v>
      </c>
      <c r="BA329" s="405">
        <v>2</v>
      </c>
      <c r="BB329" s="405">
        <v>1</v>
      </c>
      <c r="BC329" s="405">
        <v>0</v>
      </c>
      <c r="BD329" s="405">
        <v>2</v>
      </c>
      <c r="BE329" s="405">
        <v>0</v>
      </c>
      <c r="BF329" s="405">
        <v>0</v>
      </c>
      <c r="BG329" s="405">
        <v>0</v>
      </c>
      <c r="BH329" s="405">
        <v>0</v>
      </c>
      <c r="BI329" s="405">
        <v>1</v>
      </c>
      <c r="BJ329" s="405">
        <v>0</v>
      </c>
      <c r="BK329" s="405">
        <v>2</v>
      </c>
      <c r="BL329" s="405">
        <v>0</v>
      </c>
      <c r="BM329" s="405">
        <v>2</v>
      </c>
      <c r="BN329" s="405">
        <v>1</v>
      </c>
      <c r="BO329" s="405">
        <v>2</v>
      </c>
      <c r="BP329" s="405">
        <v>0</v>
      </c>
      <c r="BQ329" s="405">
        <v>0</v>
      </c>
      <c r="BR329" s="405">
        <v>0</v>
      </c>
      <c r="BS329" s="405">
        <v>0</v>
      </c>
      <c r="BT329" s="405">
        <v>2</v>
      </c>
      <c r="BU329" s="405">
        <v>0</v>
      </c>
      <c r="BV329" s="405">
        <v>0</v>
      </c>
      <c r="BW329" s="405">
        <v>0</v>
      </c>
      <c r="BX329" s="405">
        <v>2</v>
      </c>
      <c r="BY329" s="405">
        <v>2</v>
      </c>
      <c r="BZ329" s="405">
        <v>2</v>
      </c>
      <c r="CA329" s="405">
        <v>0</v>
      </c>
      <c r="CB329" s="405">
        <v>0</v>
      </c>
      <c r="CC329" s="405">
        <v>0</v>
      </c>
      <c r="CD329" s="405">
        <v>2</v>
      </c>
      <c r="CE329" s="405">
        <v>0</v>
      </c>
      <c r="CF329" s="405">
        <v>0</v>
      </c>
    </row>
    <row r="330" spans="1:84" s="405" customFormat="1" x14ac:dyDescent="0.3">
      <c r="A330" s="405">
        <v>931</v>
      </c>
      <c r="B330" s="405">
        <v>931</v>
      </c>
      <c r="C330" s="405" t="s">
        <v>1777</v>
      </c>
      <c r="D330" s="405" t="s">
        <v>920</v>
      </c>
      <c r="F330" s="405">
        <v>2</v>
      </c>
      <c r="G330" s="405">
        <v>2</v>
      </c>
      <c r="H330" s="405">
        <v>0</v>
      </c>
      <c r="I330" s="405">
        <v>0</v>
      </c>
      <c r="J330" s="405">
        <v>0</v>
      </c>
      <c r="K330" s="405">
        <v>0</v>
      </c>
      <c r="L330" s="405">
        <v>0</v>
      </c>
      <c r="M330" s="405">
        <v>2</v>
      </c>
      <c r="N330" s="405">
        <v>2</v>
      </c>
      <c r="O330" s="405">
        <v>0</v>
      </c>
      <c r="P330" s="405">
        <v>0</v>
      </c>
      <c r="Q330" s="405">
        <v>0</v>
      </c>
      <c r="R330" s="405">
        <v>2</v>
      </c>
      <c r="S330" s="405">
        <v>0</v>
      </c>
      <c r="T330" s="405">
        <v>0</v>
      </c>
      <c r="U330" s="405">
        <v>2</v>
      </c>
      <c r="V330" s="405">
        <v>0</v>
      </c>
      <c r="W330" s="405">
        <v>0</v>
      </c>
      <c r="X330" s="405">
        <v>0</v>
      </c>
      <c r="Y330" s="405">
        <v>0</v>
      </c>
      <c r="Z330" s="405">
        <v>0</v>
      </c>
      <c r="AA330" s="405">
        <v>2</v>
      </c>
      <c r="AB330" s="405">
        <v>0</v>
      </c>
      <c r="AC330" s="405">
        <v>2</v>
      </c>
      <c r="AD330" s="405">
        <v>0</v>
      </c>
      <c r="AE330" s="405">
        <v>0</v>
      </c>
      <c r="AF330" s="405">
        <v>0</v>
      </c>
      <c r="AG330" s="405">
        <v>2</v>
      </c>
      <c r="AH330" s="405">
        <v>0</v>
      </c>
      <c r="AI330" s="405">
        <v>0</v>
      </c>
      <c r="AJ330" s="405">
        <v>2</v>
      </c>
      <c r="AK330" s="405">
        <v>0</v>
      </c>
      <c r="AL330" s="405">
        <v>2</v>
      </c>
      <c r="AM330" s="405">
        <v>2</v>
      </c>
      <c r="AN330" s="405">
        <v>0</v>
      </c>
      <c r="AO330" s="405">
        <v>2</v>
      </c>
      <c r="AP330" s="405">
        <v>0</v>
      </c>
      <c r="AQ330" s="405">
        <v>0</v>
      </c>
      <c r="AR330" s="405">
        <v>0</v>
      </c>
      <c r="AS330" s="405">
        <v>0</v>
      </c>
      <c r="AT330" s="405">
        <v>2</v>
      </c>
      <c r="AU330" s="405">
        <v>0</v>
      </c>
      <c r="AV330" s="405">
        <v>0</v>
      </c>
      <c r="AW330" s="405">
        <v>2</v>
      </c>
      <c r="AX330" s="405">
        <v>0</v>
      </c>
      <c r="AY330" s="405">
        <v>2</v>
      </c>
      <c r="AZ330" s="405">
        <v>2</v>
      </c>
      <c r="BA330" s="405">
        <v>2</v>
      </c>
      <c r="BB330" s="405">
        <v>2</v>
      </c>
      <c r="BC330" s="405">
        <v>0</v>
      </c>
      <c r="BD330" s="405">
        <v>2</v>
      </c>
      <c r="BE330" s="405">
        <v>0</v>
      </c>
      <c r="BF330" s="405">
        <v>0</v>
      </c>
      <c r="BG330" s="405">
        <v>0</v>
      </c>
      <c r="BH330" s="405">
        <v>0</v>
      </c>
      <c r="BI330" s="405">
        <v>2</v>
      </c>
      <c r="BJ330" s="405">
        <v>0</v>
      </c>
      <c r="BK330" s="405">
        <v>2</v>
      </c>
      <c r="BL330" s="405">
        <v>0</v>
      </c>
      <c r="BM330" s="405">
        <v>2</v>
      </c>
      <c r="BN330" s="405">
        <v>2</v>
      </c>
      <c r="BO330" s="405">
        <v>2</v>
      </c>
      <c r="BP330" s="405">
        <v>0</v>
      </c>
      <c r="BQ330" s="405">
        <v>0</v>
      </c>
      <c r="BR330" s="405">
        <v>0</v>
      </c>
      <c r="BS330" s="405">
        <v>0</v>
      </c>
      <c r="BT330" s="405">
        <v>2</v>
      </c>
      <c r="BU330" s="405">
        <v>0</v>
      </c>
      <c r="BV330" s="405">
        <v>0</v>
      </c>
      <c r="BW330" s="405">
        <v>0</v>
      </c>
      <c r="BX330" s="405">
        <v>2</v>
      </c>
      <c r="BY330" s="405">
        <v>2</v>
      </c>
      <c r="BZ330" s="405">
        <v>2</v>
      </c>
      <c r="CA330" s="405">
        <v>0</v>
      </c>
      <c r="CB330" s="405">
        <v>0</v>
      </c>
      <c r="CC330" s="405">
        <v>0</v>
      </c>
      <c r="CD330" s="405">
        <v>2</v>
      </c>
      <c r="CE330" s="405">
        <v>0</v>
      </c>
      <c r="CF330" s="405">
        <v>0</v>
      </c>
    </row>
    <row r="331" spans="1:84" s="405" customFormat="1" x14ac:dyDescent="0.3">
      <c r="A331" s="405">
        <v>932</v>
      </c>
      <c r="B331" s="405">
        <v>932</v>
      </c>
      <c r="C331" s="405" t="s">
        <v>1777</v>
      </c>
      <c r="D331" s="405" t="s">
        <v>921</v>
      </c>
      <c r="F331" s="405">
        <v>2</v>
      </c>
      <c r="G331" s="405">
        <v>2</v>
      </c>
      <c r="H331" s="405">
        <v>0</v>
      </c>
      <c r="I331" s="405">
        <v>0</v>
      </c>
      <c r="J331" s="405">
        <v>0</v>
      </c>
      <c r="K331" s="405">
        <v>0</v>
      </c>
      <c r="L331" s="405">
        <v>0</v>
      </c>
      <c r="M331" s="405">
        <v>2</v>
      </c>
      <c r="N331" s="405">
        <v>2</v>
      </c>
      <c r="O331" s="405">
        <v>0</v>
      </c>
      <c r="P331" s="405">
        <v>0</v>
      </c>
      <c r="Q331" s="405">
        <v>0</v>
      </c>
      <c r="R331" s="405">
        <v>1</v>
      </c>
      <c r="S331" s="405">
        <v>0</v>
      </c>
      <c r="T331" s="405">
        <v>0</v>
      </c>
      <c r="U331" s="405">
        <v>2</v>
      </c>
      <c r="V331" s="405">
        <v>0</v>
      </c>
      <c r="W331" s="405">
        <v>0</v>
      </c>
      <c r="X331" s="405">
        <v>0</v>
      </c>
      <c r="Y331" s="405">
        <v>0</v>
      </c>
      <c r="Z331" s="405">
        <v>0</v>
      </c>
      <c r="AA331" s="405">
        <v>2</v>
      </c>
      <c r="AB331" s="405">
        <v>0</v>
      </c>
      <c r="AC331" s="405">
        <v>2</v>
      </c>
      <c r="AD331" s="405">
        <v>0</v>
      </c>
      <c r="AE331" s="405">
        <v>0</v>
      </c>
      <c r="AF331" s="405">
        <v>0</v>
      </c>
      <c r="AG331" s="405">
        <v>2</v>
      </c>
      <c r="AH331" s="405">
        <v>0</v>
      </c>
      <c r="AI331" s="405">
        <v>0</v>
      </c>
      <c r="AJ331" s="405">
        <v>1</v>
      </c>
      <c r="AK331" s="405">
        <v>0</v>
      </c>
      <c r="AL331" s="405">
        <v>2</v>
      </c>
      <c r="AM331" s="405">
        <v>2</v>
      </c>
      <c r="AN331" s="405">
        <v>0</v>
      </c>
      <c r="AO331" s="405">
        <v>2</v>
      </c>
      <c r="AP331" s="405">
        <v>0</v>
      </c>
      <c r="AQ331" s="405">
        <v>0</v>
      </c>
      <c r="AR331" s="405">
        <v>0</v>
      </c>
      <c r="AS331" s="405">
        <v>0</v>
      </c>
      <c r="AT331" s="405">
        <v>2</v>
      </c>
      <c r="AU331" s="405">
        <v>0</v>
      </c>
      <c r="AV331" s="405">
        <v>0</v>
      </c>
      <c r="AW331" s="405">
        <v>2</v>
      </c>
      <c r="AX331" s="405">
        <v>0</v>
      </c>
      <c r="AY331" s="405">
        <v>2</v>
      </c>
      <c r="AZ331" s="405">
        <v>2</v>
      </c>
      <c r="BA331" s="405">
        <v>2</v>
      </c>
      <c r="BB331" s="405">
        <v>2</v>
      </c>
      <c r="BC331" s="405">
        <v>0</v>
      </c>
      <c r="BD331" s="405">
        <v>2</v>
      </c>
      <c r="BE331" s="405">
        <v>0</v>
      </c>
      <c r="BF331" s="405">
        <v>0</v>
      </c>
      <c r="BG331" s="405">
        <v>0</v>
      </c>
      <c r="BH331" s="405">
        <v>0</v>
      </c>
      <c r="BI331" s="405">
        <v>2</v>
      </c>
      <c r="BJ331" s="405">
        <v>0</v>
      </c>
      <c r="BK331" s="405">
        <v>2</v>
      </c>
      <c r="BL331" s="405">
        <v>0</v>
      </c>
      <c r="BM331" s="405">
        <v>2</v>
      </c>
      <c r="BN331" s="405">
        <v>2</v>
      </c>
      <c r="BO331" s="405">
        <v>2</v>
      </c>
      <c r="BP331" s="405">
        <v>0</v>
      </c>
      <c r="BQ331" s="405">
        <v>0</v>
      </c>
      <c r="BR331" s="405">
        <v>0</v>
      </c>
      <c r="BS331" s="405">
        <v>0</v>
      </c>
      <c r="BT331" s="405">
        <v>2</v>
      </c>
      <c r="BU331" s="405">
        <v>0</v>
      </c>
      <c r="BV331" s="405">
        <v>0</v>
      </c>
      <c r="BW331" s="405">
        <v>0</v>
      </c>
      <c r="BX331" s="405">
        <v>2</v>
      </c>
      <c r="BY331" s="405">
        <v>2</v>
      </c>
      <c r="BZ331" s="405">
        <v>2</v>
      </c>
      <c r="CA331" s="405">
        <v>0</v>
      </c>
      <c r="CB331" s="405">
        <v>0</v>
      </c>
      <c r="CC331" s="405">
        <v>0</v>
      </c>
      <c r="CD331" s="405">
        <v>2</v>
      </c>
      <c r="CE331" s="405">
        <v>0</v>
      </c>
      <c r="CF331" s="405">
        <v>0</v>
      </c>
    </row>
    <row r="332" spans="1:84" s="405" customFormat="1" x14ac:dyDescent="0.3">
      <c r="A332" s="1107"/>
      <c r="B332" s="1108"/>
      <c r="C332" s="1107"/>
      <c r="D332" s="1107"/>
      <c r="E332" s="1109"/>
      <c r="F332" s="1109"/>
      <c r="G332" s="1109"/>
      <c r="H332" s="1109"/>
      <c r="I332" s="1109"/>
      <c r="J332" s="1109"/>
      <c r="K332" s="1109"/>
      <c r="L332" s="1109"/>
      <c r="M332" s="1109"/>
      <c r="N332" s="1109"/>
      <c r="O332" s="1109"/>
      <c r="P332" s="1109"/>
      <c r="Q332" s="1109"/>
      <c r="R332" s="1109"/>
      <c r="S332" s="1109"/>
      <c r="T332" s="1109"/>
      <c r="U332" s="1109"/>
      <c r="V332" s="1109"/>
      <c r="W332" s="1109"/>
      <c r="X332" s="1109"/>
      <c r="Y332" s="1109"/>
      <c r="Z332" s="1109"/>
      <c r="AA332" s="1109"/>
      <c r="AB332" s="1109"/>
      <c r="AC332" s="1109"/>
      <c r="AD332" s="1109"/>
      <c r="AE332" s="1109"/>
      <c r="AF332" s="1109"/>
      <c r="AG332" s="1109"/>
      <c r="AH332" s="1109"/>
      <c r="AI332" s="1109"/>
      <c r="AJ332" s="1109"/>
      <c r="AK332" s="1109"/>
      <c r="AL332" s="1109"/>
      <c r="AM332" s="1109"/>
      <c r="AN332" s="1109"/>
      <c r="AO332" s="1109"/>
      <c r="AP332" s="1109"/>
      <c r="AQ332" s="1109"/>
      <c r="AR332" s="1109"/>
      <c r="AS332" s="1109"/>
      <c r="AT332" s="1109"/>
      <c r="AU332" s="1109"/>
      <c r="AV332" s="1109"/>
      <c r="AW332" s="1109"/>
      <c r="AX332" s="1109"/>
      <c r="AY332" s="1109"/>
      <c r="AZ332" s="1109"/>
      <c r="BA332" s="1109"/>
      <c r="BB332" s="1109"/>
      <c r="BC332" s="1109"/>
      <c r="BD332" s="1109"/>
      <c r="BE332" s="1109"/>
      <c r="BF332" s="1109"/>
      <c r="BG332" s="1109"/>
      <c r="BH332" s="1109"/>
      <c r="BI332" s="1109"/>
      <c r="BJ332" s="1109"/>
      <c r="BK332" s="1109"/>
      <c r="BL332" s="1109"/>
      <c r="BM332" s="1109"/>
      <c r="BN332" s="1109"/>
      <c r="BO332" s="1109"/>
      <c r="BP332" s="1109"/>
      <c r="BQ332" s="1109"/>
      <c r="BR332" s="1109"/>
      <c r="BS332" s="1109"/>
      <c r="BT332" s="1109"/>
    </row>
    <row r="333" spans="1:84" s="1107" customFormat="1" x14ac:dyDescent="0.3">
      <c r="B333" s="1108"/>
    </row>
    <row r="334" spans="1:84" s="405" customFormat="1" x14ac:dyDescent="0.3">
      <c r="A334" s="411" t="s">
        <v>1697</v>
      </c>
      <c r="B334" s="412"/>
      <c r="C334" s="413"/>
      <c r="D334" s="405" t="s">
        <v>1092</v>
      </c>
      <c r="F334" s="405">
        <v>2250092</v>
      </c>
      <c r="G334" s="405">
        <v>2123399</v>
      </c>
      <c r="H334" s="405">
        <v>351634</v>
      </c>
      <c r="I334" s="405">
        <v>759639</v>
      </c>
      <c r="J334" s="405">
        <v>555422</v>
      </c>
      <c r="K334" s="405">
        <v>371989</v>
      </c>
      <c r="L334" s="405">
        <v>49978</v>
      </c>
      <c r="M334" s="405">
        <v>140094</v>
      </c>
      <c r="N334" s="405">
        <v>4578190</v>
      </c>
      <c r="O334" s="405">
        <v>162382026</v>
      </c>
      <c r="P334" s="405">
        <v>2255855</v>
      </c>
      <c r="Q334" s="405">
        <v>7857087</v>
      </c>
      <c r="R334" s="405">
        <v>121005</v>
      </c>
      <c r="S334" s="405">
        <v>15541528</v>
      </c>
      <c r="T334" s="405">
        <v>85187</v>
      </c>
      <c r="U334" s="405">
        <v>622936</v>
      </c>
      <c r="V334" s="405">
        <v>0</v>
      </c>
      <c r="W334" s="405">
        <v>982680</v>
      </c>
      <c r="X334" s="405">
        <v>4664161</v>
      </c>
      <c r="Y334" s="405">
        <v>2597800</v>
      </c>
      <c r="Z334" s="405">
        <v>0</v>
      </c>
      <c r="AA334" s="405">
        <v>966170</v>
      </c>
      <c r="AB334" s="405">
        <v>31380671</v>
      </c>
      <c r="AC334" s="405">
        <v>1079271</v>
      </c>
      <c r="AD334" s="405">
        <v>564846</v>
      </c>
      <c r="AE334" s="405">
        <v>35162785</v>
      </c>
      <c r="AF334" s="405">
        <v>713346</v>
      </c>
      <c r="AG334" s="405">
        <v>0</v>
      </c>
      <c r="AH334" s="405">
        <v>69775998</v>
      </c>
      <c r="AI334" s="405">
        <v>168610</v>
      </c>
      <c r="AJ334" s="405">
        <v>306568</v>
      </c>
      <c r="AK334" s="405">
        <v>6625978</v>
      </c>
      <c r="AL334" s="405">
        <v>812752</v>
      </c>
      <c r="AM334" s="405">
        <v>59016</v>
      </c>
      <c r="AN334" s="405">
        <v>0</v>
      </c>
      <c r="AO334" s="405">
        <v>185362</v>
      </c>
      <c r="AP334" s="405">
        <v>12786433</v>
      </c>
      <c r="AQ334" s="405">
        <v>50487</v>
      </c>
      <c r="AR334" s="405">
        <v>3792775</v>
      </c>
      <c r="AS334" s="405">
        <v>2631838</v>
      </c>
      <c r="AT334" s="405">
        <v>48913</v>
      </c>
      <c r="AU334" s="405">
        <v>0</v>
      </c>
      <c r="AV334" s="405">
        <v>247730</v>
      </c>
      <c r="AW334" s="405">
        <v>297908931</v>
      </c>
      <c r="AX334" s="405">
        <v>85095230</v>
      </c>
      <c r="AY334" s="405">
        <v>1596622</v>
      </c>
      <c r="AZ334" s="405">
        <v>334549</v>
      </c>
      <c r="BA334" s="405">
        <v>280754</v>
      </c>
      <c r="BB334" s="405">
        <v>179262</v>
      </c>
      <c r="BC334" s="405">
        <v>0</v>
      </c>
      <c r="BD334" s="405">
        <v>5389126</v>
      </c>
      <c r="BE334" s="405">
        <v>279082</v>
      </c>
      <c r="BF334" s="405">
        <v>122226</v>
      </c>
      <c r="BG334" s="405">
        <v>48210</v>
      </c>
      <c r="BH334" s="405">
        <v>14962171</v>
      </c>
      <c r="BI334" s="405">
        <v>18948</v>
      </c>
      <c r="BJ334" s="405">
        <v>10624043</v>
      </c>
      <c r="BK334" s="405">
        <v>1963057</v>
      </c>
      <c r="BL334" s="405">
        <v>202196</v>
      </c>
      <c r="BM334" s="405">
        <v>59364</v>
      </c>
      <c r="BN334" s="405">
        <v>16249917</v>
      </c>
      <c r="BO334" s="405">
        <v>16203128</v>
      </c>
      <c r="BP334" s="405">
        <v>0</v>
      </c>
      <c r="BQ334" s="405">
        <v>61494700</v>
      </c>
      <c r="BR334" s="405">
        <v>111682365</v>
      </c>
      <c r="BS334" s="405">
        <v>355450</v>
      </c>
      <c r="BT334" s="405">
        <v>6017721</v>
      </c>
      <c r="BU334" s="405">
        <v>843025</v>
      </c>
      <c r="BV334" s="405">
        <v>10738153</v>
      </c>
      <c r="BW334" s="405">
        <v>141005</v>
      </c>
      <c r="BX334" s="405">
        <v>444298</v>
      </c>
      <c r="BY334" s="405">
        <v>3050542</v>
      </c>
      <c r="BZ334" s="405">
        <v>3147314</v>
      </c>
      <c r="CA334" s="405">
        <v>41592796</v>
      </c>
      <c r="CB334" s="405">
        <v>0</v>
      </c>
      <c r="CC334" s="405">
        <v>13626611</v>
      </c>
      <c r="CD334" s="405">
        <v>492723</v>
      </c>
      <c r="CE334" s="405">
        <v>3565918</v>
      </c>
      <c r="CF334" s="405">
        <v>43901740</v>
      </c>
    </row>
    <row r="335" spans="1:84" s="405" customFormat="1" x14ac:dyDescent="0.3">
      <c r="B335" s="406"/>
      <c r="F335" s="405" t="s">
        <v>1264</v>
      </c>
      <c r="G335" s="405" t="s">
        <v>1264</v>
      </c>
      <c r="H335" s="405" t="s">
        <v>1266</v>
      </c>
      <c r="I335" s="405" t="s">
        <v>1266</v>
      </c>
      <c r="J335" s="405" t="s">
        <v>1266</v>
      </c>
      <c r="K335" s="405" t="s">
        <v>1266</v>
      </c>
      <c r="L335" s="405" t="s">
        <v>1267</v>
      </c>
      <c r="M335" s="405" t="s">
        <v>1266</v>
      </c>
      <c r="N335" s="405" t="s">
        <v>1264</v>
      </c>
      <c r="O335" s="405" t="s">
        <v>1265</v>
      </c>
      <c r="P335" s="405" t="s">
        <v>1264</v>
      </c>
      <c r="Q335" s="405" t="s">
        <v>1264</v>
      </c>
      <c r="R335" s="405" t="s">
        <v>1266</v>
      </c>
      <c r="S335" s="405" t="s">
        <v>1265</v>
      </c>
      <c r="T335" s="405" t="s">
        <v>1267</v>
      </c>
      <c r="U335" s="405" t="s">
        <v>1266</v>
      </c>
      <c r="V335" s="405" t="b">
        <v>0</v>
      </c>
      <c r="W335" s="405" t="s">
        <v>1266</v>
      </c>
      <c r="X335" s="405" t="s">
        <v>1264</v>
      </c>
      <c r="Y335" s="405" t="s">
        <v>1264</v>
      </c>
      <c r="Z335" s="405" t="b">
        <v>0</v>
      </c>
      <c r="AA335" s="405" t="s">
        <v>1266</v>
      </c>
      <c r="AB335" s="405" t="s">
        <v>1265</v>
      </c>
      <c r="AC335" s="405" t="s">
        <v>1264</v>
      </c>
      <c r="AD335" s="405" t="s">
        <v>1266</v>
      </c>
      <c r="AE335" s="405" t="s">
        <v>1265</v>
      </c>
      <c r="AF335" s="405" t="s">
        <v>1266</v>
      </c>
      <c r="AG335" s="405" t="b">
        <v>0</v>
      </c>
      <c r="AH335" s="405" t="s">
        <v>1265</v>
      </c>
      <c r="AI335" s="405" t="s">
        <v>1266</v>
      </c>
      <c r="AJ335" s="405" t="s">
        <v>1266</v>
      </c>
      <c r="AK335" s="405" t="s">
        <v>1264</v>
      </c>
      <c r="AL335" s="405" t="s">
        <v>1266</v>
      </c>
      <c r="AM335" s="405" t="s">
        <v>1267</v>
      </c>
      <c r="AN335" s="405" t="b">
        <v>0</v>
      </c>
      <c r="AO335" s="405" t="s">
        <v>1266</v>
      </c>
      <c r="AP335" s="405" t="s">
        <v>1265</v>
      </c>
      <c r="AQ335" s="405" t="s">
        <v>1267</v>
      </c>
      <c r="AR335" s="405" t="s">
        <v>1264</v>
      </c>
      <c r="AS335" s="405" t="s">
        <v>1264</v>
      </c>
      <c r="AT335" s="405" t="s">
        <v>1267</v>
      </c>
      <c r="AU335" s="405" t="b">
        <v>0</v>
      </c>
      <c r="AV335" s="405" t="s">
        <v>1266</v>
      </c>
      <c r="AW335" s="405" t="s">
        <v>1265</v>
      </c>
      <c r="AX335" s="405" t="s">
        <v>1265</v>
      </c>
      <c r="AY335" s="405" t="s">
        <v>1264</v>
      </c>
      <c r="AZ335" s="405" t="s">
        <v>1266</v>
      </c>
      <c r="BA335" s="405" t="s">
        <v>1266</v>
      </c>
      <c r="BB335" s="405" t="s">
        <v>1266</v>
      </c>
      <c r="BC335" s="405" t="b">
        <v>0</v>
      </c>
      <c r="BD335" s="405" t="s">
        <v>1264</v>
      </c>
      <c r="BE335" s="405" t="s">
        <v>1266</v>
      </c>
      <c r="BF335" s="405" t="s">
        <v>1266</v>
      </c>
      <c r="BG335" s="405" t="s">
        <v>1267</v>
      </c>
      <c r="BH335" s="405" t="s">
        <v>1265</v>
      </c>
      <c r="BI335" s="405" t="s">
        <v>1267</v>
      </c>
      <c r="BJ335" s="405" t="s">
        <v>1265</v>
      </c>
      <c r="BK335" s="405" t="s">
        <v>1264</v>
      </c>
      <c r="BL335" s="405" t="s">
        <v>1266</v>
      </c>
      <c r="BM335" s="405" t="s">
        <v>1267</v>
      </c>
      <c r="BN335" s="405" t="s">
        <v>1265</v>
      </c>
      <c r="BO335" s="405" t="s">
        <v>1265</v>
      </c>
      <c r="BP335" s="405" t="b">
        <v>0</v>
      </c>
      <c r="BQ335" s="405" t="s">
        <v>1265</v>
      </c>
      <c r="BR335" s="405" t="s">
        <v>1265</v>
      </c>
      <c r="BS335" s="405" t="s">
        <v>1266</v>
      </c>
      <c r="BT335" s="405" t="s">
        <v>1264</v>
      </c>
      <c r="BU335" s="405" t="s">
        <v>1266</v>
      </c>
      <c r="BV335" s="405" t="s">
        <v>1265</v>
      </c>
      <c r="BW335" s="405" t="s">
        <v>1266</v>
      </c>
      <c r="BX335" s="405" t="s">
        <v>1266</v>
      </c>
      <c r="BY335" s="405" t="s">
        <v>1264</v>
      </c>
      <c r="BZ335" s="405" t="s">
        <v>1264</v>
      </c>
      <c r="CA335" s="405" t="s">
        <v>1265</v>
      </c>
      <c r="CB335" s="405" t="b">
        <v>0</v>
      </c>
      <c r="CC335" s="405" t="s">
        <v>1265</v>
      </c>
      <c r="CD335" s="405" t="s">
        <v>1266</v>
      </c>
      <c r="CE335" s="405" t="s">
        <v>1264</v>
      </c>
      <c r="CF335" s="405" t="s">
        <v>1265</v>
      </c>
    </row>
    <row r="336" spans="1:84" s="409" customFormat="1" x14ac:dyDescent="0.3">
      <c r="B336" s="410"/>
      <c r="F336" s="1128">
        <v>0.34</v>
      </c>
      <c r="G336" s="1128">
        <v>0.34</v>
      </c>
      <c r="H336" s="1128">
        <v>0.71</v>
      </c>
      <c r="I336" s="1128">
        <v>0.71</v>
      </c>
      <c r="J336" s="1128">
        <v>0.71</v>
      </c>
      <c r="K336" s="1128">
        <v>0.71</v>
      </c>
      <c r="L336" s="1128">
        <v>100</v>
      </c>
      <c r="M336" s="1128">
        <v>0.71</v>
      </c>
      <c r="N336" s="1128">
        <v>0.34</v>
      </c>
      <c r="O336" s="1128">
        <v>0.25</v>
      </c>
      <c r="P336" s="1128">
        <v>0.34</v>
      </c>
      <c r="Q336" s="1128">
        <v>0.34</v>
      </c>
      <c r="R336" s="1128">
        <v>0.71</v>
      </c>
      <c r="S336" s="1128">
        <v>0.25</v>
      </c>
      <c r="T336" s="409">
        <v>100</v>
      </c>
      <c r="U336" s="1128">
        <v>0.71</v>
      </c>
      <c r="V336" s="1128" t="b">
        <v>0</v>
      </c>
      <c r="W336" s="1128">
        <v>0.71</v>
      </c>
      <c r="X336" s="1128">
        <v>0.34</v>
      </c>
      <c r="Y336" s="1128">
        <v>0.34</v>
      </c>
      <c r="Z336" s="1128" t="b">
        <v>0</v>
      </c>
      <c r="AA336" s="1128">
        <v>0.71</v>
      </c>
      <c r="AB336" s="1128">
        <v>0.25</v>
      </c>
      <c r="AC336" s="1128">
        <v>0.34</v>
      </c>
      <c r="AD336" s="1128">
        <v>0.71</v>
      </c>
      <c r="AE336" s="1128">
        <v>0.25</v>
      </c>
      <c r="AF336" s="1128">
        <v>0.71</v>
      </c>
      <c r="AG336" s="1128" t="b">
        <v>0</v>
      </c>
      <c r="AH336" s="1128">
        <v>0.25</v>
      </c>
      <c r="AI336" s="1128">
        <v>0.71</v>
      </c>
      <c r="AJ336" s="1128">
        <v>0.71</v>
      </c>
      <c r="AK336" s="1128">
        <v>0.34</v>
      </c>
      <c r="AL336" s="1128">
        <v>0.71</v>
      </c>
      <c r="AM336" s="409">
        <v>100</v>
      </c>
      <c r="AN336" s="409" t="b">
        <v>0</v>
      </c>
      <c r="AO336" s="1128">
        <v>0.71</v>
      </c>
      <c r="AP336" s="1128">
        <v>0.25</v>
      </c>
      <c r="AQ336" s="1128">
        <v>100</v>
      </c>
      <c r="AR336" s="1128">
        <v>0.34</v>
      </c>
      <c r="AS336" s="1128">
        <v>0.34</v>
      </c>
      <c r="AT336" s="1128">
        <v>100</v>
      </c>
      <c r="AU336" s="1128" t="b">
        <v>0</v>
      </c>
      <c r="AV336" s="1128">
        <v>0.71</v>
      </c>
      <c r="AW336" s="1128">
        <v>0.25</v>
      </c>
      <c r="AX336" s="1128">
        <v>0.25</v>
      </c>
      <c r="AY336" s="1128">
        <v>0.34</v>
      </c>
      <c r="AZ336" s="1128">
        <v>0.71</v>
      </c>
      <c r="BA336" s="1128">
        <v>0.71</v>
      </c>
      <c r="BB336" s="1128">
        <v>0.71</v>
      </c>
      <c r="BC336" s="1128" t="b">
        <v>0</v>
      </c>
      <c r="BD336" s="1128">
        <v>0.34</v>
      </c>
      <c r="BE336" s="1128">
        <v>0.71</v>
      </c>
      <c r="BF336" s="1128">
        <v>0.71</v>
      </c>
      <c r="BG336" s="1128">
        <v>100</v>
      </c>
      <c r="BH336" s="1128">
        <v>0.25</v>
      </c>
      <c r="BI336" s="1128">
        <v>100</v>
      </c>
      <c r="BJ336" s="1128">
        <v>0.25</v>
      </c>
      <c r="BK336" s="1128">
        <v>0.34</v>
      </c>
      <c r="BL336" s="1128">
        <v>0.71</v>
      </c>
      <c r="BM336" s="1128">
        <v>100</v>
      </c>
      <c r="BN336" s="1128">
        <v>0.25</v>
      </c>
      <c r="BO336" s="1128">
        <v>0.25</v>
      </c>
      <c r="BP336" s="1128" t="b">
        <v>0</v>
      </c>
      <c r="BQ336" s="1128">
        <v>0.25</v>
      </c>
      <c r="BR336" s="1128">
        <v>0.25</v>
      </c>
      <c r="BS336" s="1128">
        <v>0.71</v>
      </c>
      <c r="BT336" s="1128">
        <v>0.34</v>
      </c>
      <c r="BU336" s="1128">
        <v>0.71</v>
      </c>
      <c r="BV336" s="1128">
        <v>0.25</v>
      </c>
      <c r="BW336" s="1128">
        <v>0.71</v>
      </c>
      <c r="BX336" s="1128">
        <v>0.71</v>
      </c>
      <c r="BY336" s="1128">
        <v>0.34</v>
      </c>
      <c r="BZ336" s="1128">
        <v>0.34</v>
      </c>
      <c r="CA336" s="1128">
        <v>0.25</v>
      </c>
      <c r="CB336" s="409" t="b">
        <v>0</v>
      </c>
      <c r="CC336" s="1128">
        <v>0.25</v>
      </c>
      <c r="CD336" s="1128">
        <v>0.71</v>
      </c>
      <c r="CE336" s="1128">
        <v>0.34</v>
      </c>
      <c r="CF336" s="1128">
        <v>0.25</v>
      </c>
    </row>
    <row r="337" spans="1:84" s="405" customFormat="1" x14ac:dyDescent="0.3">
      <c r="A337" s="405" t="s">
        <v>1093</v>
      </c>
      <c r="B337" s="406"/>
      <c r="D337" s="405" t="s">
        <v>875</v>
      </c>
      <c r="F337" s="405">
        <v>682886</v>
      </c>
      <c r="G337" s="405">
        <v>761139</v>
      </c>
      <c r="H337" s="405">
        <v>364901</v>
      </c>
      <c r="I337" s="405">
        <v>1043231</v>
      </c>
      <c r="J337" s="405">
        <v>609032</v>
      </c>
      <c r="K337" s="405">
        <v>77687</v>
      </c>
      <c r="L337" s="405">
        <v>100708</v>
      </c>
      <c r="M337" s="405">
        <v>465650</v>
      </c>
      <c r="N337" s="405">
        <v>2286830</v>
      </c>
      <c r="O337" s="405">
        <v>60934709</v>
      </c>
      <c r="P337" s="405">
        <v>2606011</v>
      </c>
      <c r="Q337" s="405">
        <v>3625867</v>
      </c>
      <c r="R337" s="405">
        <v>92782</v>
      </c>
      <c r="S337" s="405">
        <v>3793794</v>
      </c>
      <c r="T337" s="405">
        <v>130052</v>
      </c>
      <c r="U337" s="405">
        <v>514277</v>
      </c>
      <c r="V337" s="405">
        <v>0</v>
      </c>
      <c r="W337" s="405">
        <v>1124751</v>
      </c>
      <c r="X337" s="405">
        <v>3244617</v>
      </c>
      <c r="Y337" s="405">
        <v>425234</v>
      </c>
      <c r="Z337" s="405">
        <v>0</v>
      </c>
      <c r="AA337" s="405">
        <v>63456</v>
      </c>
      <c r="AB337" s="405">
        <v>24157962</v>
      </c>
      <c r="AC337" s="405">
        <v>7193900</v>
      </c>
      <c r="AD337" s="405">
        <v>828258</v>
      </c>
      <c r="AE337" s="405">
        <v>24981493</v>
      </c>
      <c r="AF337" s="405">
        <v>447997</v>
      </c>
      <c r="AG337" s="405">
        <v>0</v>
      </c>
      <c r="AH337" s="405">
        <v>25045271</v>
      </c>
      <c r="AI337" s="405">
        <v>859564</v>
      </c>
      <c r="AJ337" s="405">
        <v>226533</v>
      </c>
      <c r="AK337" s="405">
        <v>2202414</v>
      </c>
      <c r="AL337" s="405">
        <v>817494</v>
      </c>
      <c r="AM337" s="405">
        <v>41354</v>
      </c>
      <c r="AN337" s="405">
        <v>0</v>
      </c>
      <c r="AO337" s="405">
        <v>597568</v>
      </c>
      <c r="AP337" s="405">
        <v>9589117</v>
      </c>
      <c r="AQ337" s="405">
        <v>43656</v>
      </c>
      <c r="AR337" s="405">
        <v>3334656</v>
      </c>
      <c r="AS337" s="405">
        <v>1620374</v>
      </c>
      <c r="AT337" s="405">
        <v>213465</v>
      </c>
      <c r="AU337" s="405">
        <v>0</v>
      </c>
      <c r="AV337" s="405">
        <v>596175</v>
      </c>
      <c r="AW337" s="405">
        <v>64411985</v>
      </c>
      <c r="AX337" s="405">
        <v>20684451</v>
      </c>
      <c r="AY337" s="405">
        <v>782243</v>
      </c>
      <c r="AZ337" s="405">
        <v>177403</v>
      </c>
      <c r="BA337" s="405">
        <v>335732</v>
      </c>
      <c r="BB337" s="405">
        <v>183060</v>
      </c>
      <c r="BC337" s="405">
        <v>0</v>
      </c>
      <c r="BD337" s="405">
        <v>2438221</v>
      </c>
      <c r="BE337" s="405">
        <v>1127148</v>
      </c>
      <c r="BF337" s="405">
        <v>202680</v>
      </c>
      <c r="BG337" s="405">
        <v>110981</v>
      </c>
      <c r="BH337" s="405">
        <v>4861479</v>
      </c>
      <c r="BI337" s="405">
        <v>67873</v>
      </c>
      <c r="BJ337" s="405">
        <v>10588805</v>
      </c>
      <c r="BK337" s="405">
        <v>1913683</v>
      </c>
      <c r="BL337" s="405">
        <v>424553</v>
      </c>
      <c r="BM337" s="405">
        <v>500234</v>
      </c>
      <c r="BN337" s="405">
        <v>8574241</v>
      </c>
      <c r="BO337" s="405">
        <v>5949067</v>
      </c>
      <c r="BP337" s="405">
        <v>0</v>
      </c>
      <c r="BQ337" s="405">
        <v>26678445</v>
      </c>
      <c r="BR337" s="405">
        <v>27888594</v>
      </c>
      <c r="BS337" s="405">
        <v>188329</v>
      </c>
      <c r="BT337" s="405">
        <v>3728277</v>
      </c>
      <c r="BU337" s="405">
        <v>2856165</v>
      </c>
      <c r="BV337" s="405">
        <v>7188375</v>
      </c>
      <c r="BW337" s="405">
        <v>269427</v>
      </c>
      <c r="BX337" s="405">
        <v>758226</v>
      </c>
      <c r="BY337" s="405">
        <v>3102428</v>
      </c>
      <c r="BZ337" s="405">
        <v>1952844</v>
      </c>
      <c r="CA337" s="405">
        <v>18170829</v>
      </c>
      <c r="CB337" s="405">
        <v>0</v>
      </c>
      <c r="CC337" s="405">
        <v>5398212</v>
      </c>
      <c r="CD337" s="405">
        <v>401794</v>
      </c>
      <c r="CE337" s="405">
        <v>1427263</v>
      </c>
      <c r="CF337" s="405">
        <v>43722626</v>
      </c>
    </row>
    <row r="338" spans="1:84" s="405" customFormat="1" x14ac:dyDescent="0.3">
      <c r="A338" s="405" t="s">
        <v>791</v>
      </c>
      <c r="B338" s="406"/>
      <c r="D338" s="405" t="s">
        <v>799</v>
      </c>
      <c r="F338" s="405">
        <v>2250092</v>
      </c>
      <c r="G338" s="405">
        <v>2123399</v>
      </c>
      <c r="H338" s="405">
        <v>351634</v>
      </c>
      <c r="I338" s="405">
        <v>759639</v>
      </c>
      <c r="J338" s="405">
        <v>555422</v>
      </c>
      <c r="K338" s="405">
        <v>371989</v>
      </c>
      <c r="L338" s="405">
        <v>49978</v>
      </c>
      <c r="M338" s="405">
        <v>140094</v>
      </c>
      <c r="N338" s="405">
        <v>4578190</v>
      </c>
      <c r="O338" s="405">
        <v>162382026</v>
      </c>
      <c r="P338" s="405">
        <v>2255855</v>
      </c>
      <c r="Q338" s="405">
        <v>7857087</v>
      </c>
      <c r="R338" s="405">
        <v>121005</v>
      </c>
      <c r="S338" s="405">
        <v>15541528</v>
      </c>
      <c r="T338" s="405">
        <v>85187</v>
      </c>
      <c r="U338" s="405">
        <v>622936</v>
      </c>
      <c r="V338" s="405">
        <v>0</v>
      </c>
      <c r="W338" s="405">
        <v>982680</v>
      </c>
      <c r="X338" s="405">
        <v>4664161</v>
      </c>
      <c r="Y338" s="405">
        <v>2597800</v>
      </c>
      <c r="Z338" s="405">
        <v>0</v>
      </c>
      <c r="AA338" s="405">
        <v>966170</v>
      </c>
      <c r="AB338" s="405">
        <v>31380671</v>
      </c>
      <c r="AC338" s="405">
        <v>1079271</v>
      </c>
      <c r="AD338" s="405">
        <v>564846</v>
      </c>
      <c r="AE338" s="405">
        <v>35162785</v>
      </c>
      <c r="AF338" s="405">
        <v>713346</v>
      </c>
      <c r="AG338" s="405">
        <v>0</v>
      </c>
      <c r="AH338" s="405">
        <v>69775998</v>
      </c>
      <c r="AI338" s="405">
        <v>168610</v>
      </c>
      <c r="AJ338" s="405">
        <v>306568</v>
      </c>
      <c r="AK338" s="405">
        <v>6625978</v>
      </c>
      <c r="AL338" s="405">
        <v>812752</v>
      </c>
      <c r="AM338" s="405">
        <v>59016</v>
      </c>
      <c r="AN338" s="405">
        <v>0</v>
      </c>
      <c r="AO338" s="405">
        <v>185362</v>
      </c>
      <c r="AP338" s="405">
        <v>12786433</v>
      </c>
      <c r="AQ338" s="405">
        <v>50487</v>
      </c>
      <c r="AR338" s="405">
        <v>3792775</v>
      </c>
      <c r="AS338" s="405">
        <v>2631838</v>
      </c>
      <c r="AT338" s="405">
        <v>48913</v>
      </c>
      <c r="AU338" s="405">
        <v>0</v>
      </c>
      <c r="AV338" s="405">
        <v>247730</v>
      </c>
      <c r="AW338" s="405">
        <v>297908931</v>
      </c>
      <c r="AX338" s="405">
        <v>85095230</v>
      </c>
      <c r="AY338" s="405">
        <v>1596622</v>
      </c>
      <c r="AZ338" s="405">
        <v>334549</v>
      </c>
      <c r="BA338" s="405">
        <v>280754</v>
      </c>
      <c r="BB338" s="405">
        <v>179262</v>
      </c>
      <c r="BC338" s="405">
        <v>0</v>
      </c>
      <c r="BD338" s="405">
        <v>5389126</v>
      </c>
      <c r="BE338" s="405">
        <v>279082</v>
      </c>
      <c r="BF338" s="405">
        <v>122226</v>
      </c>
      <c r="BG338" s="405">
        <v>48210</v>
      </c>
      <c r="BH338" s="405">
        <v>14962171</v>
      </c>
      <c r="BI338" s="405">
        <v>18948</v>
      </c>
      <c r="BJ338" s="405">
        <v>10624043</v>
      </c>
      <c r="BK338" s="405">
        <v>1963057</v>
      </c>
      <c r="BL338" s="405">
        <v>202196</v>
      </c>
      <c r="BM338" s="405">
        <v>59364</v>
      </c>
      <c r="BN338" s="405">
        <v>16249917</v>
      </c>
      <c r="BO338" s="405">
        <v>16203128</v>
      </c>
      <c r="BP338" s="405">
        <v>0</v>
      </c>
      <c r="BQ338" s="405">
        <v>61494700</v>
      </c>
      <c r="BR338" s="405">
        <v>111682365</v>
      </c>
      <c r="BS338" s="405">
        <v>355450</v>
      </c>
      <c r="BT338" s="405">
        <v>6017721</v>
      </c>
      <c r="BU338" s="405">
        <v>843025</v>
      </c>
      <c r="BV338" s="405">
        <v>10738153</v>
      </c>
      <c r="BW338" s="405">
        <v>141005</v>
      </c>
      <c r="BX338" s="405">
        <v>444298</v>
      </c>
      <c r="BY338" s="405">
        <v>3050542</v>
      </c>
      <c r="BZ338" s="405">
        <v>3147314</v>
      </c>
      <c r="CA338" s="405">
        <v>41592796</v>
      </c>
      <c r="CB338" s="405">
        <v>0</v>
      </c>
      <c r="CC338" s="405">
        <v>13626611</v>
      </c>
      <c r="CD338" s="405">
        <v>492723</v>
      </c>
      <c r="CE338" s="405">
        <v>3565918</v>
      </c>
      <c r="CF338" s="405">
        <v>43901740</v>
      </c>
    </row>
    <row r="339" spans="1:84" s="409" customFormat="1" x14ac:dyDescent="0.3">
      <c r="A339" s="409" t="s">
        <v>1094</v>
      </c>
      <c r="B339" s="410"/>
      <c r="D339" s="409" t="s">
        <v>874</v>
      </c>
      <c r="F339" s="1129">
        <v>0.30349999999999999</v>
      </c>
      <c r="G339" s="1129">
        <v>0.35849999999999999</v>
      </c>
      <c r="H339" s="1129">
        <v>1.0377000000000001</v>
      </c>
      <c r="I339" s="1129">
        <v>1.3733</v>
      </c>
      <c r="J339" s="1129">
        <v>1.0965</v>
      </c>
      <c r="K339" s="1129">
        <v>0.20880000000000001</v>
      </c>
      <c r="L339" s="1129">
        <v>2.0150000000000001</v>
      </c>
      <c r="M339" s="1129">
        <v>3.3237999999999999</v>
      </c>
      <c r="N339" s="1129">
        <v>0.4995</v>
      </c>
      <c r="O339" s="1129">
        <v>0.37530000000000002</v>
      </c>
      <c r="P339" s="1129">
        <v>1.1552</v>
      </c>
      <c r="Q339" s="1129">
        <v>0.46150000000000002</v>
      </c>
      <c r="R339" s="1129">
        <v>0.76680000000000004</v>
      </c>
      <c r="S339" s="1129">
        <v>0.24410000000000001</v>
      </c>
      <c r="T339" s="1129">
        <v>1.5266999999999999</v>
      </c>
      <c r="U339" s="1129">
        <v>0.8256</v>
      </c>
      <c r="V339" s="1129" t="e">
        <v>#DIV/0!</v>
      </c>
      <c r="W339" s="1129">
        <v>1.1446000000000001</v>
      </c>
      <c r="X339" s="1129">
        <v>0.6956</v>
      </c>
      <c r="Y339" s="1129">
        <v>0.16370000000000001</v>
      </c>
      <c r="Z339" s="1129" t="e">
        <v>#DIV/0!</v>
      </c>
      <c r="AA339" s="1129">
        <v>6.5699999999999995E-2</v>
      </c>
      <c r="AB339" s="1129">
        <v>0.76980000000000004</v>
      </c>
      <c r="AC339" s="1129">
        <v>6.6654999999999998</v>
      </c>
      <c r="AD339" s="1129">
        <v>1.4662999999999999</v>
      </c>
      <c r="AE339" s="1129">
        <v>0.71050000000000002</v>
      </c>
      <c r="AF339" s="1129">
        <v>0.628</v>
      </c>
      <c r="AG339" s="1129" t="e">
        <v>#DIV/0!</v>
      </c>
      <c r="AH339" s="1129">
        <v>0.3589</v>
      </c>
      <c r="AI339" s="1129">
        <v>5.0979000000000001</v>
      </c>
      <c r="AJ339" s="1129">
        <v>0.7389</v>
      </c>
      <c r="AK339" s="1129">
        <v>0.33239999999999997</v>
      </c>
      <c r="AL339" s="1129">
        <v>1.0058</v>
      </c>
      <c r="AM339" s="1129">
        <v>0.70069999999999999</v>
      </c>
      <c r="AN339" s="1129" t="e">
        <v>#DIV/0!</v>
      </c>
      <c r="AO339" s="1129">
        <v>3.2238000000000002</v>
      </c>
      <c r="AP339" s="1129">
        <v>0.74990000000000001</v>
      </c>
      <c r="AQ339" s="1129">
        <v>0.86470000000000002</v>
      </c>
      <c r="AR339" s="1129">
        <v>0.87919999999999998</v>
      </c>
      <c r="AS339" s="1129">
        <v>0.61570000000000003</v>
      </c>
      <c r="AT339" s="1129">
        <v>4.3642000000000003</v>
      </c>
      <c r="AU339" s="1129" t="e">
        <v>#DIV/0!</v>
      </c>
      <c r="AV339" s="1129">
        <v>2.4066000000000001</v>
      </c>
      <c r="AW339" s="1129">
        <v>0.2162</v>
      </c>
      <c r="AX339" s="1129">
        <v>0.24310000000000001</v>
      </c>
      <c r="AY339" s="1129">
        <v>0.4899</v>
      </c>
      <c r="AZ339" s="1129">
        <v>0.53029999999999999</v>
      </c>
      <c r="BA339" s="1129">
        <v>1.1958</v>
      </c>
      <c r="BB339" s="1129">
        <v>1.0212000000000001</v>
      </c>
      <c r="BC339" s="1129" t="e">
        <v>#DIV/0!</v>
      </c>
      <c r="BD339" s="1129">
        <v>0.45240000000000002</v>
      </c>
      <c r="BE339" s="1129">
        <v>4.0388000000000002</v>
      </c>
      <c r="BF339" s="1129">
        <v>1.6581999999999999</v>
      </c>
      <c r="BG339" s="1129">
        <v>2.302</v>
      </c>
      <c r="BH339" s="1129">
        <v>0.32490000000000002</v>
      </c>
      <c r="BI339" s="1129">
        <v>3.5821000000000001</v>
      </c>
      <c r="BJ339" s="1129">
        <v>0.99670000000000003</v>
      </c>
      <c r="BK339" s="1129">
        <v>0.9748</v>
      </c>
      <c r="BL339" s="1129">
        <v>2.0996999999999999</v>
      </c>
      <c r="BM339" s="1129">
        <v>8.4266000000000005</v>
      </c>
      <c r="BN339" s="1129">
        <v>0.52759999999999996</v>
      </c>
      <c r="BO339" s="1129">
        <v>0.36720000000000003</v>
      </c>
      <c r="BP339" s="1129" t="e">
        <v>#DIV/0!</v>
      </c>
      <c r="BQ339" s="1129">
        <v>0.43380000000000002</v>
      </c>
      <c r="BR339" s="1129">
        <v>0.24970000000000001</v>
      </c>
      <c r="BS339" s="1129">
        <v>0.52980000000000005</v>
      </c>
      <c r="BT339" s="1129">
        <v>0.61950000000000005</v>
      </c>
      <c r="BU339" s="1129">
        <v>3.3879999999999999</v>
      </c>
      <c r="BV339" s="1129">
        <v>0.6694</v>
      </c>
      <c r="BW339" s="1129">
        <v>1.9108000000000001</v>
      </c>
      <c r="BX339" s="1129">
        <v>1.7065999999999999</v>
      </c>
      <c r="BY339" s="1129">
        <v>1.0169999999999999</v>
      </c>
      <c r="BZ339" s="1129">
        <v>0.62050000000000005</v>
      </c>
      <c r="CA339" s="1129">
        <v>0.43690000000000001</v>
      </c>
      <c r="CB339" s="409" t="e">
        <v>#DIV/0!</v>
      </c>
      <c r="CC339" s="1129">
        <v>0.3962</v>
      </c>
      <c r="CD339" s="1129">
        <v>0.8155</v>
      </c>
      <c r="CE339" s="1129">
        <v>0.40029999999999999</v>
      </c>
      <c r="CF339" s="1129">
        <v>0.99590000000000001</v>
      </c>
    </row>
    <row r="340" spans="1:84" s="405" customFormat="1" x14ac:dyDescent="0.3">
      <c r="A340" s="405" t="s">
        <v>794</v>
      </c>
      <c r="B340" s="406"/>
      <c r="D340" s="405" t="s">
        <v>1698</v>
      </c>
      <c r="F340" s="405">
        <v>0</v>
      </c>
      <c r="G340" s="405">
        <v>181823</v>
      </c>
      <c r="H340" s="405">
        <v>0</v>
      </c>
      <c r="I340" s="405">
        <v>25086</v>
      </c>
      <c r="J340" s="405">
        <v>156755</v>
      </c>
      <c r="K340" s="405">
        <v>0</v>
      </c>
      <c r="L340" s="405">
        <v>0</v>
      </c>
      <c r="M340" s="405">
        <v>81862</v>
      </c>
      <c r="N340" s="405">
        <v>774480</v>
      </c>
      <c r="O340" s="405">
        <v>0</v>
      </c>
      <c r="P340" s="405">
        <v>0</v>
      </c>
      <c r="Q340" s="405">
        <v>0</v>
      </c>
      <c r="R340" s="405">
        <v>0</v>
      </c>
      <c r="S340" s="405">
        <v>102959</v>
      </c>
      <c r="T340" s="405">
        <v>0</v>
      </c>
      <c r="U340" s="405">
        <v>14063</v>
      </c>
      <c r="V340" s="405">
        <v>0</v>
      </c>
      <c r="W340" s="405">
        <v>26494</v>
      </c>
      <c r="X340" s="405">
        <v>1003132</v>
      </c>
      <c r="Y340" s="405">
        <v>0</v>
      </c>
      <c r="Z340" s="405">
        <v>0</v>
      </c>
      <c r="AA340" s="405">
        <v>75728</v>
      </c>
      <c r="AB340" s="405">
        <v>3905555</v>
      </c>
      <c r="AC340" s="405">
        <v>0</v>
      </c>
      <c r="AD340" s="405">
        <v>12718</v>
      </c>
      <c r="AE340" s="405">
        <v>0</v>
      </c>
      <c r="AF340" s="405">
        <v>0</v>
      </c>
      <c r="AG340" s="405">
        <v>0</v>
      </c>
      <c r="AH340" s="405">
        <v>4806622</v>
      </c>
      <c r="AI340" s="405">
        <v>0</v>
      </c>
      <c r="AJ340" s="405">
        <v>0</v>
      </c>
      <c r="AK340" s="405">
        <v>46491</v>
      </c>
      <c r="AL340" s="405">
        <v>0</v>
      </c>
      <c r="AM340" s="405">
        <v>0</v>
      </c>
      <c r="AN340" s="405">
        <v>0</v>
      </c>
      <c r="AO340" s="405">
        <v>85758</v>
      </c>
      <c r="AP340" s="405">
        <v>643010</v>
      </c>
      <c r="AQ340" s="405">
        <v>0</v>
      </c>
      <c r="AR340" s="405">
        <v>200665</v>
      </c>
      <c r="AS340" s="405">
        <v>0</v>
      </c>
      <c r="AT340" s="405">
        <v>0</v>
      </c>
      <c r="AU340" s="405">
        <v>0</v>
      </c>
      <c r="AV340" s="405">
        <v>0</v>
      </c>
      <c r="AW340" s="405">
        <v>21831257</v>
      </c>
      <c r="AX340" s="405">
        <v>7377030</v>
      </c>
      <c r="AY340" s="405">
        <v>41773</v>
      </c>
      <c r="AZ340" s="405">
        <v>27810</v>
      </c>
      <c r="BA340" s="405">
        <v>2488</v>
      </c>
      <c r="BB340" s="405">
        <v>0</v>
      </c>
      <c r="BC340" s="405">
        <v>0</v>
      </c>
      <c r="BD340" s="405">
        <v>6091</v>
      </c>
      <c r="BE340" s="405">
        <v>13406</v>
      </c>
      <c r="BF340" s="405">
        <v>0</v>
      </c>
      <c r="BG340" s="405">
        <v>35068</v>
      </c>
      <c r="BH340" s="405">
        <v>1739300</v>
      </c>
      <c r="BI340" s="405">
        <v>0</v>
      </c>
      <c r="BJ340" s="405">
        <v>997154</v>
      </c>
      <c r="BK340" s="405">
        <v>41811</v>
      </c>
      <c r="BL340" s="405">
        <v>0</v>
      </c>
      <c r="BM340" s="405">
        <v>0</v>
      </c>
      <c r="BN340" s="405">
        <v>2593084</v>
      </c>
      <c r="BO340" s="405">
        <v>3113490</v>
      </c>
      <c r="BP340" s="405">
        <v>0</v>
      </c>
      <c r="BQ340" s="405">
        <v>3239676</v>
      </c>
      <c r="BR340" s="405">
        <v>15852538</v>
      </c>
      <c r="BS340" s="405">
        <v>0</v>
      </c>
      <c r="BT340" s="405">
        <v>93350</v>
      </c>
      <c r="BU340" s="405">
        <v>0</v>
      </c>
      <c r="BV340" s="405">
        <v>2014723</v>
      </c>
      <c r="BW340" s="405">
        <v>0</v>
      </c>
      <c r="BX340" s="405">
        <v>0</v>
      </c>
      <c r="BY340" s="405">
        <v>744520</v>
      </c>
      <c r="BZ340" s="405">
        <v>0</v>
      </c>
      <c r="CA340" s="405">
        <v>4019215</v>
      </c>
      <c r="CB340" s="405">
        <v>0</v>
      </c>
      <c r="CC340" s="405">
        <v>0</v>
      </c>
      <c r="CD340" s="405">
        <v>23628</v>
      </c>
      <c r="CE340" s="405">
        <v>0</v>
      </c>
      <c r="CF340" s="405">
        <v>0</v>
      </c>
    </row>
    <row r="341" spans="1:84" s="405" customFormat="1" x14ac:dyDescent="0.3">
      <c r="A341" s="405" t="s">
        <v>850</v>
      </c>
      <c r="B341" s="406"/>
      <c r="D341" s="405" t="s">
        <v>795</v>
      </c>
    </row>
    <row r="342" spans="1:84" s="405" customFormat="1" x14ac:dyDescent="0.3">
      <c r="A342" s="405" t="s">
        <v>797</v>
      </c>
      <c r="B342" s="406"/>
      <c r="D342" s="405" t="s">
        <v>796</v>
      </c>
    </row>
    <row r="343" spans="1:84" s="405" customFormat="1" x14ac:dyDescent="0.3">
      <c r="A343" s="405" t="s">
        <v>801</v>
      </c>
      <c r="B343" s="406"/>
      <c r="D343" s="405" t="s">
        <v>803</v>
      </c>
    </row>
    <row r="344" spans="1:84" s="405" customFormat="1" x14ac:dyDescent="0.3">
      <c r="A344" s="405" t="s">
        <v>802</v>
      </c>
      <c r="B344" s="406"/>
      <c r="D344" s="405" t="s">
        <v>804</v>
      </c>
    </row>
    <row r="345" spans="1:84" s="405" customFormat="1" x14ac:dyDescent="0.3">
      <c r="A345" s="405" t="s">
        <v>872</v>
      </c>
      <c r="B345" s="406"/>
      <c r="D345" s="405" t="s">
        <v>875</v>
      </c>
    </row>
    <row r="346" spans="1:84" s="405" customFormat="1" x14ac:dyDescent="0.3">
      <c r="A346" s="405" t="s">
        <v>873</v>
      </c>
      <c r="B346" s="406"/>
      <c r="D346" s="405" t="s">
        <v>874</v>
      </c>
    </row>
    <row r="347" spans="1:84" s="405" customFormat="1" x14ac:dyDescent="0.3">
      <c r="A347" s="405" t="s">
        <v>1095</v>
      </c>
      <c r="B347" s="406"/>
      <c r="D347" s="405" t="s">
        <v>822</v>
      </c>
      <c r="F347" s="405">
        <v>2.91</v>
      </c>
      <c r="G347" s="405">
        <v>1.94</v>
      </c>
      <c r="H347" s="405" t="e">
        <v>#DIV/0!</v>
      </c>
      <c r="I347" s="405">
        <v>25.04</v>
      </c>
      <c r="J347" s="405">
        <v>3.65</v>
      </c>
      <c r="K347" s="405">
        <v>4.07</v>
      </c>
      <c r="L347" s="405" t="e">
        <v>#DIV/0!</v>
      </c>
      <c r="M347" s="405">
        <v>1.79</v>
      </c>
      <c r="N347" s="405">
        <v>3.08</v>
      </c>
      <c r="O347" s="405" t="e">
        <v>#DIV/0!</v>
      </c>
      <c r="P347" s="405" t="e">
        <v>#DIV/0!</v>
      </c>
      <c r="Q347" s="405" t="e">
        <v>#DIV/0!</v>
      </c>
      <c r="R347" s="405">
        <v>0.97</v>
      </c>
      <c r="S347" s="405">
        <v>28.52</v>
      </c>
      <c r="T347" s="405" t="e">
        <v>#DIV/0!</v>
      </c>
      <c r="U347" s="405">
        <v>7.26</v>
      </c>
      <c r="V347" s="405" t="e">
        <v>#DIV/0!</v>
      </c>
      <c r="W347" s="405">
        <v>18.100000000000001</v>
      </c>
      <c r="X347" s="405">
        <v>5.79</v>
      </c>
      <c r="Y347" s="405" t="e">
        <v>#DIV/0!</v>
      </c>
      <c r="Z347" s="405" t="e">
        <v>#DIV/0!</v>
      </c>
      <c r="AA347" s="405">
        <v>2.29</v>
      </c>
      <c r="AB347" s="405">
        <v>7.12</v>
      </c>
      <c r="AC347" s="405" t="e">
        <v>#DIV/0!</v>
      </c>
      <c r="AD347" s="405">
        <v>43.52</v>
      </c>
      <c r="AE347" s="405" t="e">
        <v>#DIV/0!</v>
      </c>
      <c r="AF347" s="405" t="e">
        <v>#DIV/0!</v>
      </c>
      <c r="AG347" s="405" t="e">
        <v>#DIV/0!</v>
      </c>
      <c r="AH347" s="405">
        <v>4.1500000000000004</v>
      </c>
      <c r="AI347" s="405" t="e">
        <v>#DIV/0!</v>
      </c>
      <c r="AJ347" s="405">
        <v>33.11</v>
      </c>
      <c r="AK347" s="405">
        <v>4.62</v>
      </c>
      <c r="AL347" s="405">
        <v>224.17</v>
      </c>
      <c r="AM347" s="405">
        <v>0.87</v>
      </c>
      <c r="AN347" s="405" t="e">
        <v>#DIV/0!</v>
      </c>
      <c r="AO347" s="405">
        <v>7.6</v>
      </c>
      <c r="AP347" s="405">
        <v>12.47</v>
      </c>
      <c r="AQ347" s="405" t="e">
        <v>#DIV/0!</v>
      </c>
      <c r="AR347" s="405">
        <v>12.11</v>
      </c>
      <c r="AS347" s="405" t="e">
        <v>#DIV/0!</v>
      </c>
      <c r="AT347" s="405" t="e">
        <v>#DIV/0!</v>
      </c>
      <c r="AU347" s="405" t="e">
        <v>#DIV/0!</v>
      </c>
      <c r="AV347" s="405">
        <v>67.8</v>
      </c>
      <c r="AW347" s="405">
        <v>2.04</v>
      </c>
      <c r="AX347" s="405">
        <v>2.54</v>
      </c>
      <c r="AY347" s="405">
        <v>4.34</v>
      </c>
      <c r="AZ347" s="405">
        <v>3.3</v>
      </c>
      <c r="BA347" s="405">
        <v>3.8</v>
      </c>
      <c r="BB347" s="405">
        <v>4.54</v>
      </c>
      <c r="BC347" s="405" t="e">
        <v>#DIV/0!</v>
      </c>
      <c r="BD347" s="405">
        <v>18.100000000000001</v>
      </c>
      <c r="BE347" s="405">
        <v>90.28</v>
      </c>
      <c r="BF347" s="405" t="e">
        <v>#DIV/0!</v>
      </c>
      <c r="BG347" s="405">
        <v>10.4</v>
      </c>
      <c r="BH347" s="405">
        <v>4.0599999999999996</v>
      </c>
      <c r="BI347" s="405" t="e">
        <v>#DIV/0!</v>
      </c>
      <c r="BJ347" s="405">
        <v>9.48</v>
      </c>
      <c r="BK347" s="405">
        <v>7.24</v>
      </c>
      <c r="BL347" s="405" t="e">
        <v>#DIV/0!</v>
      </c>
      <c r="BM347" s="405" t="e">
        <v>#DIV/0!</v>
      </c>
      <c r="BN347" s="405">
        <v>14.38</v>
      </c>
      <c r="BO347" s="405">
        <v>3.09</v>
      </c>
      <c r="BP347" s="405" t="e">
        <v>#DIV/0!</v>
      </c>
      <c r="BQ347" s="405">
        <v>8</v>
      </c>
      <c r="BR347" s="405">
        <v>4.4400000000000004</v>
      </c>
      <c r="BS347" s="405">
        <v>21.58</v>
      </c>
      <c r="BT347" s="405">
        <v>10.81</v>
      </c>
      <c r="BU347" s="405" t="e">
        <v>#DIV/0!</v>
      </c>
      <c r="BV347" s="405">
        <v>4.82</v>
      </c>
      <c r="BW347" s="405">
        <v>7.5</v>
      </c>
      <c r="BX347" s="405">
        <v>1.07</v>
      </c>
      <c r="BY347" s="405">
        <v>14.35</v>
      </c>
      <c r="BZ347" s="405" t="e">
        <v>#DIV/0!</v>
      </c>
      <c r="CA347" s="405">
        <v>3.39</v>
      </c>
      <c r="CB347" s="405" t="e">
        <v>#DIV/0!</v>
      </c>
      <c r="CC347" s="405" t="e">
        <v>#DIV/0!</v>
      </c>
      <c r="CD347" s="405">
        <v>5.16</v>
      </c>
      <c r="CE347" s="405" t="e">
        <v>#DIV/0!</v>
      </c>
      <c r="CF347" s="405" t="e">
        <v>#DIV/0!</v>
      </c>
    </row>
    <row r="348" spans="1:84" s="405" customFormat="1" x14ac:dyDescent="0.3">
      <c r="A348" s="405" t="s">
        <v>1104</v>
      </c>
      <c r="B348" s="406"/>
      <c r="D348" s="405" t="s">
        <v>1271</v>
      </c>
      <c r="F348" s="405">
        <v>6948</v>
      </c>
      <c r="G348" s="405">
        <v>94657</v>
      </c>
      <c r="H348" s="405" t="s">
        <v>1778</v>
      </c>
      <c r="I348" s="405">
        <v>25981</v>
      </c>
      <c r="J348" s="405">
        <v>112630</v>
      </c>
      <c r="K348" s="405">
        <v>25360</v>
      </c>
      <c r="L348" s="405" t="s">
        <v>1778</v>
      </c>
      <c r="M348" s="405">
        <v>-75881</v>
      </c>
      <c r="N348" s="405">
        <v>474568</v>
      </c>
      <c r="O348" s="405" t="s">
        <v>1695</v>
      </c>
      <c r="P348" s="405" t="s">
        <v>1778</v>
      </c>
      <c r="Q348" s="405" t="s">
        <v>1695</v>
      </c>
      <c r="R348" s="405">
        <v>-10637</v>
      </c>
      <c r="S348" s="405">
        <v>1427984</v>
      </c>
      <c r="T348" s="405" t="s">
        <v>1778</v>
      </c>
      <c r="U348" s="405">
        <v>45376</v>
      </c>
      <c r="V348" s="405" t="s">
        <v>1778</v>
      </c>
      <c r="W348" s="405">
        <v>144163</v>
      </c>
      <c r="X348" s="405">
        <v>1012723</v>
      </c>
      <c r="Y348" s="405" t="s">
        <v>1778</v>
      </c>
      <c r="Z348" s="405" t="s">
        <v>1778</v>
      </c>
      <c r="AA348" s="405">
        <v>-268220</v>
      </c>
      <c r="AB348" s="405">
        <v>2608486</v>
      </c>
      <c r="AC348" s="405">
        <v>-6284</v>
      </c>
      <c r="AD348" s="405">
        <v>90984</v>
      </c>
      <c r="AE348" s="405" t="s">
        <v>1695</v>
      </c>
      <c r="AF348" s="405" t="s">
        <v>1778</v>
      </c>
      <c r="AG348" s="405" t="s">
        <v>1779</v>
      </c>
      <c r="AH348" s="405">
        <v>4674146</v>
      </c>
      <c r="AI348" s="405">
        <v>-277</v>
      </c>
      <c r="AJ348" s="405">
        <v>-41065</v>
      </c>
      <c r="AK348" s="405">
        <v>576261</v>
      </c>
      <c r="AL348" s="405">
        <v>-1804</v>
      </c>
      <c r="AM348" s="405">
        <v>18280</v>
      </c>
      <c r="AN348" s="405" t="s">
        <v>1780</v>
      </c>
      <c r="AO348" s="405">
        <v>16193</v>
      </c>
      <c r="AP348" s="405">
        <v>432302</v>
      </c>
      <c r="AQ348" s="405" t="s">
        <v>1778</v>
      </c>
      <c r="AR348" s="405">
        <v>269099</v>
      </c>
      <c r="AS348" s="405" t="s">
        <v>1778</v>
      </c>
      <c r="AT348" s="405" t="s">
        <v>1778</v>
      </c>
      <c r="AU348" s="405" t="s">
        <v>1778</v>
      </c>
      <c r="AV348" s="405">
        <v>-11589</v>
      </c>
      <c r="AW348" s="405">
        <v>35763793</v>
      </c>
      <c r="AX348" s="405">
        <v>11645733</v>
      </c>
      <c r="AY348" s="405">
        <v>-18904</v>
      </c>
      <c r="AZ348" s="405">
        <v>-6717</v>
      </c>
      <c r="BA348" s="405">
        <v>-20788</v>
      </c>
      <c r="BB348" s="405">
        <v>-31311</v>
      </c>
      <c r="BC348" s="405" t="s">
        <v>1778</v>
      </c>
      <c r="BD348" s="405">
        <v>504615</v>
      </c>
      <c r="BE348" s="405">
        <v>16799</v>
      </c>
      <c r="BF348" s="405" t="s">
        <v>1778</v>
      </c>
      <c r="BG348" s="405">
        <v>27772</v>
      </c>
      <c r="BH348" s="405">
        <v>1899599</v>
      </c>
      <c r="BI348" s="405" t="s">
        <v>1778</v>
      </c>
      <c r="BJ348" s="405">
        <v>1280396</v>
      </c>
      <c r="BK348" s="405">
        <v>14438</v>
      </c>
      <c r="BL348" s="405" t="s">
        <v>1778</v>
      </c>
      <c r="BM348" s="405" t="s">
        <v>1778</v>
      </c>
      <c r="BN348" s="405">
        <v>3508043</v>
      </c>
      <c r="BO348" s="405">
        <v>381298</v>
      </c>
      <c r="BP348" s="405" t="s">
        <v>1780</v>
      </c>
      <c r="BQ348" s="405">
        <v>6885234</v>
      </c>
      <c r="BR348" s="405">
        <v>16138462</v>
      </c>
      <c r="BS348" s="405">
        <v>51142</v>
      </c>
      <c r="BT348" s="405">
        <v>401162</v>
      </c>
      <c r="BU348" s="405" t="s">
        <v>1781</v>
      </c>
      <c r="BV348" s="405">
        <v>3245934</v>
      </c>
      <c r="BW348" s="405">
        <v>-11138</v>
      </c>
      <c r="BX348" s="405" t="s">
        <v>1696</v>
      </c>
      <c r="BY348" s="405">
        <v>-124263</v>
      </c>
      <c r="BZ348" s="405" t="s">
        <v>1778</v>
      </c>
      <c r="CA348" s="405">
        <v>5998383</v>
      </c>
      <c r="CB348" s="405" t="s">
        <v>1782</v>
      </c>
      <c r="CC348" s="405" t="s">
        <v>1783</v>
      </c>
      <c r="CD348" s="405">
        <v>44147</v>
      </c>
      <c r="CE348" s="405" t="s">
        <v>1778</v>
      </c>
      <c r="CF348" s="405" t="s">
        <v>1784</v>
      </c>
    </row>
    <row r="349" spans="1:84" s="405" customFormat="1" x14ac:dyDescent="0.3">
      <c r="A349" s="405" t="s">
        <v>1103</v>
      </c>
      <c r="B349" s="406"/>
      <c r="D349" s="405" t="s">
        <v>1105</v>
      </c>
      <c r="F349" s="409">
        <v>0.50555272206775148</v>
      </c>
      <c r="G349" s="409">
        <v>0.21892087249298928</v>
      </c>
      <c r="H349" s="409" t="e">
        <v>#DIV/0!</v>
      </c>
      <c r="I349" s="409">
        <v>1.5691995580270617</v>
      </c>
      <c r="J349" s="409">
        <v>1.4002786253729576</v>
      </c>
      <c r="K349" s="409">
        <v>0.95298703424061415</v>
      </c>
      <c r="L349" s="409" t="e">
        <v>#DIV/0!</v>
      </c>
      <c r="M349" s="409">
        <v>0.52436716063876943</v>
      </c>
      <c r="N349" s="409">
        <v>0.56521420782597753</v>
      </c>
      <c r="O349" s="409" t="e">
        <v>#DIV/0!</v>
      </c>
      <c r="P349" s="409" t="e">
        <v>#DIV/0!</v>
      </c>
      <c r="Q349" s="409" t="e">
        <v>#DIV/0!</v>
      </c>
      <c r="R349" s="409">
        <v>2.44411175965954E-2</v>
      </c>
      <c r="S349" s="409">
        <v>1.4505166871059192</v>
      </c>
      <c r="T349" s="409" t="e">
        <v>#DIV/0!</v>
      </c>
      <c r="U349" s="409">
        <v>0.94652807219429469</v>
      </c>
      <c r="V349" s="409" t="e">
        <v>#DIV/0!</v>
      </c>
      <c r="W349" s="409">
        <v>6.0535083357324186</v>
      </c>
      <c r="X349" s="409">
        <v>1.7518636137906081</v>
      </c>
      <c r="Y349" s="409" t="e">
        <v>#DIV/0!</v>
      </c>
      <c r="Z349" s="409" t="e">
        <v>#DIV/0!</v>
      </c>
      <c r="AA349" s="409">
        <v>0.103933292148536</v>
      </c>
      <c r="AB349" s="409">
        <v>2.2851150814804351</v>
      </c>
      <c r="AC349" s="409">
        <v>1.6399664732022836E-2</v>
      </c>
      <c r="AD349" s="409">
        <v>2.2715013333087279</v>
      </c>
      <c r="AE349" s="409" t="e">
        <v>#DIV/0!</v>
      </c>
      <c r="AF349" s="409" t="e">
        <v>#DIV/0!</v>
      </c>
      <c r="AG349" s="409" t="e">
        <v>#DIV/0!</v>
      </c>
      <c r="AH349" s="409">
        <v>0.60451197092380671</v>
      </c>
      <c r="AI349" s="409">
        <v>0.14801444043321299</v>
      </c>
      <c r="AJ349" s="409">
        <v>0.97761879720538347</v>
      </c>
      <c r="AK349" s="409">
        <v>0.57054376542751906</v>
      </c>
      <c r="AL349" s="409">
        <v>6.6230854605993343</v>
      </c>
      <c r="AM349" s="409">
        <v>1.0426244111811469</v>
      </c>
      <c r="AN349" s="409" t="e">
        <v>#DIV/0!</v>
      </c>
      <c r="AO349" s="409">
        <v>1.7321867026864775</v>
      </c>
      <c r="AP349" s="409">
        <v>1.6756281351631135</v>
      </c>
      <c r="AQ349" s="409" t="e">
        <v>#DIV/0!</v>
      </c>
      <c r="AR349" s="409">
        <v>1.0919011832798264</v>
      </c>
      <c r="AS349" s="409" t="e">
        <v>#DIV/0!</v>
      </c>
      <c r="AT349" s="409" t="e">
        <v>#DIV/0!</v>
      </c>
      <c r="AU349" s="409" t="e">
        <v>#DIV/0!</v>
      </c>
      <c r="AV349" s="409">
        <v>0.42987041332341919</v>
      </c>
      <c r="AW349" s="409">
        <v>0.43879262201474167</v>
      </c>
      <c r="AX349" s="409">
        <v>0.48718852206247537</v>
      </c>
      <c r="AY349" s="409">
        <v>0.42439223113896507</v>
      </c>
      <c r="AZ349" s="409">
        <v>0.36830656116119348</v>
      </c>
      <c r="BA349" s="409">
        <v>0.31442019683354727</v>
      </c>
      <c r="BB349" s="409">
        <v>0</v>
      </c>
      <c r="BC349" s="409" t="e">
        <v>#DIV/0!</v>
      </c>
      <c r="BD349" s="409">
        <v>1.4794172686247633</v>
      </c>
      <c r="BE349" s="409">
        <v>3.5045006070586266</v>
      </c>
      <c r="BF349" s="409" t="e">
        <v>#DIV/0!</v>
      </c>
      <c r="BG349" s="409">
        <v>1.2482772846032788</v>
      </c>
      <c r="BH349" s="409">
        <v>1.0609176977578068</v>
      </c>
      <c r="BI349" s="409" t="e">
        <v>#DIV/0!</v>
      </c>
      <c r="BJ349" s="409">
        <v>1.5900935550163331</v>
      </c>
      <c r="BK349" s="409">
        <v>0.32023380511093791</v>
      </c>
      <c r="BL349" s="409" t="e">
        <v>#DIV/0!</v>
      </c>
      <c r="BM349" s="409" t="e">
        <v>#DIV/0!</v>
      </c>
      <c r="BN349" s="409">
        <v>2.0498961294030478</v>
      </c>
      <c r="BO349" s="409">
        <v>0.5808557420740198</v>
      </c>
      <c r="BP349" s="409" t="e">
        <v>#DIV/0!</v>
      </c>
      <c r="BQ349" s="409">
        <v>1.813008199650916</v>
      </c>
      <c r="BR349" s="409">
        <v>1.2430490934924014</v>
      </c>
      <c r="BS349" s="409">
        <v>1.277974983665964</v>
      </c>
      <c r="BT349" s="409">
        <v>0.95952400839939467</v>
      </c>
      <c r="BU349" s="409" t="e">
        <v>#DIV/0!</v>
      </c>
      <c r="BV349" s="409">
        <v>1.3559826341207897</v>
      </c>
      <c r="BW349" s="409">
        <v>1.5348786253819986</v>
      </c>
      <c r="BX349" s="409" t="e">
        <v>#DIV/0!</v>
      </c>
      <c r="BY349" s="409">
        <v>0.74578033482092321</v>
      </c>
      <c r="BZ349" s="409" t="e">
        <v>#DIV/0!</v>
      </c>
      <c r="CA349" s="409">
        <v>1.9603261832680285</v>
      </c>
      <c r="CB349" s="409" t="e">
        <v>#DIV/0!</v>
      </c>
      <c r="CC349" s="409" t="e">
        <v>#DIV/0!</v>
      </c>
      <c r="CD349" s="409">
        <v>0.44739126625729736</v>
      </c>
      <c r="CE349" s="409" t="e">
        <v>#DIV/0!</v>
      </c>
      <c r="CF349" s="409" t="e">
        <v>#DIV/0!</v>
      </c>
    </row>
    <row r="350" spans="1:84" s="405" customFormat="1" x14ac:dyDescent="0.3">
      <c r="A350" s="405" t="s">
        <v>1102</v>
      </c>
      <c r="B350" s="406"/>
      <c r="D350" s="405" t="s">
        <v>1106</v>
      </c>
      <c r="F350" s="405" t="e">
        <v>#DIV/0!</v>
      </c>
      <c r="G350" s="405" t="e">
        <v>#DIV/0!</v>
      </c>
      <c r="H350" s="405" t="e">
        <v>#DIV/0!</v>
      </c>
      <c r="I350" s="405" t="e">
        <v>#DIV/0!</v>
      </c>
      <c r="J350" s="405" t="e">
        <v>#DIV/0!</v>
      </c>
      <c r="K350" s="405" t="e">
        <v>#DIV/0!</v>
      </c>
      <c r="L350" s="405" t="e">
        <v>#DIV/0!</v>
      </c>
      <c r="M350" s="405" t="e">
        <v>#DIV/0!</v>
      </c>
      <c r="N350" s="405">
        <v>1.59</v>
      </c>
      <c r="O350" s="405" t="e">
        <v>#DIV/0!</v>
      </c>
      <c r="P350" s="405" t="e">
        <v>#DIV/0!</v>
      </c>
      <c r="Q350" s="405" t="e">
        <v>#DIV/0!</v>
      </c>
      <c r="R350" s="405" t="e">
        <v>#DIV/0!</v>
      </c>
      <c r="S350" s="405">
        <v>59.8</v>
      </c>
      <c r="T350" s="405" t="e">
        <v>#DIV/0!</v>
      </c>
      <c r="U350" s="405">
        <v>7.96</v>
      </c>
      <c r="V350" s="405" t="e">
        <v>#DIV/0!</v>
      </c>
      <c r="W350" s="405" t="e">
        <v>#DIV/0!</v>
      </c>
      <c r="X350" s="405" t="e">
        <v>#DIV/0!</v>
      </c>
      <c r="Y350" s="405" t="e">
        <v>#DIV/0!</v>
      </c>
      <c r="Z350" s="405" t="e">
        <v>#DIV/0!</v>
      </c>
      <c r="AA350" s="405">
        <v>6.22</v>
      </c>
      <c r="AB350" s="405" t="e">
        <v>#DIV/0!</v>
      </c>
      <c r="AC350" s="405" t="e">
        <v>#DIV/0!</v>
      </c>
      <c r="AD350" s="405" t="e">
        <v>#DIV/0!</v>
      </c>
      <c r="AE350" s="405" t="e">
        <v>#DIV/0!</v>
      </c>
      <c r="AF350" s="405" t="e">
        <v>#DIV/0!</v>
      </c>
      <c r="AG350" s="405" t="e">
        <v>#DIV/0!</v>
      </c>
      <c r="AH350" s="405">
        <v>7.29</v>
      </c>
      <c r="AI350" s="405" t="e">
        <v>#DIV/0!</v>
      </c>
      <c r="AJ350" s="405" t="e">
        <v>#DIV/0!</v>
      </c>
      <c r="AK350" s="405" t="e">
        <v>#DIV/0!</v>
      </c>
      <c r="AL350" s="405" t="e">
        <v>#DIV/0!</v>
      </c>
      <c r="AM350" s="405" t="e">
        <v>#DIV/0!</v>
      </c>
      <c r="AN350" s="405" t="e">
        <v>#DIV/0!</v>
      </c>
      <c r="AO350" s="405" t="e">
        <v>#DIV/0!</v>
      </c>
      <c r="AP350" s="405" t="e">
        <v>#DIV/0!</v>
      </c>
      <c r="AQ350" s="405" t="e">
        <v>#DIV/0!</v>
      </c>
      <c r="AR350" s="405">
        <v>10.19</v>
      </c>
      <c r="AS350" s="405" t="e">
        <v>#DIV/0!</v>
      </c>
      <c r="AT350" s="405" t="e">
        <v>#DIV/0!</v>
      </c>
      <c r="AU350" s="405" t="e">
        <v>#DIV/0!</v>
      </c>
      <c r="AV350" s="405" t="e">
        <v>#DIV/0!</v>
      </c>
      <c r="AW350" s="405" t="e">
        <v>#DIV/0!</v>
      </c>
      <c r="AX350" s="405">
        <v>3.34</v>
      </c>
      <c r="AY350" s="405" t="e">
        <v>#DIV/0!</v>
      </c>
      <c r="AZ350" s="405" t="e">
        <v>#DIV/0!</v>
      </c>
      <c r="BA350" s="405" t="e">
        <v>#DIV/0!</v>
      </c>
      <c r="BB350" s="405" t="e">
        <v>#DIV/0!</v>
      </c>
      <c r="BC350" s="405" t="e">
        <v>#DIV/0!</v>
      </c>
      <c r="BD350" s="405" t="e">
        <v>#DIV/0!</v>
      </c>
      <c r="BE350" s="405" t="e">
        <v>#DIV/0!</v>
      </c>
      <c r="BF350" s="405" t="e">
        <v>#DIV/0!</v>
      </c>
      <c r="BG350" s="405" t="e">
        <v>#DIV/0!</v>
      </c>
      <c r="BH350" s="405" t="e">
        <v>#DIV/0!</v>
      </c>
      <c r="BI350" s="405" t="e">
        <v>#DIV/0!</v>
      </c>
      <c r="BJ350" s="405" t="e">
        <v>#DIV/0!</v>
      </c>
      <c r="BK350" s="405" t="e">
        <v>#DIV/0!</v>
      </c>
      <c r="BL350" s="405" t="e">
        <v>#DIV/0!</v>
      </c>
      <c r="BM350" s="405" t="e">
        <v>#DIV/0!</v>
      </c>
      <c r="BN350" s="405" t="e">
        <v>#DIV/0!</v>
      </c>
      <c r="BO350" s="405" t="e">
        <v>#DIV/0!</v>
      </c>
      <c r="BP350" s="405" t="e">
        <v>#DIV/0!</v>
      </c>
      <c r="BQ350" s="405" t="e">
        <v>#DIV/0!</v>
      </c>
      <c r="BR350" s="405">
        <v>8.73</v>
      </c>
      <c r="BS350" s="405" t="e">
        <v>#DIV/0!</v>
      </c>
      <c r="BT350" s="405">
        <v>10.4</v>
      </c>
      <c r="BU350" s="405" t="e">
        <v>#DIV/0!</v>
      </c>
      <c r="BV350" s="405" t="e">
        <v>#DIV/0!</v>
      </c>
      <c r="BW350" s="405">
        <v>4.5599999999999996</v>
      </c>
      <c r="BX350" s="405" t="e">
        <v>#DIV/0!</v>
      </c>
      <c r="BY350" s="405" t="e">
        <v>#DIV/0!</v>
      </c>
      <c r="BZ350" s="405" t="e">
        <v>#DIV/0!</v>
      </c>
      <c r="CA350" s="405" t="e">
        <v>#DIV/0!</v>
      </c>
      <c r="CB350" s="405" t="e">
        <v>#DIV/0!</v>
      </c>
      <c r="CC350" s="405" t="e">
        <v>#DIV/0!</v>
      </c>
      <c r="CD350" s="405" t="e">
        <v>#DIV/0!</v>
      </c>
      <c r="CE350" s="405" t="e">
        <v>#DIV/0!</v>
      </c>
      <c r="CF350" s="405">
        <v>3.34</v>
      </c>
    </row>
    <row r="351" spans="1:84" s="405" customFormat="1" x14ac:dyDescent="0.3">
      <c r="A351" s="405" t="s">
        <v>1108</v>
      </c>
      <c r="B351" s="406"/>
      <c r="D351" s="405" t="s">
        <v>1273</v>
      </c>
      <c r="F351" s="405" t="s">
        <v>1781</v>
      </c>
      <c r="G351" s="405" t="s">
        <v>1778</v>
      </c>
      <c r="H351" s="405" t="s">
        <v>1778</v>
      </c>
      <c r="I351" s="405" t="s">
        <v>1778</v>
      </c>
      <c r="J351" s="405" t="s">
        <v>1778</v>
      </c>
      <c r="K351" s="405" t="s">
        <v>1778</v>
      </c>
      <c r="L351" s="405" t="s">
        <v>1778</v>
      </c>
      <c r="M351" s="405" t="s">
        <v>1778</v>
      </c>
      <c r="N351" s="405">
        <v>-22287</v>
      </c>
      <c r="O351" s="405" t="s">
        <v>1695</v>
      </c>
      <c r="P351" s="405" t="s">
        <v>1778</v>
      </c>
      <c r="Q351" s="405" t="s">
        <v>1695</v>
      </c>
      <c r="R351" s="405" t="s">
        <v>1785</v>
      </c>
      <c r="S351" s="405">
        <v>3904914</v>
      </c>
      <c r="T351" s="405" t="s">
        <v>1778</v>
      </c>
      <c r="U351" s="405">
        <v>-4729</v>
      </c>
      <c r="V351" s="405" t="s">
        <v>1778</v>
      </c>
      <c r="W351" s="405" t="s">
        <v>1778</v>
      </c>
      <c r="X351" s="405" t="s">
        <v>1780</v>
      </c>
      <c r="Y351" s="405" t="s">
        <v>1778</v>
      </c>
      <c r="Z351" s="405" t="s">
        <v>1778</v>
      </c>
      <c r="AA351" s="405">
        <v>3395</v>
      </c>
      <c r="AB351" s="405" t="s">
        <v>1780</v>
      </c>
      <c r="AC351" s="405" t="s">
        <v>1778</v>
      </c>
      <c r="AD351" s="405" t="s">
        <v>1778</v>
      </c>
      <c r="AE351" s="405" t="s">
        <v>1695</v>
      </c>
      <c r="AF351" s="405" t="s">
        <v>1778</v>
      </c>
      <c r="AG351" s="405" t="s">
        <v>1779</v>
      </c>
      <c r="AH351" s="405">
        <v>7874825</v>
      </c>
      <c r="AI351" s="405" t="s">
        <v>1778</v>
      </c>
      <c r="AJ351" s="405" t="s">
        <v>1778</v>
      </c>
      <c r="AK351" s="405" t="s">
        <v>1783</v>
      </c>
      <c r="AL351" s="405" t="s">
        <v>1778</v>
      </c>
      <c r="AM351" s="405" t="s">
        <v>1778</v>
      </c>
      <c r="AN351" s="405" t="s">
        <v>1780</v>
      </c>
      <c r="AO351" s="405" t="s">
        <v>1778</v>
      </c>
      <c r="AP351" s="405" t="s">
        <v>1781</v>
      </c>
      <c r="AQ351" s="405" t="s">
        <v>1778</v>
      </c>
      <c r="AR351" s="405">
        <v>233200</v>
      </c>
      <c r="AS351" s="405" t="s">
        <v>1778</v>
      </c>
      <c r="AT351" s="405" t="s">
        <v>1778</v>
      </c>
      <c r="AU351" s="405" t="s">
        <v>1778</v>
      </c>
      <c r="AV351" s="405" t="s">
        <v>1778</v>
      </c>
      <c r="AW351" s="405" t="s">
        <v>1786</v>
      </c>
      <c r="AX351" s="405">
        <v>13913678</v>
      </c>
      <c r="AY351" s="405" t="s">
        <v>1778</v>
      </c>
      <c r="AZ351" s="405" t="s">
        <v>1778</v>
      </c>
      <c r="BA351" s="405" t="s">
        <v>1778</v>
      </c>
      <c r="BB351" s="405" t="s">
        <v>1778</v>
      </c>
      <c r="BC351" s="405" t="s">
        <v>1778</v>
      </c>
      <c r="BD351" s="405" t="s">
        <v>1783</v>
      </c>
      <c r="BE351" s="405" t="s">
        <v>1778</v>
      </c>
      <c r="BF351" s="405" t="s">
        <v>1778</v>
      </c>
      <c r="BG351" s="405" t="s">
        <v>1778</v>
      </c>
      <c r="BH351" s="405" t="s">
        <v>1695</v>
      </c>
      <c r="BI351" s="405" t="s">
        <v>1778</v>
      </c>
      <c r="BJ351" s="405" t="s">
        <v>1695</v>
      </c>
      <c r="BK351" s="405" t="s">
        <v>1778</v>
      </c>
      <c r="BL351" s="405" t="s">
        <v>1778</v>
      </c>
      <c r="BM351" s="405" t="s">
        <v>1778</v>
      </c>
      <c r="BN351" s="405" t="s">
        <v>1787</v>
      </c>
      <c r="BO351" s="405" t="s">
        <v>1786</v>
      </c>
      <c r="BP351" s="405" t="s">
        <v>1780</v>
      </c>
      <c r="BQ351" s="405" t="s">
        <v>1788</v>
      </c>
      <c r="BR351" s="405">
        <v>8075811</v>
      </c>
      <c r="BS351" s="405" t="s">
        <v>1778</v>
      </c>
      <c r="BT351" s="405">
        <v>1584139</v>
      </c>
      <c r="BU351" s="405" t="s">
        <v>1781</v>
      </c>
      <c r="BV351" s="405" t="s">
        <v>1789</v>
      </c>
      <c r="BW351" s="405">
        <v>-909</v>
      </c>
      <c r="BX351" s="405" t="s">
        <v>1696</v>
      </c>
      <c r="BY351" s="405" t="s">
        <v>1787</v>
      </c>
      <c r="BZ351" s="405" t="s">
        <v>1778</v>
      </c>
      <c r="CA351" s="405" t="s">
        <v>1787</v>
      </c>
      <c r="CB351" s="405" t="s">
        <v>1782</v>
      </c>
      <c r="CC351" s="405" t="s">
        <v>1783</v>
      </c>
      <c r="CD351" s="405" t="s">
        <v>1778</v>
      </c>
      <c r="CE351" s="405" t="s">
        <v>1778</v>
      </c>
      <c r="CF351" s="405">
        <v>1647084</v>
      </c>
    </row>
    <row r="352" spans="1:84" s="405" customFormat="1" x14ac:dyDescent="0.3">
      <c r="A352" s="405" t="s">
        <v>1109</v>
      </c>
      <c r="B352" s="406"/>
      <c r="D352" s="405" t="s">
        <v>1111</v>
      </c>
      <c r="F352" s="405" t="e">
        <v>#DIV/0!</v>
      </c>
      <c r="G352" s="405" t="e">
        <v>#DIV/0!</v>
      </c>
      <c r="H352" s="405" t="e">
        <v>#DIV/0!</v>
      </c>
      <c r="I352" s="405" t="e">
        <v>#DIV/0!</v>
      </c>
      <c r="J352" s="405" t="e">
        <v>#DIV/0!</v>
      </c>
      <c r="K352" s="405" t="e">
        <v>#DIV/0!</v>
      </c>
      <c r="L352" s="405" t="e">
        <v>#DIV/0!</v>
      </c>
      <c r="M352" s="405" t="e">
        <v>#DIV/0!</v>
      </c>
      <c r="N352" s="405">
        <v>7.0000000000000007E-2</v>
      </c>
      <c r="O352" s="405" t="e">
        <v>#DIV/0!</v>
      </c>
      <c r="P352" s="405" t="e">
        <v>#DIV/0!</v>
      </c>
      <c r="Q352" s="405" t="e">
        <v>#DIV/0!</v>
      </c>
      <c r="R352" s="405" t="e">
        <v>#DIV/0!</v>
      </c>
      <c r="S352" s="405">
        <v>0.73</v>
      </c>
      <c r="T352" s="405" t="e">
        <v>#DIV/0!</v>
      </c>
      <c r="U352" s="405">
        <v>1.51</v>
      </c>
      <c r="V352" s="405" t="e">
        <v>#DIV/0!</v>
      </c>
      <c r="W352" s="405" t="e">
        <v>#DIV/0!</v>
      </c>
      <c r="X352" s="405" t="e">
        <v>#DIV/0!</v>
      </c>
      <c r="Y352" s="405" t="e">
        <v>#DIV/0!</v>
      </c>
      <c r="Z352" s="405" t="e">
        <v>#DIV/0!</v>
      </c>
      <c r="AA352" s="405">
        <v>0.11</v>
      </c>
      <c r="AB352" s="405" t="e">
        <v>#DIV/0!</v>
      </c>
      <c r="AC352" s="405" t="e">
        <v>#DIV/0!</v>
      </c>
      <c r="AD352" s="405" t="e">
        <v>#DIV/0!</v>
      </c>
      <c r="AE352" s="405" t="e">
        <v>#DIV/0!</v>
      </c>
      <c r="AF352" s="405" t="e">
        <v>#DIV/0!</v>
      </c>
      <c r="AG352" s="405" t="e">
        <v>#DIV/0!</v>
      </c>
      <c r="AH352" s="405">
        <v>0.51</v>
      </c>
      <c r="AI352" s="405" t="e">
        <v>#DIV/0!</v>
      </c>
      <c r="AJ352" s="405" t="e">
        <v>#DIV/0!</v>
      </c>
      <c r="AK352" s="405" t="e">
        <v>#DIV/0!</v>
      </c>
      <c r="AL352" s="405" t="e">
        <v>#DIV/0!</v>
      </c>
      <c r="AM352" s="405" t="e">
        <v>#DIV/0!</v>
      </c>
      <c r="AN352" s="405" t="e">
        <v>#DIV/0!</v>
      </c>
      <c r="AO352" s="405" t="e">
        <v>#DIV/0!</v>
      </c>
      <c r="AP352" s="405" t="e">
        <v>#DIV/0!</v>
      </c>
      <c r="AQ352" s="405" t="e">
        <v>#DIV/0!</v>
      </c>
      <c r="AR352" s="405">
        <v>0.66</v>
      </c>
      <c r="AS352" s="405" t="e">
        <v>#DIV/0!</v>
      </c>
      <c r="AT352" s="405" t="e">
        <v>#DIV/0!</v>
      </c>
      <c r="AU352" s="405" t="e">
        <v>#DIV/0!</v>
      </c>
      <c r="AV352" s="405" t="e">
        <v>#DIV/0!</v>
      </c>
      <c r="AW352" s="405" t="e">
        <v>#DIV/0!</v>
      </c>
      <c r="AX352" s="405">
        <v>0.31</v>
      </c>
      <c r="AY352" s="405" t="e">
        <v>#DIV/0!</v>
      </c>
      <c r="AZ352" s="405" t="e">
        <v>#DIV/0!</v>
      </c>
      <c r="BA352" s="405" t="e">
        <v>#DIV/0!</v>
      </c>
      <c r="BB352" s="405" t="e">
        <v>#DIV/0!</v>
      </c>
      <c r="BC352" s="405" t="e">
        <v>#DIV/0!</v>
      </c>
      <c r="BD352" s="405" t="e">
        <v>#DIV/0!</v>
      </c>
      <c r="BE352" s="405" t="e">
        <v>#DIV/0!</v>
      </c>
      <c r="BF352" s="405" t="e">
        <v>#DIV/0!</v>
      </c>
      <c r="BG352" s="405" t="e">
        <v>#DIV/0!</v>
      </c>
      <c r="BH352" s="405" t="e">
        <v>#DIV/0!</v>
      </c>
      <c r="BI352" s="405" t="e">
        <v>#DIV/0!</v>
      </c>
      <c r="BJ352" s="405" t="e">
        <v>#DIV/0!</v>
      </c>
      <c r="BK352" s="405" t="e">
        <v>#DIV/0!</v>
      </c>
      <c r="BL352" s="405" t="e">
        <v>#DIV/0!</v>
      </c>
      <c r="BM352" s="405" t="e">
        <v>#DIV/0!</v>
      </c>
      <c r="BN352" s="405" t="e">
        <v>#DIV/0!</v>
      </c>
      <c r="BO352" s="405" t="e">
        <v>#DIV/0!</v>
      </c>
      <c r="BP352" s="405" t="e">
        <v>#DIV/0!</v>
      </c>
      <c r="BQ352" s="405" t="e">
        <v>#DIV/0!</v>
      </c>
      <c r="BR352" s="405">
        <v>0.75</v>
      </c>
      <c r="BS352" s="405" t="e">
        <v>#DIV/0!</v>
      </c>
      <c r="BT352" s="405">
        <v>0.71</v>
      </c>
      <c r="BU352" s="405" t="e">
        <v>#DIV/0!</v>
      </c>
      <c r="BV352" s="405" t="e">
        <v>#DIV/0!</v>
      </c>
      <c r="BW352" s="405">
        <v>0.78</v>
      </c>
      <c r="BX352" s="405" t="e">
        <v>#DIV/0!</v>
      </c>
      <c r="BY352" s="405" t="e">
        <v>#DIV/0!</v>
      </c>
      <c r="BZ352" s="405" t="e">
        <v>#DIV/0!</v>
      </c>
      <c r="CA352" s="405" t="e">
        <v>#DIV/0!</v>
      </c>
      <c r="CB352" s="405" t="e">
        <v>#DIV/0!</v>
      </c>
      <c r="CC352" s="405" t="e">
        <v>#DIV/0!</v>
      </c>
      <c r="CD352" s="405" t="e">
        <v>#DIV/0!</v>
      </c>
      <c r="CE352" s="405" t="e">
        <v>#DIV/0!</v>
      </c>
      <c r="CF352" s="405">
        <v>0.21</v>
      </c>
    </row>
    <row r="353" spans="1:84" s="405" customFormat="1" x14ac:dyDescent="0.3">
      <c r="A353" s="405" t="s">
        <v>1790</v>
      </c>
      <c r="B353" s="406"/>
      <c r="D353" s="405" t="s">
        <v>1126</v>
      </c>
      <c r="F353" s="405">
        <v>0</v>
      </c>
      <c r="G353" s="405">
        <v>0</v>
      </c>
      <c r="H353" s="405">
        <v>0</v>
      </c>
      <c r="I353" s="405">
        <v>0</v>
      </c>
      <c r="J353" s="405">
        <v>0</v>
      </c>
      <c r="K353" s="405">
        <v>0</v>
      </c>
      <c r="L353" s="405">
        <v>0</v>
      </c>
      <c r="M353" s="405">
        <v>0</v>
      </c>
      <c r="N353" s="405">
        <v>9281872</v>
      </c>
      <c r="O353" s="405">
        <v>0</v>
      </c>
      <c r="P353" s="405">
        <v>0</v>
      </c>
      <c r="Q353" s="405">
        <v>0</v>
      </c>
      <c r="R353" s="405">
        <v>0</v>
      </c>
      <c r="S353" s="405">
        <v>14188956</v>
      </c>
      <c r="T353" s="405">
        <v>0</v>
      </c>
      <c r="U353" s="405">
        <v>772875</v>
      </c>
      <c r="V353" s="405">
        <v>0</v>
      </c>
      <c r="W353" s="405">
        <v>0</v>
      </c>
      <c r="X353" s="405">
        <v>0</v>
      </c>
      <c r="Y353" s="405">
        <v>0</v>
      </c>
      <c r="Z353" s="405">
        <v>0</v>
      </c>
      <c r="AA353" s="405">
        <v>1169125</v>
      </c>
      <c r="AB353" s="405">
        <v>0</v>
      </c>
      <c r="AC353" s="405">
        <v>0</v>
      </c>
      <c r="AD353" s="405">
        <v>0</v>
      </c>
      <c r="AE353" s="405">
        <v>0</v>
      </c>
      <c r="AF353" s="405">
        <v>0</v>
      </c>
      <c r="AG353" s="405">
        <v>0</v>
      </c>
      <c r="AH353" s="405">
        <v>112159436</v>
      </c>
      <c r="AI353" s="405">
        <v>0</v>
      </c>
      <c r="AJ353" s="405">
        <v>0</v>
      </c>
      <c r="AK353" s="405">
        <v>0</v>
      </c>
      <c r="AL353" s="405">
        <v>0</v>
      </c>
      <c r="AM353" s="405">
        <v>0</v>
      </c>
      <c r="AN353" s="405">
        <v>0</v>
      </c>
      <c r="AO353" s="405">
        <v>0</v>
      </c>
      <c r="AP353" s="405">
        <v>0</v>
      </c>
      <c r="AQ353" s="405">
        <v>0</v>
      </c>
      <c r="AR353" s="405">
        <v>7308133</v>
      </c>
      <c r="AS353" s="405">
        <v>0</v>
      </c>
      <c r="AT353" s="405">
        <v>0</v>
      </c>
      <c r="AU353" s="405">
        <v>0</v>
      </c>
      <c r="AV353" s="405">
        <v>0</v>
      </c>
      <c r="AW353" s="405">
        <v>0</v>
      </c>
      <c r="AX353" s="405">
        <v>349054441</v>
      </c>
      <c r="AY353" s="405">
        <v>0</v>
      </c>
      <c r="AZ353" s="405">
        <v>0</v>
      </c>
      <c r="BA353" s="405">
        <v>0</v>
      </c>
      <c r="BB353" s="405">
        <v>0</v>
      </c>
      <c r="BC353" s="405">
        <v>0</v>
      </c>
      <c r="BD353" s="405">
        <v>0</v>
      </c>
      <c r="BE353" s="405">
        <v>0</v>
      </c>
      <c r="BF353" s="405">
        <v>0</v>
      </c>
      <c r="BG353" s="405">
        <v>0</v>
      </c>
      <c r="BH353" s="405">
        <v>0</v>
      </c>
      <c r="BI353" s="405">
        <v>0</v>
      </c>
      <c r="BJ353" s="405">
        <v>0</v>
      </c>
      <c r="BK353" s="405">
        <v>0</v>
      </c>
      <c r="BL353" s="405">
        <v>0</v>
      </c>
      <c r="BM353" s="405">
        <v>0</v>
      </c>
      <c r="BN353" s="405">
        <v>0</v>
      </c>
      <c r="BO353" s="405">
        <v>0</v>
      </c>
      <c r="BP353" s="405">
        <v>0</v>
      </c>
      <c r="BQ353" s="405">
        <v>0</v>
      </c>
      <c r="BR353" s="405">
        <v>152872466</v>
      </c>
      <c r="BS353" s="405">
        <v>0</v>
      </c>
      <c r="BT353" s="405">
        <v>3872513</v>
      </c>
      <c r="BU353" s="405">
        <v>0</v>
      </c>
      <c r="BV353" s="405">
        <v>0</v>
      </c>
      <c r="BW353" s="405">
        <v>466651</v>
      </c>
      <c r="BX353" s="405">
        <v>0</v>
      </c>
      <c r="BY353" s="405">
        <v>0</v>
      </c>
      <c r="BZ353" s="405">
        <v>0</v>
      </c>
      <c r="CA353" s="405">
        <v>0</v>
      </c>
      <c r="CB353" s="405">
        <v>0</v>
      </c>
      <c r="CC353" s="405">
        <v>0</v>
      </c>
      <c r="CD353" s="405">
        <v>0</v>
      </c>
      <c r="CE353" s="405">
        <v>0</v>
      </c>
      <c r="CF353" s="405">
        <v>36875094</v>
      </c>
    </row>
    <row r="354" spans="1:84" s="405" customFormat="1" x14ac:dyDescent="0.3">
      <c r="A354" s="405" t="s">
        <v>1125</v>
      </c>
      <c r="B354" s="406"/>
    </row>
    <row r="355" spans="1:84" s="405" customFormat="1" x14ac:dyDescent="0.3">
      <c r="A355" s="405" t="s">
        <v>1699</v>
      </c>
      <c r="B355" s="406"/>
    </row>
    <row r="356" spans="1:84" s="405" customFormat="1" x14ac:dyDescent="0.3">
      <c r="A356" s="405" t="s">
        <v>1699</v>
      </c>
      <c r="B356" s="406"/>
    </row>
    <row r="361" spans="1:84" x14ac:dyDescent="0.3">
      <c r="D361" s="99" t="s">
        <v>1268</v>
      </c>
      <c r="F361" s="1130">
        <v>76063832.159999996</v>
      </c>
      <c r="G361" s="1130">
        <v>83860160.599999994</v>
      </c>
      <c r="H361" s="1130">
        <v>11065293.390000001</v>
      </c>
      <c r="I361" s="1130">
        <v>65003162.210000001</v>
      </c>
      <c r="J361" s="1130">
        <v>43313913.630000003</v>
      </c>
      <c r="K361" s="1130">
        <v>8604928.0299999993</v>
      </c>
      <c r="L361" s="1130">
        <v>1585484.57</v>
      </c>
      <c r="M361" s="1130">
        <v>32475668.18</v>
      </c>
      <c r="N361" s="1130">
        <v>409891344.48000002</v>
      </c>
      <c r="O361" s="1130">
        <v>4190828665.5900002</v>
      </c>
      <c r="P361" s="1130">
        <v>41645404.909999996</v>
      </c>
      <c r="Q361" s="1130">
        <v>146718197.86000001</v>
      </c>
      <c r="R361" s="1130">
        <v>14567705.199999999</v>
      </c>
      <c r="S361" s="1130">
        <v>612673178.22000003</v>
      </c>
      <c r="T361" s="1130">
        <v>2180229.6800000002</v>
      </c>
      <c r="U361" s="1130">
        <v>48882018.82</v>
      </c>
      <c r="V361" s="1130">
        <v>0.01</v>
      </c>
      <c r="W361" s="1130">
        <v>33040131.34</v>
      </c>
      <c r="X361" s="1130">
        <v>272874484.04000002</v>
      </c>
      <c r="Y361" s="1130">
        <v>28862333.989999998</v>
      </c>
      <c r="Z361" s="1130">
        <v>0.01</v>
      </c>
      <c r="AA361" s="1130">
        <v>87471206.439999998</v>
      </c>
      <c r="AB361" s="1130">
        <v>1878833830.1900001</v>
      </c>
      <c r="AC361" s="1130">
        <v>66132822.009999998</v>
      </c>
      <c r="AD361" s="1130">
        <v>30778946.57</v>
      </c>
      <c r="AE361" s="1130">
        <v>951981018.94000006</v>
      </c>
      <c r="AF361" s="1130">
        <v>14886552.109999999</v>
      </c>
      <c r="AG361" s="1130">
        <f>SUM(AG3:AG331)</f>
        <v>9403014.9299999997</v>
      </c>
      <c r="AH361" s="1130">
        <v>4539267714.5699997</v>
      </c>
      <c r="AI361" s="1130">
        <v>9024579.6099999994</v>
      </c>
      <c r="AJ361" s="1130">
        <v>12325297.890000001</v>
      </c>
      <c r="AK361" s="1130">
        <v>248298615.50999999</v>
      </c>
      <c r="AL361" s="1130">
        <v>23922388.600000001</v>
      </c>
      <c r="AM361" s="1130">
        <v>5500499.0300000003</v>
      </c>
      <c r="AN361" s="1130">
        <v>0.01</v>
      </c>
      <c r="AO361" s="1130">
        <v>40940212.649999999</v>
      </c>
      <c r="AP361" s="1130">
        <v>569726404.88999999</v>
      </c>
      <c r="AQ361" s="1130">
        <v>593395</v>
      </c>
      <c r="AR361" s="1130">
        <v>274455182.64999998</v>
      </c>
      <c r="AS361" s="1130">
        <v>44938811.789999999</v>
      </c>
      <c r="AT361" s="1130">
        <v>3517979.44</v>
      </c>
      <c r="AU361" s="1130">
        <v>0.01</v>
      </c>
      <c r="AV361" s="1130">
        <v>26034721.949999999</v>
      </c>
      <c r="AW361" s="1130">
        <v>12074874930.709999</v>
      </c>
      <c r="AX361" s="1130">
        <v>6160692688.0100002</v>
      </c>
      <c r="AY361" s="1130">
        <v>65680065.469999999</v>
      </c>
      <c r="AZ361" s="1130">
        <v>20341648.190000001</v>
      </c>
      <c r="BA361" s="1130">
        <v>18480158.960000001</v>
      </c>
      <c r="BB361" s="1130">
        <v>16467209.42</v>
      </c>
      <c r="BC361" s="1130">
        <v>0.09</v>
      </c>
      <c r="BD361" s="1130">
        <v>202367771.96000001</v>
      </c>
      <c r="BE361" s="1130">
        <v>28539888.800000001</v>
      </c>
      <c r="BF361" s="1130">
        <v>3691389.56</v>
      </c>
      <c r="BG361" s="1130">
        <v>7048590.7800000003</v>
      </c>
      <c r="BH361" s="1130">
        <v>597175431.80999994</v>
      </c>
      <c r="BI361" s="1130">
        <v>946525.53</v>
      </c>
      <c r="BJ361" s="1130">
        <v>496737398.99000001</v>
      </c>
      <c r="BK361" s="1130">
        <v>85756678.939999998</v>
      </c>
      <c r="BL361" s="1130">
        <v>8274161.1200000001</v>
      </c>
      <c r="BM361" s="1130">
        <v>4917301</v>
      </c>
      <c r="BN361" s="1130">
        <v>967421752.13</v>
      </c>
      <c r="BO361" s="1130">
        <v>1009333773.25</v>
      </c>
      <c r="BP361" s="1130">
        <v>0.09</v>
      </c>
      <c r="BQ361" s="1130">
        <v>2308593590.3400002</v>
      </c>
      <c r="BR361" s="1130">
        <v>7560266692.9700003</v>
      </c>
      <c r="BS361" s="1130">
        <v>40217922.359999999</v>
      </c>
      <c r="BT361" s="1130">
        <v>367548435.73000002</v>
      </c>
      <c r="BU361" s="1130">
        <v>36806958.329999998</v>
      </c>
      <c r="BV361" s="1130">
        <v>688130002.27999997</v>
      </c>
      <c r="BW361" s="1130">
        <v>30585445.289999999</v>
      </c>
      <c r="BX361" s="1130">
        <v>26438278.280000001</v>
      </c>
      <c r="BY361" s="1130">
        <v>223793035.50999999</v>
      </c>
      <c r="BZ361" s="1130">
        <v>46381179.460000001</v>
      </c>
      <c r="CA361" s="1130">
        <v>2090676827.3</v>
      </c>
      <c r="CB361" s="99">
        <v>0.09</v>
      </c>
      <c r="CC361" s="1130">
        <v>249255115.36000001</v>
      </c>
      <c r="CD361" s="1130">
        <v>18969173.309999999</v>
      </c>
      <c r="CE361" s="1130">
        <v>52953069.030000001</v>
      </c>
      <c r="CF361" s="1130">
        <v>1523516761.53</v>
      </c>
    </row>
    <row r="362" spans="1:84" x14ac:dyDescent="0.3">
      <c r="D362" s="99" t="s">
        <v>1269</v>
      </c>
      <c r="F362" s="1130">
        <v>76063832.159999996</v>
      </c>
      <c r="G362" s="1130">
        <v>83860160.599999994</v>
      </c>
      <c r="H362" s="1130">
        <v>11065293.390000001</v>
      </c>
      <c r="I362" s="1130">
        <v>65003162.210000001</v>
      </c>
      <c r="J362" s="1130">
        <v>43313913.630000003</v>
      </c>
      <c r="K362" s="1130">
        <v>8604928.0299999993</v>
      </c>
      <c r="L362" s="1130">
        <v>1585484.57</v>
      </c>
      <c r="M362" s="1130">
        <v>32475668.18</v>
      </c>
      <c r="N362" s="1130">
        <v>409891344.48000002</v>
      </c>
      <c r="O362" s="1130">
        <v>4190828665.5900002</v>
      </c>
      <c r="P362" s="1130">
        <v>41645404.909999996</v>
      </c>
      <c r="Q362" s="1130">
        <v>146718197.86000001</v>
      </c>
      <c r="R362" s="1130">
        <v>14567705.199999999</v>
      </c>
      <c r="S362" s="1130">
        <v>612673178.22000003</v>
      </c>
      <c r="T362" s="1130">
        <v>2180229.6800000002</v>
      </c>
      <c r="U362" s="1130">
        <v>48882018.82</v>
      </c>
      <c r="V362" s="1130">
        <v>0.01</v>
      </c>
      <c r="W362" s="1130">
        <v>33040131.34</v>
      </c>
      <c r="X362" s="1130">
        <v>272874484.04000002</v>
      </c>
      <c r="Y362" s="1130">
        <v>28862333.989999998</v>
      </c>
      <c r="Z362" s="1130">
        <v>0.01</v>
      </c>
      <c r="AA362" s="1130">
        <v>87471206.439999998</v>
      </c>
      <c r="AB362" s="1130">
        <v>1878833830.1900001</v>
      </c>
      <c r="AC362" s="1130">
        <v>66132822.009999998</v>
      </c>
      <c r="AD362" s="1130">
        <v>30778946.57</v>
      </c>
      <c r="AE362" s="1130">
        <v>951981018.94000006</v>
      </c>
      <c r="AF362" s="1130">
        <v>14886552.109999999</v>
      </c>
      <c r="AG362" s="1130">
        <v>9403014.9299999997</v>
      </c>
      <c r="AH362" s="1130">
        <v>4539267714.5699997</v>
      </c>
      <c r="AI362" s="1130">
        <v>9024579.6099999994</v>
      </c>
      <c r="AJ362" s="1130">
        <v>12325297.890000001</v>
      </c>
      <c r="AK362" s="1130">
        <v>248298615.50999999</v>
      </c>
      <c r="AL362" s="1130">
        <v>23922388.600000001</v>
      </c>
      <c r="AM362" s="1130">
        <v>5500499.0300000003</v>
      </c>
      <c r="AN362" s="1130">
        <v>0.01</v>
      </c>
      <c r="AO362" s="1130">
        <v>40940212.649999999</v>
      </c>
      <c r="AP362" s="1130">
        <v>569726404.88999999</v>
      </c>
      <c r="AQ362" s="1130">
        <v>593395</v>
      </c>
      <c r="AR362" s="1130">
        <v>274455182.64999998</v>
      </c>
      <c r="AS362" s="1130">
        <v>44938811.789999999</v>
      </c>
      <c r="AT362" s="1130">
        <v>3517979.44</v>
      </c>
      <c r="AU362" s="1130">
        <v>0.01</v>
      </c>
      <c r="AV362" s="1130">
        <v>26034721.949999999</v>
      </c>
      <c r="AW362" s="1130">
        <v>12074874930.709999</v>
      </c>
      <c r="AX362" s="1130">
        <v>6160692688.0100002</v>
      </c>
      <c r="AY362" s="1130">
        <v>65680065.469999999</v>
      </c>
      <c r="AZ362" s="1130">
        <v>20341648.190000001</v>
      </c>
      <c r="BA362" s="1130">
        <v>18480158.960000001</v>
      </c>
      <c r="BB362" s="1130">
        <v>16467209.42</v>
      </c>
      <c r="BC362" s="1130">
        <v>0.09</v>
      </c>
      <c r="BD362" s="1130">
        <v>202367771.96000001</v>
      </c>
      <c r="BE362" s="1130">
        <v>28539888.800000001</v>
      </c>
      <c r="BF362" s="1130">
        <v>3691389.56</v>
      </c>
      <c r="BG362" s="1130">
        <v>7048590.7800000003</v>
      </c>
      <c r="BH362" s="1130">
        <v>597175431.80999994</v>
      </c>
      <c r="BI362" s="1130">
        <v>946525.53</v>
      </c>
      <c r="BJ362" s="1130">
        <v>496737398.99000001</v>
      </c>
      <c r="BK362" s="1130">
        <v>85756678.939999998</v>
      </c>
      <c r="BL362" s="1130">
        <v>8274161.1200000001</v>
      </c>
      <c r="BM362" s="1130">
        <v>4917301</v>
      </c>
      <c r="BN362" s="1130">
        <v>967421752.13</v>
      </c>
      <c r="BO362" s="1130">
        <v>1009333773.25</v>
      </c>
      <c r="BP362" s="1130">
        <v>0.09</v>
      </c>
      <c r="BQ362" s="1130">
        <v>2308593590.3400002</v>
      </c>
      <c r="BR362" s="1130">
        <v>7560266692.9700003</v>
      </c>
      <c r="BS362" s="1130">
        <v>40217922.359999999</v>
      </c>
      <c r="BT362" s="1130">
        <v>367548435.73000002</v>
      </c>
      <c r="BU362" s="1130">
        <v>36806958.329999998</v>
      </c>
      <c r="BV362" s="1130">
        <v>688130002.27999997</v>
      </c>
      <c r="BW362" s="1130">
        <v>30585445.289999999</v>
      </c>
      <c r="BX362" s="1130">
        <v>26438278.280000001</v>
      </c>
      <c r="BY362" s="1130">
        <v>223793035.50999999</v>
      </c>
      <c r="BZ362" s="1130">
        <v>46381179.460000001</v>
      </c>
      <c r="CA362" s="1130">
        <v>2090676827.3</v>
      </c>
      <c r="CB362" s="99">
        <v>0.09</v>
      </c>
      <c r="CC362" s="1130">
        <v>249255115.36000001</v>
      </c>
      <c r="CD362" s="1130">
        <v>18969173.309999999</v>
      </c>
      <c r="CE362" s="1130">
        <v>52953069.030000001</v>
      </c>
      <c r="CF362" s="1130">
        <v>1523516761.53</v>
      </c>
    </row>
    <row r="363" spans="1:84" x14ac:dyDescent="0.3">
      <c r="E363" s="404"/>
      <c r="F363" s="404">
        <f>F361-F362</f>
        <v>0</v>
      </c>
      <c r="G363" s="404">
        <f t="shared" ref="G363:BR363" si="0">G361-G362</f>
        <v>0</v>
      </c>
      <c r="H363" s="404">
        <f t="shared" si="0"/>
        <v>0</v>
      </c>
      <c r="I363" s="404">
        <f t="shared" si="0"/>
        <v>0</v>
      </c>
      <c r="J363" s="404">
        <f t="shared" si="0"/>
        <v>0</v>
      </c>
      <c r="K363" s="404">
        <f t="shared" si="0"/>
        <v>0</v>
      </c>
      <c r="L363" s="404">
        <f t="shared" si="0"/>
        <v>0</v>
      </c>
      <c r="M363" s="404">
        <f t="shared" si="0"/>
        <v>0</v>
      </c>
      <c r="N363" s="404">
        <f t="shared" si="0"/>
        <v>0</v>
      </c>
      <c r="O363" s="404">
        <f t="shared" si="0"/>
        <v>0</v>
      </c>
      <c r="P363" s="404">
        <f t="shared" si="0"/>
        <v>0</v>
      </c>
      <c r="Q363" s="404">
        <f t="shared" si="0"/>
        <v>0</v>
      </c>
      <c r="R363" s="404">
        <f t="shared" si="0"/>
        <v>0</v>
      </c>
      <c r="S363" s="404">
        <f t="shared" si="0"/>
        <v>0</v>
      </c>
      <c r="T363" s="404">
        <f t="shared" si="0"/>
        <v>0</v>
      </c>
      <c r="U363" s="404">
        <f t="shared" si="0"/>
        <v>0</v>
      </c>
      <c r="V363" s="404">
        <f t="shared" si="0"/>
        <v>0</v>
      </c>
      <c r="W363" s="404">
        <f t="shared" si="0"/>
        <v>0</v>
      </c>
      <c r="X363" s="404">
        <f t="shared" si="0"/>
        <v>0</v>
      </c>
      <c r="Y363" s="404">
        <f t="shared" si="0"/>
        <v>0</v>
      </c>
      <c r="Z363" s="404">
        <f t="shared" si="0"/>
        <v>0</v>
      </c>
      <c r="AA363" s="404">
        <f t="shared" si="0"/>
        <v>0</v>
      </c>
      <c r="AB363" s="404">
        <f t="shared" si="0"/>
        <v>0</v>
      </c>
      <c r="AC363" s="404">
        <f t="shared" si="0"/>
        <v>0</v>
      </c>
      <c r="AD363" s="404">
        <f t="shared" si="0"/>
        <v>0</v>
      </c>
      <c r="AE363" s="404">
        <f t="shared" si="0"/>
        <v>0</v>
      </c>
      <c r="AF363" s="404">
        <f t="shared" si="0"/>
        <v>0</v>
      </c>
      <c r="AG363" s="404">
        <f t="shared" si="0"/>
        <v>0</v>
      </c>
      <c r="AH363" s="404">
        <f t="shared" si="0"/>
        <v>0</v>
      </c>
      <c r="AI363" s="404">
        <f t="shared" si="0"/>
        <v>0</v>
      </c>
      <c r="AJ363" s="404">
        <f t="shared" si="0"/>
        <v>0</v>
      </c>
      <c r="AK363" s="404">
        <f t="shared" si="0"/>
        <v>0</v>
      </c>
      <c r="AL363" s="404">
        <f t="shared" si="0"/>
        <v>0</v>
      </c>
      <c r="AM363" s="404">
        <f t="shared" si="0"/>
        <v>0</v>
      </c>
      <c r="AN363" s="404">
        <f t="shared" si="0"/>
        <v>0</v>
      </c>
      <c r="AO363" s="404">
        <f t="shared" si="0"/>
        <v>0</v>
      </c>
      <c r="AP363" s="404">
        <f t="shared" si="0"/>
        <v>0</v>
      </c>
      <c r="AQ363" s="404">
        <f t="shared" si="0"/>
        <v>0</v>
      </c>
      <c r="AR363" s="404">
        <f t="shared" si="0"/>
        <v>0</v>
      </c>
      <c r="AS363" s="404">
        <f t="shared" si="0"/>
        <v>0</v>
      </c>
      <c r="AT363" s="404">
        <f t="shared" si="0"/>
        <v>0</v>
      </c>
      <c r="AU363" s="404">
        <f t="shared" si="0"/>
        <v>0</v>
      </c>
      <c r="AV363" s="404">
        <f t="shared" si="0"/>
        <v>0</v>
      </c>
      <c r="AW363" s="404">
        <f t="shared" si="0"/>
        <v>0</v>
      </c>
      <c r="AX363" s="404">
        <f t="shared" si="0"/>
        <v>0</v>
      </c>
      <c r="AY363" s="404">
        <f t="shared" si="0"/>
        <v>0</v>
      </c>
      <c r="AZ363" s="404">
        <f t="shared" si="0"/>
        <v>0</v>
      </c>
      <c r="BA363" s="404">
        <f t="shared" si="0"/>
        <v>0</v>
      </c>
      <c r="BB363" s="404">
        <f t="shared" si="0"/>
        <v>0</v>
      </c>
      <c r="BC363" s="404">
        <f t="shared" si="0"/>
        <v>0</v>
      </c>
      <c r="BD363" s="404">
        <f t="shared" si="0"/>
        <v>0</v>
      </c>
      <c r="BE363" s="404">
        <f t="shared" si="0"/>
        <v>0</v>
      </c>
      <c r="BF363" s="404">
        <f t="shared" si="0"/>
        <v>0</v>
      </c>
      <c r="BG363" s="404">
        <f t="shared" si="0"/>
        <v>0</v>
      </c>
      <c r="BH363" s="404">
        <f t="shared" si="0"/>
        <v>0</v>
      </c>
      <c r="BI363" s="404">
        <f t="shared" si="0"/>
        <v>0</v>
      </c>
      <c r="BJ363" s="404">
        <f t="shared" si="0"/>
        <v>0</v>
      </c>
      <c r="BK363" s="404">
        <f t="shared" si="0"/>
        <v>0</v>
      </c>
      <c r="BL363" s="404">
        <f t="shared" si="0"/>
        <v>0</v>
      </c>
      <c r="BM363" s="404">
        <f t="shared" si="0"/>
        <v>0</v>
      </c>
      <c r="BN363" s="404">
        <f t="shared" si="0"/>
        <v>0</v>
      </c>
      <c r="BO363" s="404">
        <f t="shared" si="0"/>
        <v>0</v>
      </c>
      <c r="BP363" s="404">
        <f t="shared" si="0"/>
        <v>0</v>
      </c>
      <c r="BQ363" s="404">
        <f t="shared" si="0"/>
        <v>0</v>
      </c>
      <c r="BR363" s="404">
        <f t="shared" si="0"/>
        <v>0</v>
      </c>
      <c r="BS363" s="404">
        <f t="shared" ref="BS363:CF363" si="1">BS361-BS362</f>
        <v>0</v>
      </c>
      <c r="BT363" s="404">
        <f t="shared" si="1"/>
        <v>0</v>
      </c>
      <c r="BU363" s="404">
        <f t="shared" si="1"/>
        <v>0</v>
      </c>
      <c r="BV363" s="404">
        <f t="shared" si="1"/>
        <v>0</v>
      </c>
      <c r="BW363" s="404">
        <f t="shared" si="1"/>
        <v>0</v>
      </c>
      <c r="BX363" s="404">
        <f t="shared" si="1"/>
        <v>0</v>
      </c>
      <c r="BY363" s="404">
        <f t="shared" si="1"/>
        <v>0</v>
      </c>
      <c r="BZ363" s="404">
        <f t="shared" si="1"/>
        <v>0</v>
      </c>
      <c r="CA363" s="404">
        <f t="shared" si="1"/>
        <v>0</v>
      </c>
      <c r="CB363" s="404">
        <f t="shared" si="1"/>
        <v>0</v>
      </c>
      <c r="CC363" s="404">
        <f t="shared" si="1"/>
        <v>0</v>
      </c>
      <c r="CD363" s="404">
        <f t="shared" si="1"/>
        <v>0</v>
      </c>
      <c r="CE363" s="404">
        <f t="shared" si="1"/>
        <v>0</v>
      </c>
      <c r="CF363" s="404">
        <f t="shared" si="1"/>
        <v>0</v>
      </c>
    </row>
    <row r="364" spans="1:84" x14ac:dyDescent="0.3">
      <c r="E364" s="404"/>
      <c r="F364" s="404"/>
      <c r="G364" s="404"/>
      <c r="H364" s="404"/>
      <c r="I364" s="404"/>
      <c r="J364" s="404"/>
      <c r="K364" s="404"/>
      <c r="L364" s="404"/>
      <c r="M364" s="404"/>
      <c r="N364" s="404"/>
      <c r="O364" s="404"/>
      <c r="P364" s="404"/>
      <c r="Q364" s="404"/>
      <c r="R364" s="404"/>
      <c r="S364" s="404"/>
      <c r="T364" s="404"/>
      <c r="U364" s="404"/>
      <c r="V364" s="404"/>
      <c r="W364" s="404"/>
      <c r="X364" s="404"/>
      <c r="Y364" s="404"/>
      <c r="Z364" s="404"/>
      <c r="AA364" s="404"/>
      <c r="AB364" s="404"/>
      <c r="AC364" s="404"/>
      <c r="AD364" s="404"/>
      <c r="AE364" s="404"/>
      <c r="AF364" s="404"/>
      <c r="AG364" s="404"/>
      <c r="AH364" s="404"/>
      <c r="AI364" s="404"/>
      <c r="AJ364" s="404"/>
      <c r="AK364" s="404"/>
      <c r="AL364" s="404"/>
      <c r="AM364" s="404"/>
      <c r="AN364" s="404"/>
      <c r="AO364" s="404"/>
      <c r="AP364" s="404"/>
      <c r="AQ364" s="404"/>
      <c r="AR364" s="404"/>
      <c r="AS364" s="404"/>
      <c r="AT364" s="404"/>
      <c r="AU364" s="404"/>
      <c r="AV364" s="404"/>
      <c r="AW364" s="404"/>
      <c r="AX364" s="404"/>
      <c r="AY364" s="404"/>
      <c r="AZ364" s="404"/>
      <c r="BA364" s="404"/>
      <c r="BB364" s="404"/>
      <c r="BC364" s="404"/>
      <c r="BD364" s="404"/>
      <c r="BE364" s="404"/>
      <c r="BF364" s="404"/>
      <c r="BG364" s="404"/>
      <c r="BH364" s="404"/>
      <c r="BI364" s="404"/>
      <c r="BJ364" s="404"/>
      <c r="BK364" s="404"/>
      <c r="BL364" s="404"/>
      <c r="BM364" s="404"/>
      <c r="BN364" s="404"/>
      <c r="BO364" s="404"/>
      <c r="BP364" s="404"/>
      <c r="BQ364" s="404"/>
      <c r="BR364" s="404"/>
      <c r="BS364" s="404"/>
      <c r="BT364" s="404"/>
      <c r="BU364" s="404"/>
      <c r="BV364" s="404"/>
      <c r="BW364" s="404"/>
      <c r="BX364" s="404"/>
      <c r="BY364" s="404"/>
      <c r="BZ364" s="404"/>
      <c r="CA364" s="404"/>
      <c r="CB364" s="404"/>
      <c r="CC364" s="404"/>
      <c r="CD364" s="404"/>
      <c r="CE364" s="404"/>
      <c r="CF364" s="404"/>
    </row>
    <row r="365" spans="1:84" x14ac:dyDescent="0.3">
      <c r="D365" s="99" t="s">
        <v>1826</v>
      </c>
      <c r="E365" s="404"/>
      <c r="F365" s="404">
        <v>0.27</v>
      </c>
      <c r="G365" s="404">
        <v>0.15</v>
      </c>
      <c r="H365" s="404" t="e">
        <v>#DIV/0!</v>
      </c>
      <c r="I365" s="404">
        <v>0.67</v>
      </c>
      <c r="J365" s="404">
        <v>0.66</v>
      </c>
      <c r="K365" s="404">
        <v>0.77</v>
      </c>
      <c r="L365" s="404" t="e">
        <v>#DIV/0!</v>
      </c>
      <c r="M365" s="404">
        <v>0.48</v>
      </c>
      <c r="N365" s="404">
        <v>0.4</v>
      </c>
      <c r="O365" s="404" t="e">
        <v>#DIV/0!</v>
      </c>
      <c r="P365" s="404" t="e">
        <v>#DIV/0!</v>
      </c>
      <c r="Q365" s="404" t="e">
        <v>#DIV/0!</v>
      </c>
      <c r="R365" s="404">
        <v>0.01</v>
      </c>
      <c r="S365" s="404">
        <v>0.89</v>
      </c>
      <c r="T365" s="404" t="e">
        <v>#DIV/0!</v>
      </c>
      <c r="U365" s="404">
        <v>0.5</v>
      </c>
      <c r="V365" s="404" t="e">
        <v>#DIV/0!</v>
      </c>
      <c r="W365" s="404">
        <v>3.52</v>
      </c>
      <c r="X365" s="404">
        <v>1.24</v>
      </c>
      <c r="Y365" s="404" t="e">
        <v>#DIV/0!</v>
      </c>
      <c r="Z365" s="404" t="e">
        <v>#DIV/0!</v>
      </c>
      <c r="AA365" s="404">
        <v>7.0000000000000007E-2</v>
      </c>
      <c r="AB365" s="404">
        <v>1.31</v>
      </c>
      <c r="AC365" s="404">
        <v>0.01</v>
      </c>
      <c r="AD365" s="404">
        <v>1.36</v>
      </c>
      <c r="AE365" s="404" t="e">
        <v>#DIV/0!</v>
      </c>
      <c r="AF365" s="404" t="e">
        <v>#DIV/0!</v>
      </c>
      <c r="AG365" s="404" t="e">
        <v>#DIV/0!</v>
      </c>
      <c r="AH365" s="404">
        <v>0.48</v>
      </c>
      <c r="AI365" s="404">
        <v>0.15</v>
      </c>
      <c r="AJ365" s="404">
        <v>0.64</v>
      </c>
      <c r="AK365" s="404">
        <v>0.54</v>
      </c>
      <c r="AL365" s="404">
        <v>0.56999999999999995</v>
      </c>
      <c r="AM365" s="404">
        <v>0.91</v>
      </c>
      <c r="AN365" s="404" t="e">
        <v>#DIV/0!</v>
      </c>
      <c r="AO365" s="404">
        <v>0.53</v>
      </c>
      <c r="AP365" s="404">
        <v>1.29</v>
      </c>
      <c r="AQ365" s="404" t="e">
        <v>#DIV/0!</v>
      </c>
      <c r="AR365" s="404">
        <v>0.66</v>
      </c>
      <c r="AS365" s="404" t="e">
        <v>#DIV/0!</v>
      </c>
      <c r="AT365" s="404" t="e">
        <v>#DIV/0!</v>
      </c>
      <c r="AU365" s="404" t="e">
        <v>#DIV/0!</v>
      </c>
      <c r="AV365" s="404">
        <v>0.24</v>
      </c>
      <c r="AW365" s="404">
        <v>0.27</v>
      </c>
      <c r="AX365" s="404">
        <v>0.31</v>
      </c>
      <c r="AY365" s="404">
        <v>0.32</v>
      </c>
      <c r="AZ365" s="404">
        <v>0.18</v>
      </c>
      <c r="BA365" s="404">
        <v>0.23</v>
      </c>
      <c r="BB365" s="404">
        <v>0</v>
      </c>
      <c r="BC365" s="404" t="e">
        <v>#DIV/0!</v>
      </c>
      <c r="BD365" s="404">
        <v>0.99</v>
      </c>
      <c r="BE365" s="404">
        <v>1.18</v>
      </c>
      <c r="BF365" s="404" t="e">
        <v>#DIV/0!</v>
      </c>
      <c r="BG365" s="404">
        <v>0.77</v>
      </c>
      <c r="BH365" s="404">
        <v>0.76</v>
      </c>
      <c r="BI365" s="404" t="e">
        <v>#DIV/0!</v>
      </c>
      <c r="BJ365" s="404">
        <v>1.1299999999999999</v>
      </c>
      <c r="BK365" s="404">
        <v>0.27</v>
      </c>
      <c r="BL365" s="404" t="e">
        <v>#DIV/0!</v>
      </c>
      <c r="BM365" s="404" t="e">
        <v>#DIV/0!</v>
      </c>
      <c r="BN365" s="404">
        <v>1.57</v>
      </c>
      <c r="BO365" s="404">
        <v>0.42</v>
      </c>
      <c r="BP365" s="404" t="e">
        <v>#DIV/0!</v>
      </c>
      <c r="BQ365" s="404">
        <v>1.24</v>
      </c>
      <c r="BR365" s="404">
        <v>0.8</v>
      </c>
      <c r="BS365" s="404">
        <v>0.56999999999999995</v>
      </c>
      <c r="BT365" s="404">
        <v>0.52</v>
      </c>
      <c r="BU365" s="99" t="e">
        <v>#DIV/0!</v>
      </c>
      <c r="BV365" s="99">
        <v>0.97</v>
      </c>
      <c r="BW365" s="99">
        <v>0.6</v>
      </c>
      <c r="BX365" s="99" t="e">
        <v>#DIV/0!</v>
      </c>
      <c r="BY365" s="99">
        <v>0.56999999999999995</v>
      </c>
      <c r="BZ365" s="99" t="e">
        <v>#DIV/0!</v>
      </c>
      <c r="CA365" s="99">
        <v>1.34</v>
      </c>
      <c r="CB365" s="99" t="e">
        <v>#DIV/0!</v>
      </c>
      <c r="CC365" s="99" t="e">
        <v>#DIV/0!</v>
      </c>
      <c r="CD365" s="99">
        <v>0.32</v>
      </c>
      <c r="CE365" s="99" t="e">
        <v>#DIV/0!</v>
      </c>
      <c r="CF365" s="99" t="e">
        <v>#DIV/0!</v>
      </c>
    </row>
    <row r="366" spans="1:84" x14ac:dyDescent="0.3">
      <c r="D366" s="99" t="s">
        <v>1825</v>
      </c>
      <c r="E366" s="404"/>
      <c r="F366" s="404">
        <f>F44/(F49-F36+F97+F115)</f>
        <v>0.50555272206775148</v>
      </c>
      <c r="G366" s="404">
        <f t="shared" ref="G366:BR366" si="2">G44/(G49-G36+G97+G115)</f>
        <v>0.21892087249298928</v>
      </c>
      <c r="H366" s="404" t="e">
        <f t="shared" si="2"/>
        <v>#DIV/0!</v>
      </c>
      <c r="I366" s="404">
        <f t="shared" si="2"/>
        <v>1.5691995580270617</v>
      </c>
      <c r="J366" s="404">
        <f t="shared" si="2"/>
        <v>1.4002786253729576</v>
      </c>
      <c r="K366" s="404">
        <f t="shared" si="2"/>
        <v>0.95298703424061415</v>
      </c>
      <c r="L366" s="404" t="e">
        <f t="shared" si="2"/>
        <v>#DIV/0!</v>
      </c>
      <c r="M366" s="404">
        <f t="shared" si="2"/>
        <v>0.52436716063876943</v>
      </c>
      <c r="N366" s="404">
        <f t="shared" si="2"/>
        <v>0.56521420782597753</v>
      </c>
      <c r="O366" s="404" t="e">
        <f t="shared" si="2"/>
        <v>#DIV/0!</v>
      </c>
      <c r="P366" s="404" t="e">
        <f t="shared" si="2"/>
        <v>#DIV/0!</v>
      </c>
      <c r="Q366" s="404" t="e">
        <f t="shared" si="2"/>
        <v>#DIV/0!</v>
      </c>
      <c r="R366" s="404">
        <f t="shared" si="2"/>
        <v>2.44411175965954E-2</v>
      </c>
      <c r="S366" s="404">
        <f t="shared" si="2"/>
        <v>1.4505166871059192</v>
      </c>
      <c r="T366" s="404" t="e">
        <f t="shared" si="2"/>
        <v>#DIV/0!</v>
      </c>
      <c r="U366" s="404">
        <f t="shared" si="2"/>
        <v>0.94652807219429469</v>
      </c>
      <c r="V366" s="404" t="e">
        <f t="shared" si="2"/>
        <v>#DIV/0!</v>
      </c>
      <c r="W366" s="404">
        <f t="shared" si="2"/>
        <v>6.0535083357324186</v>
      </c>
      <c r="X366" s="404">
        <f t="shared" si="2"/>
        <v>1.7518636137906081</v>
      </c>
      <c r="Y366" s="404" t="e">
        <f t="shared" si="2"/>
        <v>#DIV/0!</v>
      </c>
      <c r="Z366" s="404" t="e">
        <f t="shared" si="2"/>
        <v>#DIV/0!</v>
      </c>
      <c r="AA366" s="404">
        <f t="shared" si="2"/>
        <v>0.103933292148536</v>
      </c>
      <c r="AB366" s="404">
        <f t="shared" si="2"/>
        <v>2.2851150814804351</v>
      </c>
      <c r="AC366" s="404">
        <f t="shared" si="2"/>
        <v>1.6399664732022836E-2</v>
      </c>
      <c r="AD366" s="404">
        <f t="shared" si="2"/>
        <v>2.2715013333087279</v>
      </c>
      <c r="AE366" s="404" t="e">
        <f t="shared" si="2"/>
        <v>#DIV/0!</v>
      </c>
      <c r="AF366" s="404" t="e">
        <f t="shared" si="2"/>
        <v>#DIV/0!</v>
      </c>
      <c r="AG366" s="404" t="e">
        <f t="shared" si="2"/>
        <v>#DIV/0!</v>
      </c>
      <c r="AH366" s="404">
        <f t="shared" si="2"/>
        <v>0.60451197092380671</v>
      </c>
      <c r="AI366" s="404">
        <f t="shared" si="2"/>
        <v>0.14801444043321299</v>
      </c>
      <c r="AJ366" s="404">
        <f t="shared" si="2"/>
        <v>0.97761879720538347</v>
      </c>
      <c r="AK366" s="404">
        <f t="shared" si="2"/>
        <v>0.57054376542751906</v>
      </c>
      <c r="AL366" s="404">
        <f t="shared" si="2"/>
        <v>6.6230854605993343</v>
      </c>
      <c r="AM366" s="404">
        <f t="shared" si="2"/>
        <v>1.0426244111811469</v>
      </c>
      <c r="AN366" s="404" t="e">
        <f t="shared" si="2"/>
        <v>#DIV/0!</v>
      </c>
      <c r="AO366" s="404">
        <f t="shared" si="2"/>
        <v>1.7321867026864775</v>
      </c>
      <c r="AP366" s="404">
        <f t="shared" si="2"/>
        <v>1.6756281351631135</v>
      </c>
      <c r="AQ366" s="404" t="e">
        <f t="shared" si="2"/>
        <v>#DIV/0!</v>
      </c>
      <c r="AR366" s="404">
        <f t="shared" si="2"/>
        <v>1.0919011832798264</v>
      </c>
      <c r="AS366" s="404" t="e">
        <f t="shared" si="2"/>
        <v>#DIV/0!</v>
      </c>
      <c r="AT366" s="404" t="e">
        <f t="shared" si="2"/>
        <v>#DIV/0!</v>
      </c>
      <c r="AU366" s="404" t="e">
        <f t="shared" si="2"/>
        <v>#DIV/0!</v>
      </c>
      <c r="AV366" s="404">
        <f t="shared" si="2"/>
        <v>0.42987041332341919</v>
      </c>
      <c r="AW366" s="404">
        <f t="shared" si="2"/>
        <v>0.43879262201474167</v>
      </c>
      <c r="AX366" s="404">
        <f t="shared" si="2"/>
        <v>0.48718852206247537</v>
      </c>
      <c r="AY366" s="404">
        <f t="shared" si="2"/>
        <v>0.42439223113896507</v>
      </c>
      <c r="AZ366" s="404">
        <f t="shared" si="2"/>
        <v>0.36830656116119348</v>
      </c>
      <c r="BA366" s="404">
        <f t="shared" si="2"/>
        <v>0.31442019683354727</v>
      </c>
      <c r="BB366" s="404">
        <f t="shared" si="2"/>
        <v>0</v>
      </c>
      <c r="BC366" s="404" t="e">
        <f t="shared" si="2"/>
        <v>#DIV/0!</v>
      </c>
      <c r="BD366" s="404">
        <f t="shared" si="2"/>
        <v>1.4794172686247633</v>
      </c>
      <c r="BE366" s="404">
        <f t="shared" si="2"/>
        <v>3.5045006070586266</v>
      </c>
      <c r="BF366" s="404" t="e">
        <f t="shared" si="2"/>
        <v>#DIV/0!</v>
      </c>
      <c r="BG366" s="404">
        <f t="shared" si="2"/>
        <v>1.2482772846032788</v>
      </c>
      <c r="BH366" s="404">
        <f t="shared" si="2"/>
        <v>1.0609176977578068</v>
      </c>
      <c r="BI366" s="404" t="e">
        <f t="shared" si="2"/>
        <v>#DIV/0!</v>
      </c>
      <c r="BJ366" s="404">
        <f t="shared" si="2"/>
        <v>1.5900935550163331</v>
      </c>
      <c r="BK366" s="404">
        <f t="shared" si="2"/>
        <v>0.32023380511093791</v>
      </c>
      <c r="BL366" s="404" t="e">
        <f t="shared" si="2"/>
        <v>#DIV/0!</v>
      </c>
      <c r="BM366" s="404" t="e">
        <f t="shared" si="2"/>
        <v>#DIV/0!</v>
      </c>
      <c r="BN366" s="404">
        <f t="shared" si="2"/>
        <v>2.0498961294030478</v>
      </c>
      <c r="BO366" s="404">
        <f t="shared" si="2"/>
        <v>0.5808557420740198</v>
      </c>
      <c r="BP366" s="404" t="e">
        <f t="shared" si="2"/>
        <v>#DIV/0!</v>
      </c>
      <c r="BQ366" s="404">
        <f t="shared" si="2"/>
        <v>1.813008199650916</v>
      </c>
      <c r="BR366" s="404">
        <f t="shared" si="2"/>
        <v>1.2430490934924014</v>
      </c>
      <c r="BS366" s="404">
        <f t="shared" ref="BS366:CF366" si="3">BS44/(BS49-BS36+BS97+BS115)</f>
        <v>1.277974983665964</v>
      </c>
      <c r="BT366" s="404">
        <f t="shared" si="3"/>
        <v>0.95952400839939467</v>
      </c>
      <c r="BU366" s="404" t="e">
        <f t="shared" si="3"/>
        <v>#DIV/0!</v>
      </c>
      <c r="BV366" s="404">
        <f t="shared" si="3"/>
        <v>1.3559826341207897</v>
      </c>
      <c r="BW366" s="404">
        <f t="shared" si="3"/>
        <v>1.5348786253819986</v>
      </c>
      <c r="BX366" s="404" t="e">
        <f t="shared" si="3"/>
        <v>#DIV/0!</v>
      </c>
      <c r="BY366" s="404">
        <f t="shared" si="3"/>
        <v>0.74578033482092321</v>
      </c>
      <c r="BZ366" s="404" t="e">
        <f t="shared" si="3"/>
        <v>#DIV/0!</v>
      </c>
      <c r="CA366" s="404">
        <f t="shared" si="3"/>
        <v>1.9603261832680285</v>
      </c>
      <c r="CB366" s="404" t="e">
        <f t="shared" si="3"/>
        <v>#DIV/0!</v>
      </c>
      <c r="CC366" s="404" t="e">
        <f t="shared" si="3"/>
        <v>#DIV/0!</v>
      </c>
      <c r="CD366" s="404">
        <f t="shared" si="3"/>
        <v>0.44739126625729736</v>
      </c>
      <c r="CE366" s="404" t="e">
        <f t="shared" si="3"/>
        <v>#DIV/0!</v>
      </c>
      <c r="CF366" s="404" t="e">
        <f t="shared" si="3"/>
        <v>#DIV/0!</v>
      </c>
    </row>
    <row r="367" spans="1:84" x14ac:dyDescent="0.3">
      <c r="E367" s="404"/>
      <c r="F367" s="404">
        <f>F365-F366</f>
        <v>-0.23555272206775146</v>
      </c>
      <c r="G367" s="404">
        <f t="shared" ref="G367:BR367" si="4">G365-G366</f>
        <v>-6.8920872492989282E-2</v>
      </c>
      <c r="H367" s="404" t="e">
        <f t="shared" si="4"/>
        <v>#DIV/0!</v>
      </c>
      <c r="I367" s="404">
        <f t="shared" si="4"/>
        <v>-0.89919955802706164</v>
      </c>
      <c r="J367" s="404">
        <f t="shared" si="4"/>
        <v>-0.74027862537295752</v>
      </c>
      <c r="K367" s="404">
        <f t="shared" si="4"/>
        <v>-0.18298703424061413</v>
      </c>
      <c r="L367" s="404" t="e">
        <f t="shared" si="4"/>
        <v>#DIV/0!</v>
      </c>
      <c r="M367" s="404">
        <f t="shared" si="4"/>
        <v>-4.4367160638769443E-2</v>
      </c>
      <c r="N367" s="404">
        <f t="shared" si="4"/>
        <v>-0.16521420782597751</v>
      </c>
      <c r="O367" s="404" t="e">
        <f t="shared" si="4"/>
        <v>#DIV/0!</v>
      </c>
      <c r="P367" s="404" t="e">
        <f t="shared" si="4"/>
        <v>#DIV/0!</v>
      </c>
      <c r="Q367" s="404" t="e">
        <f t="shared" si="4"/>
        <v>#DIV/0!</v>
      </c>
      <c r="R367" s="404">
        <f t="shared" si="4"/>
        <v>-1.44411175965954E-2</v>
      </c>
      <c r="S367" s="404">
        <f t="shared" si="4"/>
        <v>-0.56051668710591918</v>
      </c>
      <c r="T367" s="404" t="e">
        <f t="shared" si="4"/>
        <v>#DIV/0!</v>
      </c>
      <c r="U367" s="404">
        <f t="shared" si="4"/>
        <v>-0.44652807219429469</v>
      </c>
      <c r="V367" s="404" t="e">
        <f t="shared" si="4"/>
        <v>#DIV/0!</v>
      </c>
      <c r="W367" s="404">
        <f t="shared" si="4"/>
        <v>-2.5335083357324186</v>
      </c>
      <c r="X367" s="404">
        <f t="shared" si="4"/>
        <v>-0.51186361379060807</v>
      </c>
      <c r="Y367" s="404" t="e">
        <f t="shared" si="4"/>
        <v>#DIV/0!</v>
      </c>
      <c r="Z367" s="404" t="e">
        <f t="shared" si="4"/>
        <v>#DIV/0!</v>
      </c>
      <c r="AA367" s="404">
        <f t="shared" si="4"/>
        <v>-3.3933292148535993E-2</v>
      </c>
      <c r="AB367" s="404">
        <f t="shared" si="4"/>
        <v>-0.97511508148043502</v>
      </c>
      <c r="AC367" s="404">
        <f t="shared" si="4"/>
        <v>-6.3996647320228358E-3</v>
      </c>
      <c r="AD367" s="404">
        <f t="shared" si="4"/>
        <v>-0.91150133330872785</v>
      </c>
      <c r="AE367" s="404" t="e">
        <f t="shared" si="4"/>
        <v>#DIV/0!</v>
      </c>
      <c r="AF367" s="404" t="e">
        <f t="shared" si="4"/>
        <v>#DIV/0!</v>
      </c>
      <c r="AG367" s="404" t="e">
        <f t="shared" si="4"/>
        <v>#DIV/0!</v>
      </c>
      <c r="AH367" s="404">
        <f t="shared" si="4"/>
        <v>-0.12451197092380673</v>
      </c>
      <c r="AI367" s="404">
        <f t="shared" si="4"/>
        <v>1.9855595667870041E-3</v>
      </c>
      <c r="AJ367" s="404">
        <f t="shared" si="4"/>
        <v>-0.33761879720538346</v>
      </c>
      <c r="AK367" s="404">
        <f t="shared" si="4"/>
        <v>-3.0543765427519021E-2</v>
      </c>
      <c r="AL367" s="404">
        <f t="shared" si="4"/>
        <v>-6.0530854605993341</v>
      </c>
      <c r="AM367" s="404">
        <f t="shared" si="4"/>
        <v>-0.13262441118114687</v>
      </c>
      <c r="AN367" s="404" t="e">
        <f t="shared" si="4"/>
        <v>#DIV/0!</v>
      </c>
      <c r="AO367" s="404">
        <f t="shared" si="4"/>
        <v>-1.2021867026864774</v>
      </c>
      <c r="AP367" s="404">
        <f t="shared" si="4"/>
        <v>-0.38562813516311345</v>
      </c>
      <c r="AQ367" s="404" t="e">
        <f t="shared" si="4"/>
        <v>#DIV/0!</v>
      </c>
      <c r="AR367" s="404">
        <f t="shared" si="4"/>
        <v>-0.43190118327982641</v>
      </c>
      <c r="AS367" s="404" t="e">
        <f t="shared" si="4"/>
        <v>#DIV/0!</v>
      </c>
      <c r="AT367" s="404" t="e">
        <f t="shared" si="4"/>
        <v>#DIV/0!</v>
      </c>
      <c r="AU367" s="404" t="e">
        <f t="shared" si="4"/>
        <v>#DIV/0!</v>
      </c>
      <c r="AV367" s="404">
        <f t="shared" si="4"/>
        <v>-0.1898704133234192</v>
      </c>
      <c r="AW367" s="404">
        <f t="shared" si="4"/>
        <v>-0.16879262201474166</v>
      </c>
      <c r="AX367" s="404">
        <f t="shared" si="4"/>
        <v>-0.17718852206247537</v>
      </c>
      <c r="AY367" s="404">
        <f t="shared" si="4"/>
        <v>-0.10439223113896506</v>
      </c>
      <c r="AZ367" s="404">
        <f t="shared" si="4"/>
        <v>-0.18830656116119349</v>
      </c>
      <c r="BA367" s="404">
        <f t="shared" si="4"/>
        <v>-8.4420196833547262E-2</v>
      </c>
      <c r="BB367" s="404">
        <f t="shared" si="4"/>
        <v>0</v>
      </c>
      <c r="BC367" s="404" t="e">
        <f t="shared" si="4"/>
        <v>#DIV/0!</v>
      </c>
      <c r="BD367" s="404">
        <f t="shared" si="4"/>
        <v>-0.48941726862476331</v>
      </c>
      <c r="BE367" s="404">
        <f t="shared" si="4"/>
        <v>-2.3245006070586269</v>
      </c>
      <c r="BF367" s="404" t="e">
        <f t="shared" si="4"/>
        <v>#DIV/0!</v>
      </c>
      <c r="BG367" s="404">
        <f t="shared" si="4"/>
        <v>-0.47827728460327879</v>
      </c>
      <c r="BH367" s="404">
        <f t="shared" si="4"/>
        <v>-0.30091769775780675</v>
      </c>
      <c r="BI367" s="404" t="e">
        <f t="shared" si="4"/>
        <v>#DIV/0!</v>
      </c>
      <c r="BJ367" s="404">
        <f t="shared" si="4"/>
        <v>-0.4600935550163332</v>
      </c>
      <c r="BK367" s="404">
        <f t="shared" si="4"/>
        <v>-5.023380511093789E-2</v>
      </c>
      <c r="BL367" s="404" t="e">
        <f t="shared" si="4"/>
        <v>#DIV/0!</v>
      </c>
      <c r="BM367" s="404" t="e">
        <f t="shared" si="4"/>
        <v>#DIV/0!</v>
      </c>
      <c r="BN367" s="404">
        <f t="shared" si="4"/>
        <v>-0.47989612940304771</v>
      </c>
      <c r="BO367" s="404">
        <f t="shared" si="4"/>
        <v>-0.16085574207401981</v>
      </c>
      <c r="BP367" s="404" t="e">
        <f t="shared" si="4"/>
        <v>#DIV/0!</v>
      </c>
      <c r="BQ367" s="404">
        <f t="shared" si="4"/>
        <v>-0.57300819965091598</v>
      </c>
      <c r="BR367" s="404">
        <f t="shared" si="4"/>
        <v>-0.4430490934924014</v>
      </c>
      <c r="BS367" s="404">
        <f t="shared" ref="BS367:CF367" si="5">BS365-BS366</f>
        <v>-0.70797498366596401</v>
      </c>
      <c r="BT367" s="404">
        <f t="shared" si="5"/>
        <v>-0.43952400839939465</v>
      </c>
      <c r="BU367" s="404" t="e">
        <f t="shared" si="5"/>
        <v>#DIV/0!</v>
      </c>
      <c r="BV367" s="404">
        <f t="shared" si="5"/>
        <v>-0.3859826341207897</v>
      </c>
      <c r="BW367" s="404">
        <f t="shared" si="5"/>
        <v>-0.93487862538199862</v>
      </c>
      <c r="BX367" s="404" t="e">
        <f t="shared" si="5"/>
        <v>#DIV/0!</v>
      </c>
      <c r="BY367" s="404">
        <f t="shared" si="5"/>
        <v>-0.17578033482092326</v>
      </c>
      <c r="BZ367" s="404" t="e">
        <f t="shared" si="5"/>
        <v>#DIV/0!</v>
      </c>
      <c r="CA367" s="404">
        <f t="shared" si="5"/>
        <v>-0.62032618326802846</v>
      </c>
      <c r="CB367" s="404" t="e">
        <f t="shared" si="5"/>
        <v>#DIV/0!</v>
      </c>
      <c r="CC367" s="404" t="e">
        <f t="shared" si="5"/>
        <v>#DIV/0!</v>
      </c>
      <c r="CD367" s="404">
        <f t="shared" si="5"/>
        <v>-0.12739126625729735</v>
      </c>
      <c r="CE367" s="404" t="e">
        <f t="shared" si="5"/>
        <v>#DIV/0!</v>
      </c>
      <c r="CF367" s="404" t="e">
        <f t="shared" si="5"/>
        <v>#DIV/0!</v>
      </c>
    </row>
    <row r="368" spans="1:84" x14ac:dyDescent="0.3">
      <c r="E368" s="404"/>
      <c r="F368" s="404"/>
      <c r="G368" s="404"/>
      <c r="H368" s="404"/>
      <c r="I368" s="404"/>
      <c r="J368" s="404"/>
      <c r="K368" s="404"/>
      <c r="L368" s="404"/>
      <c r="M368" s="404"/>
      <c r="N368" s="404"/>
      <c r="O368" s="404"/>
      <c r="P368" s="404"/>
      <c r="Q368" s="404"/>
      <c r="R368" s="404"/>
      <c r="S368" s="404"/>
      <c r="T368" s="404"/>
      <c r="U368" s="404"/>
      <c r="V368" s="404"/>
      <c r="W368" s="404"/>
      <c r="X368" s="404"/>
      <c r="Y368" s="404"/>
      <c r="Z368" s="404"/>
      <c r="AA368" s="404"/>
      <c r="AB368" s="404"/>
      <c r="AC368" s="404"/>
      <c r="AD368" s="404"/>
      <c r="AE368" s="404"/>
      <c r="AF368" s="404"/>
      <c r="AG368" s="404"/>
      <c r="AH368" s="404"/>
      <c r="AI368" s="404"/>
      <c r="AJ368" s="404"/>
      <c r="AK368" s="404"/>
      <c r="AL368" s="404"/>
      <c r="AM368" s="404"/>
      <c r="AN368" s="404"/>
      <c r="AO368" s="404"/>
      <c r="AP368" s="404"/>
      <c r="AQ368" s="404"/>
      <c r="AR368" s="404"/>
      <c r="AS368" s="404"/>
      <c r="AT368" s="404"/>
      <c r="AU368" s="404"/>
      <c r="AV368" s="404"/>
      <c r="AW368" s="404"/>
      <c r="AX368" s="404"/>
      <c r="AY368" s="404"/>
      <c r="AZ368" s="404"/>
      <c r="BA368" s="404"/>
      <c r="BB368" s="404"/>
      <c r="BC368" s="404"/>
      <c r="BD368" s="404"/>
      <c r="BE368" s="404"/>
      <c r="BF368" s="404"/>
      <c r="BG368" s="404"/>
      <c r="BH368" s="404"/>
      <c r="BI368" s="404"/>
      <c r="BJ368" s="404"/>
      <c r="BK368" s="404"/>
      <c r="BL368" s="404"/>
      <c r="BM368" s="404"/>
      <c r="BN368" s="404"/>
      <c r="BO368" s="404"/>
      <c r="BP368" s="404"/>
      <c r="BQ368" s="404"/>
      <c r="BR368" s="404"/>
      <c r="BS368" s="404"/>
      <c r="BT368" s="404"/>
      <c r="BU368" s="404"/>
      <c r="BV368" s="404"/>
      <c r="BW368" s="404"/>
      <c r="BX368" s="404"/>
      <c r="BY368" s="404"/>
      <c r="BZ368" s="404"/>
      <c r="CA368" s="404"/>
      <c r="CB368" s="404"/>
      <c r="CC368" s="404"/>
      <c r="CD368" s="404"/>
      <c r="CE368" s="404"/>
      <c r="CF368" s="404"/>
    </row>
    <row r="369" spans="1:84" x14ac:dyDescent="0.3">
      <c r="E369" s="404"/>
      <c r="F369" s="404"/>
      <c r="G369" s="404"/>
      <c r="H369" s="404"/>
      <c r="I369" s="404"/>
      <c r="J369" s="404"/>
      <c r="K369" s="404"/>
      <c r="L369" s="404"/>
      <c r="M369" s="404"/>
      <c r="N369" s="404"/>
      <c r="O369" s="404"/>
      <c r="P369" s="404"/>
      <c r="Q369" s="404"/>
      <c r="R369" s="404"/>
      <c r="S369" s="404"/>
      <c r="T369" s="404"/>
      <c r="U369" s="404"/>
      <c r="V369" s="404"/>
      <c r="W369" s="404"/>
      <c r="X369" s="404"/>
      <c r="Y369" s="404"/>
      <c r="Z369" s="404"/>
      <c r="AA369" s="404"/>
      <c r="AB369" s="404"/>
      <c r="AC369" s="404"/>
      <c r="AD369" s="404"/>
      <c r="AE369" s="404"/>
      <c r="AF369" s="404"/>
      <c r="AG369" s="404"/>
      <c r="AH369" s="404"/>
      <c r="AI369" s="404"/>
      <c r="AJ369" s="404"/>
      <c r="AK369" s="404"/>
      <c r="AL369" s="404"/>
      <c r="AM369" s="404"/>
      <c r="AN369" s="404"/>
      <c r="AO369" s="404"/>
      <c r="AP369" s="404"/>
      <c r="AQ369" s="404"/>
      <c r="AR369" s="404"/>
      <c r="AS369" s="404"/>
      <c r="AT369" s="404"/>
      <c r="AU369" s="404"/>
      <c r="AV369" s="404"/>
      <c r="AW369" s="404"/>
      <c r="AX369" s="404"/>
      <c r="AY369" s="404"/>
      <c r="AZ369" s="404"/>
      <c r="BA369" s="404"/>
      <c r="BB369" s="404"/>
      <c r="BC369" s="404"/>
      <c r="BD369" s="404"/>
      <c r="BE369" s="404"/>
      <c r="BF369" s="404"/>
      <c r="BG369" s="404"/>
      <c r="BH369" s="404"/>
      <c r="BI369" s="404"/>
      <c r="BJ369" s="404"/>
      <c r="BK369" s="404"/>
      <c r="BL369" s="404"/>
      <c r="BM369" s="404"/>
      <c r="BN369" s="404"/>
      <c r="BO369" s="404"/>
      <c r="BP369" s="404"/>
      <c r="BQ369" s="404"/>
      <c r="BR369" s="404"/>
      <c r="BS369" s="404"/>
      <c r="BT369" s="404"/>
    </row>
    <row r="370" spans="1:84" x14ac:dyDescent="0.3">
      <c r="E370" s="404"/>
      <c r="F370" s="404"/>
      <c r="G370" s="404"/>
      <c r="H370" s="404"/>
      <c r="I370" s="404"/>
      <c r="J370" s="404"/>
      <c r="K370" s="404"/>
      <c r="L370" s="404"/>
      <c r="M370" s="404"/>
      <c r="N370" s="404"/>
      <c r="O370" s="404"/>
      <c r="P370" s="404"/>
      <c r="Q370" s="404"/>
      <c r="R370" s="404"/>
      <c r="S370" s="404"/>
      <c r="T370" s="404"/>
      <c r="U370" s="404"/>
      <c r="V370" s="404"/>
      <c r="W370" s="404"/>
      <c r="X370" s="404"/>
      <c r="Y370" s="404"/>
      <c r="Z370" s="404"/>
      <c r="AA370" s="404"/>
      <c r="AB370" s="404"/>
      <c r="AC370" s="404"/>
      <c r="AD370" s="404"/>
      <c r="AE370" s="404"/>
      <c r="AF370" s="404"/>
      <c r="AG370" s="404"/>
      <c r="AH370" s="404"/>
      <c r="AI370" s="404"/>
      <c r="AJ370" s="404"/>
      <c r="AK370" s="404"/>
      <c r="AL370" s="404"/>
      <c r="AM370" s="404"/>
      <c r="AN370" s="404"/>
      <c r="AO370" s="404"/>
      <c r="AP370" s="404"/>
      <c r="AQ370" s="404"/>
      <c r="AR370" s="404"/>
      <c r="AS370" s="404"/>
      <c r="AT370" s="404"/>
      <c r="AU370" s="404"/>
      <c r="AV370" s="404"/>
      <c r="AW370" s="404"/>
      <c r="AX370" s="404"/>
      <c r="AY370" s="404"/>
      <c r="AZ370" s="404"/>
      <c r="BA370" s="404"/>
      <c r="BB370" s="404"/>
      <c r="BC370" s="404"/>
      <c r="BD370" s="404"/>
      <c r="BE370" s="404"/>
      <c r="BF370" s="404"/>
      <c r="BG370" s="404"/>
      <c r="BH370" s="404"/>
      <c r="BI370" s="404"/>
      <c r="BJ370" s="404"/>
      <c r="BK370" s="404"/>
      <c r="BL370" s="404"/>
      <c r="BM370" s="404"/>
      <c r="BN370" s="404"/>
      <c r="BO370" s="404"/>
      <c r="BP370" s="404"/>
      <c r="BQ370" s="404"/>
      <c r="BR370" s="404"/>
      <c r="BS370" s="404"/>
      <c r="BT370" s="404"/>
    </row>
    <row r="371" spans="1:84" ht="20.399999999999999" customHeight="1" x14ac:dyDescent="0.3">
      <c r="E371" s="404"/>
      <c r="F371" s="404"/>
      <c r="G371" s="404"/>
      <c r="H371" s="404"/>
      <c r="I371" s="404"/>
      <c r="J371" s="404"/>
      <c r="K371" s="404"/>
      <c r="L371" s="404"/>
      <c r="M371" s="404"/>
      <c r="N371" s="404"/>
      <c r="O371" s="404"/>
      <c r="P371" s="404"/>
      <c r="Q371" s="404"/>
      <c r="R371" s="404"/>
      <c r="S371" s="404"/>
      <c r="T371" s="404"/>
      <c r="U371" s="404"/>
      <c r="V371" s="404"/>
      <c r="W371" s="404"/>
      <c r="X371" s="404"/>
      <c r="Y371" s="404"/>
      <c r="Z371" s="404"/>
      <c r="AA371" s="404"/>
      <c r="AB371" s="404"/>
      <c r="AC371" s="404"/>
      <c r="AD371" s="404"/>
      <c r="AE371" s="404"/>
      <c r="AF371" s="404"/>
      <c r="AG371" s="404"/>
      <c r="AH371" s="404"/>
      <c r="AI371" s="404"/>
      <c r="AJ371" s="404"/>
      <c r="AK371" s="404"/>
      <c r="AL371" s="404"/>
      <c r="AM371" s="404"/>
      <c r="AN371" s="404"/>
      <c r="AO371" s="404"/>
      <c r="AP371" s="404"/>
      <c r="AQ371" s="404"/>
      <c r="AR371" s="404"/>
      <c r="AS371" s="404"/>
      <c r="AT371" s="404"/>
      <c r="AU371" s="404"/>
      <c r="AV371" s="404"/>
      <c r="AW371" s="404"/>
      <c r="AX371" s="404"/>
      <c r="AY371" s="404"/>
      <c r="AZ371" s="404"/>
      <c r="BA371" s="404"/>
      <c r="BB371" s="404"/>
      <c r="BC371" s="404"/>
      <c r="BD371" s="404"/>
      <c r="BE371" s="404"/>
      <c r="BF371" s="404"/>
      <c r="BG371" s="404"/>
      <c r="BH371" s="404"/>
      <c r="BI371" s="404"/>
      <c r="BJ371" s="404"/>
      <c r="BK371" s="404"/>
      <c r="BL371" s="404"/>
      <c r="BM371" s="404"/>
      <c r="BN371" s="404"/>
      <c r="BO371" s="404"/>
      <c r="BP371" s="404"/>
      <c r="BQ371" s="404"/>
      <c r="BR371" s="404"/>
      <c r="BS371" s="404"/>
      <c r="BT371" s="404"/>
    </row>
    <row r="372" spans="1:84" x14ac:dyDescent="0.3">
      <c r="A372" s="99">
        <v>44</v>
      </c>
      <c r="C372" s="99">
        <v>44</v>
      </c>
      <c r="D372" s="99" t="s">
        <v>626</v>
      </c>
      <c r="E372" s="99" t="s">
        <v>335</v>
      </c>
      <c r="F372" s="1130">
        <v>237501</v>
      </c>
      <c r="G372" s="1130">
        <v>470087</v>
      </c>
      <c r="H372" s="1130">
        <v>0</v>
      </c>
      <c r="I372" s="1130">
        <v>914764</v>
      </c>
      <c r="J372" s="1131">
        <v>531934</v>
      </c>
      <c r="K372" s="1131">
        <v>140640</v>
      </c>
      <c r="L372" s="1130">
        <v>0</v>
      </c>
      <c r="M372" s="1130">
        <v>377428</v>
      </c>
      <c r="N372" s="1130">
        <v>4420057</v>
      </c>
      <c r="O372" s="99">
        <v>0</v>
      </c>
      <c r="P372" s="1130">
        <v>0</v>
      </c>
      <c r="Q372" s="99">
        <v>0</v>
      </c>
      <c r="R372" s="1130">
        <v>28206</v>
      </c>
      <c r="S372" s="1130">
        <v>6985795</v>
      </c>
      <c r="T372" s="99">
        <v>0</v>
      </c>
      <c r="U372" s="1130">
        <v>278331</v>
      </c>
      <c r="V372" s="1130">
        <v>0</v>
      </c>
      <c r="W372" s="1131">
        <v>959241</v>
      </c>
      <c r="X372" s="1130">
        <v>6575862</v>
      </c>
      <c r="Y372" s="1130">
        <v>0</v>
      </c>
      <c r="Z372" s="99">
        <v>0</v>
      </c>
      <c r="AA372" s="1131">
        <v>342204</v>
      </c>
      <c r="AB372" s="1131">
        <v>28113403</v>
      </c>
      <c r="AC372" s="1130">
        <v>15869</v>
      </c>
      <c r="AD372" s="1130">
        <v>810561</v>
      </c>
      <c r="AE372" s="1130">
        <v>0</v>
      </c>
      <c r="AF372" s="1130">
        <v>0</v>
      </c>
      <c r="AG372" s="1131">
        <v>27462185</v>
      </c>
      <c r="AH372" s="99">
        <v>0</v>
      </c>
      <c r="AI372" s="1130">
        <v>41</v>
      </c>
      <c r="AJ372" s="1130">
        <v>195133</v>
      </c>
      <c r="AK372" s="1130">
        <v>2458914</v>
      </c>
      <c r="AL372" s="1131">
        <v>95271</v>
      </c>
      <c r="AM372" s="1131">
        <v>77247</v>
      </c>
      <c r="AN372" s="99">
        <v>0</v>
      </c>
      <c r="AO372" s="1130">
        <v>338899</v>
      </c>
      <c r="AP372" s="1130">
        <v>12253033</v>
      </c>
      <c r="AQ372" s="1130">
        <v>0</v>
      </c>
      <c r="AR372" s="1131">
        <v>2873426</v>
      </c>
      <c r="AS372" s="1130">
        <v>0</v>
      </c>
      <c r="AT372" s="1130">
        <v>0</v>
      </c>
      <c r="AU372" s="1130">
        <v>0</v>
      </c>
      <c r="AV372" s="1130">
        <v>0</v>
      </c>
      <c r="AW372" s="1131">
        <v>64035243</v>
      </c>
      <c r="AX372" s="1130">
        <v>25361406</v>
      </c>
      <c r="AY372" s="1130">
        <v>632197</v>
      </c>
      <c r="AZ372" s="1130">
        <v>143753</v>
      </c>
      <c r="BA372" s="1130">
        <v>185929</v>
      </c>
      <c r="BB372" s="1131">
        <v>200669</v>
      </c>
      <c r="BC372" s="99">
        <v>0</v>
      </c>
      <c r="BD372" s="1130">
        <v>4283890</v>
      </c>
      <c r="BE372" s="1131">
        <v>517035</v>
      </c>
      <c r="BF372" s="1130">
        <v>0</v>
      </c>
      <c r="BG372" s="1130">
        <v>174062</v>
      </c>
      <c r="BH372" s="1130">
        <v>10083360</v>
      </c>
      <c r="BI372" s="1130">
        <v>0</v>
      </c>
      <c r="BJ372" s="1130">
        <v>10980331</v>
      </c>
      <c r="BK372" s="1130">
        <v>928694</v>
      </c>
      <c r="BL372" s="1130">
        <v>0</v>
      </c>
      <c r="BM372" s="99">
        <v>0</v>
      </c>
      <c r="BN372" s="1130">
        <v>0</v>
      </c>
      <c r="BO372" s="1130">
        <v>14350788</v>
      </c>
      <c r="BP372" s="99">
        <v>0</v>
      </c>
      <c r="BQ372" s="1130">
        <v>45163193</v>
      </c>
      <c r="BR372" s="1130">
        <v>63632011</v>
      </c>
      <c r="BS372" s="1130">
        <v>212296</v>
      </c>
      <c r="BT372" s="1131">
        <v>2507745</v>
      </c>
      <c r="BU372" s="99">
        <v>0</v>
      </c>
      <c r="BV372" s="1131">
        <v>13019115</v>
      </c>
      <c r="BW372" s="1131">
        <v>288413</v>
      </c>
      <c r="BX372" s="1131">
        <v>147844</v>
      </c>
      <c r="BY372" s="1131">
        <v>3040533</v>
      </c>
      <c r="BZ372" s="99">
        <v>0</v>
      </c>
      <c r="CA372" s="1131">
        <v>38646515</v>
      </c>
      <c r="CB372" s="99">
        <v>0</v>
      </c>
      <c r="CC372" s="99">
        <v>0</v>
      </c>
      <c r="CD372" s="1131">
        <v>178594</v>
      </c>
      <c r="CE372" s="99">
        <v>0</v>
      </c>
      <c r="CF372" s="99">
        <v>0</v>
      </c>
    </row>
    <row r="373" spans="1:84" x14ac:dyDescent="0.3">
      <c r="A373" s="99">
        <v>45</v>
      </c>
      <c r="C373" s="99">
        <v>45</v>
      </c>
      <c r="D373" s="99" t="s">
        <v>627</v>
      </c>
      <c r="E373" s="99" t="s">
        <v>336</v>
      </c>
      <c r="F373" s="1130">
        <v>81602</v>
      </c>
      <c r="G373" s="1130">
        <v>208828</v>
      </c>
      <c r="H373" s="1130">
        <v>0</v>
      </c>
      <c r="I373" s="1130">
        <v>36530</v>
      </c>
      <c r="J373" s="1131">
        <v>145774</v>
      </c>
      <c r="K373" s="1131">
        <v>34584</v>
      </c>
      <c r="L373" s="1130">
        <v>0</v>
      </c>
      <c r="M373" s="1130">
        <v>210271</v>
      </c>
      <c r="N373" s="1130">
        <v>1414710</v>
      </c>
      <c r="O373" s="99">
        <v>0</v>
      </c>
      <c r="P373" s="1130">
        <v>0</v>
      </c>
      <c r="Q373" s="99">
        <v>0</v>
      </c>
      <c r="R373" s="1130">
        <v>29019</v>
      </c>
      <c r="S373" s="1130">
        <v>244933</v>
      </c>
      <c r="T373" s="99">
        <v>0</v>
      </c>
      <c r="U373" s="1131">
        <v>37617</v>
      </c>
      <c r="V373" s="1130">
        <v>0</v>
      </c>
      <c r="W373" s="1131">
        <v>52983</v>
      </c>
      <c r="X373" s="1130">
        <v>1115812</v>
      </c>
      <c r="Y373" s="1130">
        <v>0</v>
      </c>
      <c r="Z373" s="99">
        <v>0</v>
      </c>
      <c r="AA373" s="1131">
        <v>149470</v>
      </c>
      <c r="AB373" s="1131">
        <v>3948968</v>
      </c>
      <c r="AC373" s="1130">
        <v>0</v>
      </c>
      <c r="AD373" s="1130">
        <v>18522</v>
      </c>
      <c r="AE373" s="1130">
        <v>0</v>
      </c>
      <c r="AF373" s="1130">
        <v>0</v>
      </c>
      <c r="AG373" s="1131">
        <v>6579803</v>
      </c>
      <c r="AH373" s="99">
        <v>0</v>
      </c>
      <c r="AI373" s="1130">
        <v>0</v>
      </c>
      <c r="AJ373" s="1130">
        <v>5894</v>
      </c>
      <c r="AK373" s="1130">
        <v>530913</v>
      </c>
      <c r="AL373" s="99">
        <v>425</v>
      </c>
      <c r="AM373" s="1131">
        <v>88309</v>
      </c>
      <c r="AN373" s="99">
        <v>0</v>
      </c>
      <c r="AO373" s="1130">
        <v>44591</v>
      </c>
      <c r="AP373" s="1131">
        <v>982661</v>
      </c>
      <c r="AQ373" s="1130">
        <v>0</v>
      </c>
      <c r="AR373" s="1131">
        <v>222366</v>
      </c>
      <c r="AS373" s="1130">
        <v>0</v>
      </c>
      <c r="AT373" s="1130">
        <v>0</v>
      </c>
      <c r="AU373" s="1130">
        <v>0</v>
      </c>
      <c r="AV373" s="1130">
        <v>0</v>
      </c>
      <c r="AW373" s="1131">
        <v>28977149</v>
      </c>
      <c r="AX373" s="1130">
        <v>9554549</v>
      </c>
      <c r="AY373" s="1130">
        <v>145793</v>
      </c>
      <c r="AZ373" s="1130">
        <v>43593</v>
      </c>
      <c r="BA373" s="1131">
        <v>48930</v>
      </c>
      <c r="BB373" s="1131">
        <v>44169</v>
      </c>
      <c r="BC373" s="99">
        <v>0</v>
      </c>
      <c r="BD373" s="1130">
        <v>233908</v>
      </c>
      <c r="BE373" s="1131">
        <v>5727</v>
      </c>
      <c r="BF373" s="99">
        <v>0</v>
      </c>
      <c r="BG373" s="1130">
        <v>16739</v>
      </c>
      <c r="BH373" s="1130">
        <v>2485794</v>
      </c>
      <c r="BI373" s="1130">
        <v>0</v>
      </c>
      <c r="BJ373" s="1130">
        <v>1155416</v>
      </c>
      <c r="BK373" s="1130">
        <v>128211</v>
      </c>
      <c r="BL373" s="1130">
        <v>0</v>
      </c>
      <c r="BM373" s="99">
        <v>0</v>
      </c>
      <c r="BN373" s="99">
        <v>0</v>
      </c>
      <c r="BO373" s="1130">
        <v>4238579</v>
      </c>
      <c r="BP373" s="99">
        <v>0</v>
      </c>
      <c r="BQ373" s="1130">
        <v>5582529</v>
      </c>
      <c r="BR373" s="1130">
        <v>14340379</v>
      </c>
      <c r="BS373" s="1130">
        <v>9838</v>
      </c>
      <c r="BT373" s="1131">
        <v>215865</v>
      </c>
      <c r="BU373" s="99">
        <v>0</v>
      </c>
      <c r="BV373" s="1131">
        <v>2703767</v>
      </c>
      <c r="BW373" s="1131">
        <v>38468</v>
      </c>
      <c r="BX373" s="1131">
        <v>138023</v>
      </c>
      <c r="BY373" s="1131">
        <v>199510</v>
      </c>
      <c r="BZ373" s="99">
        <v>0</v>
      </c>
      <c r="CA373" s="1131">
        <v>11403699</v>
      </c>
      <c r="CB373" s="99">
        <v>0</v>
      </c>
      <c r="CC373" s="99">
        <v>0</v>
      </c>
      <c r="CD373" s="1131">
        <v>34638</v>
      </c>
      <c r="CE373" s="99">
        <v>0</v>
      </c>
      <c r="CF373" s="99">
        <v>0</v>
      </c>
    </row>
    <row r="374" spans="1:84" x14ac:dyDescent="0.3">
      <c r="A374" s="99">
        <v>47</v>
      </c>
      <c r="C374" s="99">
        <v>47</v>
      </c>
      <c r="D374" s="99" t="s">
        <v>629</v>
      </c>
      <c r="E374" s="99" t="s">
        <v>338</v>
      </c>
      <c r="F374" s="99">
        <v>0</v>
      </c>
      <c r="G374" s="99">
        <v>0</v>
      </c>
      <c r="H374" s="99">
        <v>0</v>
      </c>
      <c r="I374" s="1130">
        <v>0</v>
      </c>
      <c r="J374" s="99">
        <v>0</v>
      </c>
      <c r="K374" s="99">
        <v>0</v>
      </c>
      <c r="L374" s="99">
        <v>0</v>
      </c>
      <c r="M374" s="99">
        <v>0</v>
      </c>
      <c r="N374" s="1130">
        <v>1794904</v>
      </c>
      <c r="O374" s="99">
        <v>0</v>
      </c>
      <c r="P374" s="99">
        <v>0</v>
      </c>
      <c r="Q374" s="99">
        <v>0</v>
      </c>
      <c r="R374" s="99">
        <v>0</v>
      </c>
      <c r="S374" s="1131">
        <v>6759171</v>
      </c>
      <c r="T374" s="99">
        <v>0</v>
      </c>
      <c r="U374" s="1131">
        <v>1057430</v>
      </c>
      <c r="V374" s="99">
        <v>0</v>
      </c>
      <c r="W374" s="99">
        <v>0</v>
      </c>
      <c r="X374" s="99">
        <v>0</v>
      </c>
      <c r="Y374" s="99">
        <v>0</v>
      </c>
      <c r="Z374" s="99">
        <v>0</v>
      </c>
      <c r="AA374" s="1131">
        <v>529096</v>
      </c>
      <c r="AB374" s="99">
        <v>0</v>
      </c>
      <c r="AC374" s="99">
        <v>0</v>
      </c>
      <c r="AD374" s="99">
        <v>0</v>
      </c>
      <c r="AE374" s="99">
        <v>0</v>
      </c>
      <c r="AF374" s="99">
        <v>0</v>
      </c>
      <c r="AG374" s="1131">
        <v>44906710</v>
      </c>
      <c r="AH374" s="99">
        <v>0</v>
      </c>
      <c r="AI374" s="99">
        <v>0</v>
      </c>
      <c r="AJ374" s="99">
        <v>0</v>
      </c>
      <c r="AK374" s="1130">
        <v>0</v>
      </c>
      <c r="AL374" s="99">
        <v>0</v>
      </c>
      <c r="AM374" s="99">
        <v>0</v>
      </c>
      <c r="AN374" s="99">
        <v>0</v>
      </c>
      <c r="AO374" s="1130">
        <v>0</v>
      </c>
      <c r="AP374" s="99">
        <v>0</v>
      </c>
      <c r="AQ374" s="99">
        <v>0</v>
      </c>
      <c r="AR374" s="1131">
        <v>5694908</v>
      </c>
      <c r="AS374" s="99">
        <v>0</v>
      </c>
      <c r="AT374" s="99">
        <v>0</v>
      </c>
      <c r="AU374" s="99">
        <v>0</v>
      </c>
      <c r="AV374" s="99">
        <v>0</v>
      </c>
      <c r="AW374" s="99">
        <v>0</v>
      </c>
      <c r="AX374" s="1131">
        <v>75807048</v>
      </c>
      <c r="AY374" s="99">
        <v>0</v>
      </c>
      <c r="AZ374" s="99">
        <v>0</v>
      </c>
      <c r="BA374" s="99">
        <v>0</v>
      </c>
      <c r="BB374" s="99">
        <v>0</v>
      </c>
      <c r="BC374" s="99">
        <v>0</v>
      </c>
      <c r="BD374" s="99">
        <v>0</v>
      </c>
      <c r="BE374" s="99">
        <v>0</v>
      </c>
      <c r="BF374" s="99">
        <v>0</v>
      </c>
      <c r="BG374" s="99">
        <v>0</v>
      </c>
      <c r="BH374" s="99">
        <v>0</v>
      </c>
      <c r="BI374" s="1130">
        <v>0</v>
      </c>
      <c r="BJ374" s="99">
        <v>0</v>
      </c>
      <c r="BK374" s="99">
        <v>0</v>
      </c>
      <c r="BL374" s="99">
        <v>0</v>
      </c>
      <c r="BM374" s="99">
        <v>0</v>
      </c>
      <c r="BN374" s="99">
        <v>0</v>
      </c>
      <c r="BO374" s="99">
        <v>0</v>
      </c>
      <c r="BP374" s="99">
        <v>0</v>
      </c>
      <c r="BQ374" s="99">
        <v>0</v>
      </c>
      <c r="BR374" s="1131">
        <v>109162669</v>
      </c>
      <c r="BS374" s="99">
        <v>0</v>
      </c>
      <c r="BT374" s="1131">
        <v>4361239</v>
      </c>
      <c r="BU374" s="99">
        <v>0</v>
      </c>
      <c r="BV374" s="99">
        <v>0</v>
      </c>
      <c r="BW374" s="1131">
        <v>379776</v>
      </c>
      <c r="BX374" s="99">
        <v>0</v>
      </c>
      <c r="BY374" s="99">
        <v>0</v>
      </c>
      <c r="BZ374" s="99">
        <v>0</v>
      </c>
      <c r="CA374" s="99">
        <v>0</v>
      </c>
      <c r="CB374" s="99">
        <v>0</v>
      </c>
      <c r="CC374" s="99">
        <v>0</v>
      </c>
      <c r="CD374" s="99">
        <v>0</v>
      </c>
      <c r="CE374" s="99">
        <v>0</v>
      </c>
      <c r="CF374" s="1131">
        <v>6553014</v>
      </c>
    </row>
    <row r="375" spans="1:84" x14ac:dyDescent="0.3">
      <c r="A375" s="99">
        <v>48</v>
      </c>
      <c r="C375" s="99">
        <v>48</v>
      </c>
      <c r="D375" s="99" t="s">
        <v>123</v>
      </c>
      <c r="E375" s="99" t="s">
        <v>339</v>
      </c>
      <c r="F375" s="99">
        <v>0</v>
      </c>
      <c r="G375" s="99">
        <v>0</v>
      </c>
      <c r="H375" s="99">
        <v>0</v>
      </c>
      <c r="I375" s="1130">
        <v>0</v>
      </c>
      <c r="J375" s="99">
        <v>0</v>
      </c>
      <c r="K375" s="99">
        <v>0</v>
      </c>
      <c r="L375" s="99">
        <v>0</v>
      </c>
      <c r="M375" s="99">
        <v>0</v>
      </c>
      <c r="N375" s="1130">
        <v>1018323</v>
      </c>
      <c r="O375" s="99">
        <v>0</v>
      </c>
      <c r="P375" s="99">
        <v>0</v>
      </c>
      <c r="Q375" s="99">
        <v>0</v>
      </c>
      <c r="R375" s="99">
        <v>0</v>
      </c>
      <c r="S375" s="1131">
        <v>113028</v>
      </c>
      <c r="T375" s="99">
        <v>0</v>
      </c>
      <c r="U375" s="1131">
        <v>130688</v>
      </c>
      <c r="V375" s="99">
        <v>0</v>
      </c>
      <c r="W375" s="99">
        <v>0</v>
      </c>
      <c r="X375" s="99">
        <v>0</v>
      </c>
      <c r="Y375" s="99">
        <v>0</v>
      </c>
      <c r="Z375" s="99">
        <v>0</v>
      </c>
      <c r="AA375" s="1131">
        <v>85026</v>
      </c>
      <c r="AB375" s="99">
        <v>0</v>
      </c>
      <c r="AC375" s="99">
        <v>0</v>
      </c>
      <c r="AD375" s="99">
        <v>0</v>
      </c>
      <c r="AE375" s="99">
        <v>0</v>
      </c>
      <c r="AF375" s="99">
        <v>0</v>
      </c>
      <c r="AG375" s="1131">
        <v>5954425</v>
      </c>
      <c r="AH375" s="99">
        <v>0</v>
      </c>
      <c r="AI375" s="99">
        <v>0</v>
      </c>
      <c r="AJ375" s="99">
        <v>0</v>
      </c>
      <c r="AK375" s="1130">
        <v>0</v>
      </c>
      <c r="AL375" s="99">
        <v>0</v>
      </c>
      <c r="AM375" s="99">
        <v>0</v>
      </c>
      <c r="AN375" s="99">
        <v>0</v>
      </c>
      <c r="AO375" s="1130">
        <v>0</v>
      </c>
      <c r="AP375" s="99">
        <v>0</v>
      </c>
      <c r="AQ375" s="99">
        <v>0</v>
      </c>
      <c r="AR375" s="1131">
        <v>503899</v>
      </c>
      <c r="AS375" s="99">
        <v>0</v>
      </c>
      <c r="AT375" s="99">
        <v>0</v>
      </c>
      <c r="AU375" s="99">
        <v>0</v>
      </c>
      <c r="AV375" s="99">
        <v>0</v>
      </c>
      <c r="AW375" s="99">
        <v>0</v>
      </c>
      <c r="AX375" s="1131">
        <v>20791107</v>
      </c>
      <c r="AY375" s="99">
        <v>0</v>
      </c>
      <c r="AZ375" s="99">
        <v>0</v>
      </c>
      <c r="BA375" s="99">
        <v>0</v>
      </c>
      <c r="BB375" s="99">
        <v>0</v>
      </c>
      <c r="BC375" s="99">
        <v>0</v>
      </c>
      <c r="BD375" s="99">
        <v>0</v>
      </c>
      <c r="BE375" s="99">
        <v>0</v>
      </c>
      <c r="BF375" s="99">
        <v>0</v>
      </c>
      <c r="BG375" s="99">
        <v>0</v>
      </c>
      <c r="BH375" s="99">
        <v>0</v>
      </c>
      <c r="BI375" s="1130">
        <v>0</v>
      </c>
      <c r="BJ375" s="99">
        <v>0</v>
      </c>
      <c r="BK375" s="99">
        <v>0</v>
      </c>
      <c r="BL375" s="99">
        <v>0</v>
      </c>
      <c r="BM375" s="99">
        <v>0</v>
      </c>
      <c r="BN375" s="99">
        <v>0</v>
      </c>
      <c r="BO375" s="99">
        <v>0</v>
      </c>
      <c r="BP375" s="99">
        <v>0</v>
      </c>
      <c r="BQ375" s="99">
        <v>0</v>
      </c>
      <c r="BR375" s="1131">
        <v>11669413</v>
      </c>
      <c r="BS375" s="99">
        <v>0</v>
      </c>
      <c r="BT375" s="1131">
        <v>378542</v>
      </c>
      <c r="BU375" s="99">
        <v>0</v>
      </c>
      <c r="BV375" s="99">
        <v>0</v>
      </c>
      <c r="BW375" s="1131">
        <v>83354</v>
      </c>
      <c r="BX375" s="99">
        <v>0</v>
      </c>
      <c r="BY375" s="99">
        <v>0</v>
      </c>
      <c r="BZ375" s="99">
        <v>0</v>
      </c>
      <c r="CA375" s="99">
        <v>0</v>
      </c>
      <c r="CB375" s="99">
        <v>0</v>
      </c>
      <c r="CC375" s="99">
        <v>0</v>
      </c>
      <c r="CD375" s="99">
        <v>0</v>
      </c>
      <c r="CE375" s="99">
        <v>0</v>
      </c>
      <c r="CF375" s="1131">
        <v>1908355</v>
      </c>
    </row>
    <row r="376" spans="1:84" x14ac:dyDescent="0.3">
      <c r="A376" s="99">
        <v>336</v>
      </c>
      <c r="C376" s="99">
        <v>336</v>
      </c>
      <c r="D376" s="99" t="s">
        <v>636</v>
      </c>
      <c r="E376" s="99" t="s">
        <v>419</v>
      </c>
      <c r="F376" s="1130">
        <v>2686</v>
      </c>
      <c r="G376" s="1130">
        <v>52540</v>
      </c>
      <c r="H376" s="1130">
        <v>70187</v>
      </c>
      <c r="I376" s="1130">
        <v>51748</v>
      </c>
      <c r="J376" s="1131">
        <v>172522</v>
      </c>
      <c r="K376" s="1131">
        <v>7270</v>
      </c>
      <c r="L376" s="1130">
        <v>467</v>
      </c>
      <c r="M376" s="1130">
        <v>236</v>
      </c>
      <c r="N376" s="1130">
        <v>755061</v>
      </c>
      <c r="O376" s="1131">
        <v>25694597</v>
      </c>
      <c r="P376" s="1130">
        <v>40401</v>
      </c>
      <c r="Q376" s="1130">
        <v>884903</v>
      </c>
      <c r="R376" s="1130">
        <v>9351</v>
      </c>
      <c r="S376" s="1130">
        <v>1059215</v>
      </c>
      <c r="T376" s="1131">
        <v>3992</v>
      </c>
      <c r="U376" s="1130">
        <v>14782</v>
      </c>
      <c r="V376" s="1130">
        <v>0</v>
      </c>
      <c r="W376" s="1131">
        <v>49773</v>
      </c>
      <c r="X376" s="1130">
        <v>334688</v>
      </c>
      <c r="Y376" s="1130">
        <v>197335</v>
      </c>
      <c r="Z376" s="99">
        <v>0</v>
      </c>
      <c r="AA376" s="1131">
        <v>189193</v>
      </c>
      <c r="AB376" s="1131">
        <v>41803900</v>
      </c>
      <c r="AC376" s="1130">
        <v>2874</v>
      </c>
      <c r="AD376" s="1130">
        <v>24691</v>
      </c>
      <c r="AE376" s="1130">
        <v>5906943</v>
      </c>
      <c r="AF376" s="1130">
        <v>936094</v>
      </c>
      <c r="AG376" s="1130">
        <v>16712077</v>
      </c>
      <c r="AH376" s="99">
        <v>0</v>
      </c>
      <c r="AI376" s="1130">
        <v>9563</v>
      </c>
      <c r="AJ376" s="1130">
        <v>8074</v>
      </c>
      <c r="AK376" s="1130">
        <v>307537</v>
      </c>
      <c r="AL376" s="1131">
        <v>13871</v>
      </c>
      <c r="AM376" s="1131">
        <v>1069</v>
      </c>
      <c r="AN376" s="1130">
        <v>0</v>
      </c>
      <c r="AO376" s="1130">
        <v>0</v>
      </c>
      <c r="AP376" s="1130">
        <v>992081</v>
      </c>
      <c r="AQ376" s="1130">
        <v>150</v>
      </c>
      <c r="AR376" s="1130">
        <v>232829</v>
      </c>
      <c r="AS376" s="1130">
        <v>375008</v>
      </c>
      <c r="AT376" s="1130">
        <v>908</v>
      </c>
      <c r="AU376" s="1130">
        <v>0</v>
      </c>
      <c r="AV376" s="1130">
        <v>0</v>
      </c>
      <c r="AW376" s="1131">
        <v>89129172</v>
      </c>
      <c r="AX376" s="1130">
        <v>11899818</v>
      </c>
      <c r="AY376" s="1130">
        <v>179051</v>
      </c>
      <c r="AZ376" s="1130">
        <v>3060</v>
      </c>
      <c r="BA376" s="1130">
        <v>15514</v>
      </c>
      <c r="BB376" s="1130">
        <v>5026</v>
      </c>
      <c r="BC376" s="1130">
        <v>0</v>
      </c>
      <c r="BD376" s="1130">
        <v>55341</v>
      </c>
      <c r="BE376" s="1130">
        <v>8614</v>
      </c>
      <c r="BF376" s="1130">
        <v>3068</v>
      </c>
      <c r="BG376" s="1130">
        <v>2652</v>
      </c>
      <c r="BH376" s="1130">
        <v>1655019</v>
      </c>
      <c r="BI376" s="1130">
        <v>0</v>
      </c>
      <c r="BJ376" s="1130">
        <v>804641</v>
      </c>
      <c r="BK376" s="1130">
        <v>95975</v>
      </c>
      <c r="BL376" s="1130">
        <v>13048</v>
      </c>
      <c r="BM376" s="1130">
        <v>0</v>
      </c>
      <c r="BN376" s="1130">
        <v>0</v>
      </c>
      <c r="BO376" s="1130">
        <v>2581322</v>
      </c>
      <c r="BP376" s="99">
        <v>0</v>
      </c>
      <c r="BQ376" s="1130">
        <v>9320920</v>
      </c>
      <c r="BR376" s="1130">
        <v>27948722</v>
      </c>
      <c r="BS376" s="1130">
        <v>38296</v>
      </c>
      <c r="BT376" s="1130">
        <v>681693</v>
      </c>
      <c r="BU376" s="1131">
        <v>30447</v>
      </c>
      <c r="BV376" s="1131">
        <v>1273064</v>
      </c>
      <c r="BW376" s="1131">
        <v>6431</v>
      </c>
      <c r="BX376" s="1131">
        <v>8099</v>
      </c>
      <c r="BY376" s="1131">
        <v>1571265</v>
      </c>
      <c r="BZ376" s="99">
        <v>0</v>
      </c>
      <c r="CA376" s="1131">
        <v>15999096</v>
      </c>
      <c r="CB376" s="99">
        <v>0</v>
      </c>
      <c r="CC376" s="1131">
        <v>1451196</v>
      </c>
      <c r="CD376" s="1131">
        <v>62695</v>
      </c>
      <c r="CE376" s="1131">
        <v>301956</v>
      </c>
      <c r="CF376" s="1131">
        <v>8284395</v>
      </c>
    </row>
    <row r="377" spans="1:84" x14ac:dyDescent="0.3">
      <c r="A377" s="99">
        <v>537</v>
      </c>
      <c r="B377" s="315">
        <v>537</v>
      </c>
      <c r="C377" s="99">
        <v>537</v>
      </c>
      <c r="D377" s="99" t="s">
        <v>1757</v>
      </c>
      <c r="E377" s="99" t="s">
        <v>504</v>
      </c>
      <c r="F377" s="99">
        <v>2</v>
      </c>
      <c r="G377" s="99">
        <v>1</v>
      </c>
      <c r="H377" s="99">
        <v>2</v>
      </c>
      <c r="I377" s="99">
        <v>2</v>
      </c>
      <c r="J377" s="99">
        <v>2</v>
      </c>
      <c r="K377" s="99">
        <v>2</v>
      </c>
      <c r="L377" s="99">
        <v>2</v>
      </c>
      <c r="M377" s="99">
        <v>2</v>
      </c>
      <c r="N377" s="99">
        <v>2</v>
      </c>
      <c r="O377" s="99">
        <v>2</v>
      </c>
      <c r="P377" s="99">
        <v>2</v>
      </c>
      <c r="Q377" s="99">
        <v>2</v>
      </c>
      <c r="R377" s="99">
        <v>2</v>
      </c>
      <c r="S377" s="99">
        <v>1</v>
      </c>
      <c r="T377" s="99">
        <v>2</v>
      </c>
      <c r="U377" s="99">
        <v>2</v>
      </c>
      <c r="V377" s="99">
        <v>0</v>
      </c>
      <c r="W377" s="99">
        <v>2</v>
      </c>
      <c r="X377" s="99">
        <v>1</v>
      </c>
      <c r="Y377" s="99">
        <v>2</v>
      </c>
      <c r="Z377" s="99">
        <v>0</v>
      </c>
      <c r="AA377" s="99">
        <v>1</v>
      </c>
      <c r="AB377" s="99">
        <v>1</v>
      </c>
      <c r="AC377" s="99">
        <v>2</v>
      </c>
      <c r="AD377" s="99">
        <v>2</v>
      </c>
      <c r="AE377" s="99">
        <v>2</v>
      </c>
      <c r="AF377" s="99">
        <v>2</v>
      </c>
      <c r="AG377" s="99">
        <v>0</v>
      </c>
      <c r="AH377" s="99">
        <v>2</v>
      </c>
      <c r="AI377" s="99">
        <v>2</v>
      </c>
      <c r="AJ377" s="99">
        <v>2</v>
      </c>
      <c r="AK377" s="99">
        <v>2</v>
      </c>
      <c r="AL377" s="99">
        <v>2</v>
      </c>
      <c r="AM377" s="99">
        <v>2</v>
      </c>
      <c r="AN377" s="99">
        <v>0</v>
      </c>
      <c r="AO377" s="99">
        <v>2</v>
      </c>
      <c r="AP377" s="99">
        <v>2</v>
      </c>
      <c r="AQ377" s="99">
        <v>2</v>
      </c>
      <c r="AR377" s="99">
        <v>1</v>
      </c>
      <c r="AS377" s="99">
        <v>2</v>
      </c>
      <c r="AT377" s="99">
        <v>2</v>
      </c>
      <c r="AU377" s="99">
        <v>0</v>
      </c>
      <c r="AV377" s="99">
        <v>2</v>
      </c>
      <c r="AW377" s="99">
        <v>1</v>
      </c>
      <c r="AX377" s="99">
        <v>1</v>
      </c>
      <c r="AY377" s="99">
        <v>2</v>
      </c>
      <c r="AZ377" s="99">
        <v>2</v>
      </c>
      <c r="BA377" s="99">
        <v>2</v>
      </c>
      <c r="BB377" s="99">
        <v>1</v>
      </c>
      <c r="BC377" s="99">
        <v>0</v>
      </c>
      <c r="BD377" s="99">
        <v>2</v>
      </c>
      <c r="BE377" s="99">
        <v>2</v>
      </c>
      <c r="BF377" s="99">
        <v>2</v>
      </c>
      <c r="BG377" s="99">
        <v>2</v>
      </c>
      <c r="BH377" s="99">
        <v>1</v>
      </c>
      <c r="BI377" s="99">
        <v>2</v>
      </c>
      <c r="BJ377" s="99">
        <v>1</v>
      </c>
      <c r="BK377" s="99">
        <v>1</v>
      </c>
      <c r="BL377" s="99">
        <v>2</v>
      </c>
      <c r="BM377" s="99">
        <v>2</v>
      </c>
      <c r="BN377" s="99">
        <v>1</v>
      </c>
      <c r="BO377" s="99">
        <v>1</v>
      </c>
      <c r="BP377" s="99">
        <v>0</v>
      </c>
      <c r="BQ377" s="99">
        <v>1</v>
      </c>
      <c r="BR377" s="99">
        <v>1</v>
      </c>
      <c r="BS377" s="99">
        <v>2</v>
      </c>
      <c r="BT377" s="99">
        <v>2</v>
      </c>
      <c r="BU377" s="99">
        <v>2</v>
      </c>
      <c r="BV377" s="99">
        <v>2</v>
      </c>
      <c r="BW377" s="99">
        <v>2</v>
      </c>
      <c r="BX377" s="99">
        <v>2</v>
      </c>
      <c r="BY377" s="99">
        <v>2</v>
      </c>
      <c r="BZ377" s="99">
        <v>2</v>
      </c>
      <c r="CA377" s="99">
        <v>1</v>
      </c>
      <c r="CB377" s="99">
        <v>0</v>
      </c>
      <c r="CC377" s="99">
        <v>2</v>
      </c>
      <c r="CD377" s="99">
        <v>1</v>
      </c>
      <c r="CE377" s="99">
        <v>2</v>
      </c>
      <c r="CF377" s="99">
        <v>2</v>
      </c>
    </row>
    <row r="378" spans="1:84" x14ac:dyDescent="0.3">
      <c r="A378" s="99">
        <v>538</v>
      </c>
      <c r="B378" s="315">
        <v>538</v>
      </c>
      <c r="C378" s="99">
        <v>538</v>
      </c>
      <c r="D378" s="99" t="s">
        <v>1758</v>
      </c>
      <c r="E378" s="99" t="s">
        <v>505</v>
      </c>
      <c r="F378" s="99">
        <v>2</v>
      </c>
      <c r="G378" s="99">
        <v>2</v>
      </c>
      <c r="H378" s="99">
        <v>2</v>
      </c>
      <c r="I378" s="99">
        <v>2</v>
      </c>
      <c r="J378" s="99">
        <v>2</v>
      </c>
      <c r="K378" s="99">
        <v>2</v>
      </c>
      <c r="L378" s="99">
        <v>2</v>
      </c>
      <c r="M378" s="99">
        <v>2</v>
      </c>
      <c r="N378" s="99">
        <v>2</v>
      </c>
      <c r="O378" s="99">
        <v>2</v>
      </c>
      <c r="P378" s="99">
        <v>2</v>
      </c>
      <c r="Q378" s="99">
        <v>2</v>
      </c>
      <c r="R378" s="99">
        <v>2</v>
      </c>
      <c r="S378" s="99">
        <v>2</v>
      </c>
      <c r="T378" s="99">
        <v>2</v>
      </c>
      <c r="U378" s="99">
        <v>2</v>
      </c>
      <c r="V378" s="99">
        <v>0</v>
      </c>
      <c r="W378" s="99">
        <v>2</v>
      </c>
      <c r="X378" s="99">
        <v>1</v>
      </c>
      <c r="Y378" s="99">
        <v>2</v>
      </c>
      <c r="Z378" s="99">
        <v>0</v>
      </c>
      <c r="AA378" s="99">
        <v>2</v>
      </c>
      <c r="AB378" s="99">
        <v>2</v>
      </c>
      <c r="AC378" s="99">
        <v>2</v>
      </c>
      <c r="AD378" s="99">
        <v>1</v>
      </c>
      <c r="AE378" s="99">
        <v>2</v>
      </c>
      <c r="AF378" s="99">
        <v>2</v>
      </c>
      <c r="AG378" s="99">
        <v>0</v>
      </c>
      <c r="AH378" s="99">
        <v>2</v>
      </c>
      <c r="AI378" s="99">
        <v>2</v>
      </c>
      <c r="AJ378" s="99">
        <v>2</v>
      </c>
      <c r="AK378" s="99">
        <v>2</v>
      </c>
      <c r="AL378" s="99">
        <v>2</v>
      </c>
      <c r="AM378" s="99">
        <v>2</v>
      </c>
      <c r="AN378" s="99">
        <v>0</v>
      </c>
      <c r="AO378" s="99">
        <v>2</v>
      </c>
      <c r="AP378" s="99">
        <v>1</v>
      </c>
      <c r="AQ378" s="99">
        <v>2</v>
      </c>
      <c r="AR378" s="99">
        <v>1</v>
      </c>
      <c r="AS378" s="99">
        <v>2</v>
      </c>
      <c r="AT378" s="99">
        <v>2</v>
      </c>
      <c r="AU378" s="99">
        <v>0</v>
      </c>
      <c r="AV378" s="99">
        <v>2</v>
      </c>
      <c r="AW378" s="99">
        <v>2</v>
      </c>
      <c r="AX378" s="99">
        <v>2</v>
      </c>
      <c r="AY378" s="99">
        <v>2</v>
      </c>
      <c r="AZ378" s="99">
        <v>2</v>
      </c>
      <c r="BA378" s="99">
        <v>2</v>
      </c>
      <c r="BB378" s="99">
        <v>2</v>
      </c>
      <c r="BC378" s="99">
        <v>0</v>
      </c>
      <c r="BD378" s="99">
        <v>2</v>
      </c>
      <c r="BE378" s="99">
        <v>2</v>
      </c>
      <c r="BF378" s="99">
        <v>2</v>
      </c>
      <c r="BG378" s="99">
        <v>2</v>
      </c>
      <c r="BH378" s="99">
        <v>2</v>
      </c>
      <c r="BI378" s="99">
        <v>2</v>
      </c>
      <c r="BJ378" s="99">
        <v>1</v>
      </c>
      <c r="BK378" s="99">
        <v>1</v>
      </c>
      <c r="BL378" s="99">
        <v>2</v>
      </c>
      <c r="BM378" s="99">
        <v>2</v>
      </c>
      <c r="BN378" s="99">
        <v>2</v>
      </c>
      <c r="BO378" s="99">
        <v>1</v>
      </c>
      <c r="BP378" s="99">
        <v>0</v>
      </c>
      <c r="BQ378" s="99">
        <v>1</v>
      </c>
      <c r="BR378" s="99">
        <v>1</v>
      </c>
      <c r="BS378" s="99">
        <v>2</v>
      </c>
      <c r="BT378" s="99">
        <v>2</v>
      </c>
      <c r="BU378" s="99">
        <v>2</v>
      </c>
      <c r="BV378" s="99">
        <v>2</v>
      </c>
      <c r="BW378" s="99">
        <v>2</v>
      </c>
      <c r="BX378" s="99">
        <v>2</v>
      </c>
      <c r="BY378" s="99">
        <v>2</v>
      </c>
      <c r="BZ378" s="99">
        <v>2</v>
      </c>
      <c r="CA378" s="99">
        <v>2</v>
      </c>
      <c r="CB378" s="99">
        <v>0</v>
      </c>
      <c r="CC378" s="99">
        <v>2</v>
      </c>
      <c r="CD378" s="99">
        <v>2</v>
      </c>
      <c r="CE378" s="99">
        <v>2</v>
      </c>
      <c r="CF378" s="99">
        <v>2</v>
      </c>
    </row>
    <row r="379" spans="1:84" x14ac:dyDescent="0.3">
      <c r="A379" s="99">
        <v>554</v>
      </c>
      <c r="B379" s="315">
        <v>554</v>
      </c>
      <c r="C379" s="99">
        <v>554</v>
      </c>
      <c r="D379" s="99" t="s">
        <v>577</v>
      </c>
      <c r="E379" s="99" t="s">
        <v>578</v>
      </c>
      <c r="F379" s="1131">
        <v>1386571</v>
      </c>
      <c r="G379" s="99">
        <v>0</v>
      </c>
      <c r="H379" s="99">
        <v>0</v>
      </c>
      <c r="I379" s="1130">
        <v>0</v>
      </c>
      <c r="J379" s="99">
        <v>0</v>
      </c>
      <c r="K379" s="99">
        <v>0</v>
      </c>
      <c r="L379" s="99">
        <v>0</v>
      </c>
      <c r="M379" s="1131">
        <v>764743</v>
      </c>
      <c r="N379" s="1130">
        <v>3713</v>
      </c>
      <c r="O379" s="1131">
        <v>21483191</v>
      </c>
      <c r="P379" s="99">
        <v>0</v>
      </c>
      <c r="Q379" s="99">
        <v>0</v>
      </c>
      <c r="R379" s="1130">
        <v>0</v>
      </c>
      <c r="S379" s="1130">
        <v>790522</v>
      </c>
      <c r="T379" s="99">
        <v>0</v>
      </c>
      <c r="U379" s="1131">
        <v>1178148</v>
      </c>
      <c r="V379" s="99">
        <v>0</v>
      </c>
      <c r="W379" s="99">
        <v>0</v>
      </c>
      <c r="X379" s="99">
        <v>0</v>
      </c>
      <c r="Y379" s="99">
        <v>0</v>
      </c>
      <c r="Z379" s="1130">
        <v>0</v>
      </c>
      <c r="AA379" s="1131">
        <v>106444</v>
      </c>
      <c r="AB379" s="1131">
        <v>2573357</v>
      </c>
      <c r="AC379" s="1130">
        <v>0</v>
      </c>
      <c r="AD379" s="1130">
        <v>0</v>
      </c>
      <c r="AE379" s="1131">
        <v>273100</v>
      </c>
      <c r="AF379" s="99">
        <v>0</v>
      </c>
      <c r="AG379" s="99">
        <v>0</v>
      </c>
      <c r="AH379" s="1131">
        <v>4586636</v>
      </c>
      <c r="AI379" s="99">
        <v>0</v>
      </c>
      <c r="AJ379" s="99">
        <v>0</v>
      </c>
      <c r="AK379" s="1131">
        <v>1722211</v>
      </c>
      <c r="AL379" s="99">
        <v>0</v>
      </c>
      <c r="AM379" s="99">
        <v>0</v>
      </c>
      <c r="AN379" s="99">
        <v>0</v>
      </c>
      <c r="AO379" s="99">
        <v>0</v>
      </c>
      <c r="AP379" s="1131">
        <v>12266</v>
      </c>
      <c r="AQ379" s="1130">
        <v>0</v>
      </c>
      <c r="AR379" s="99">
        <v>0</v>
      </c>
      <c r="AS379" s="99">
        <v>0</v>
      </c>
      <c r="AT379" s="99">
        <v>0</v>
      </c>
      <c r="AU379" s="99">
        <v>0</v>
      </c>
      <c r="AV379" s="99">
        <v>0</v>
      </c>
      <c r="AW379" s="1131">
        <v>39948287</v>
      </c>
      <c r="AX379" s="1131">
        <v>17777847</v>
      </c>
      <c r="AY379" s="1130">
        <v>0</v>
      </c>
      <c r="AZ379" s="99">
        <v>0</v>
      </c>
      <c r="BA379" s="99">
        <v>0</v>
      </c>
      <c r="BB379" s="99">
        <v>0</v>
      </c>
      <c r="BC379" s="1130">
        <v>0</v>
      </c>
      <c r="BD379" s="99">
        <v>0</v>
      </c>
      <c r="BE379" s="99">
        <v>0</v>
      </c>
      <c r="BF379" s="99">
        <v>0</v>
      </c>
      <c r="BG379" s="1130">
        <v>0</v>
      </c>
      <c r="BH379" s="1131">
        <v>27192</v>
      </c>
      <c r="BI379" s="99">
        <v>0</v>
      </c>
      <c r="BJ379" s="1130">
        <v>638278</v>
      </c>
      <c r="BK379" s="1131">
        <v>43398</v>
      </c>
      <c r="BL379" s="99">
        <v>0</v>
      </c>
      <c r="BM379" s="99">
        <v>0</v>
      </c>
      <c r="BN379" s="1130">
        <v>1070388</v>
      </c>
      <c r="BO379" s="1131">
        <v>3162719</v>
      </c>
      <c r="BP379" s="99">
        <v>0</v>
      </c>
      <c r="BQ379" s="1131">
        <v>4832601</v>
      </c>
      <c r="BR379" s="1130">
        <v>4282968</v>
      </c>
      <c r="BS379" s="1131">
        <v>1956199</v>
      </c>
      <c r="BT379" s="1130">
        <v>0</v>
      </c>
      <c r="BU379" s="99">
        <v>0</v>
      </c>
      <c r="BV379" s="99">
        <v>0</v>
      </c>
      <c r="BW379" s="99">
        <v>0</v>
      </c>
      <c r="BX379" s="1131">
        <v>867259</v>
      </c>
      <c r="BY379" s="99">
        <v>0</v>
      </c>
      <c r="BZ379" s="99">
        <v>0</v>
      </c>
      <c r="CA379" s="1131">
        <v>1912588</v>
      </c>
      <c r="CB379" s="99">
        <v>0</v>
      </c>
      <c r="CC379" s="99">
        <v>0</v>
      </c>
      <c r="CD379" s="99">
        <v>0</v>
      </c>
      <c r="CE379" s="99">
        <v>0</v>
      </c>
      <c r="CF379" s="1131">
        <v>663562</v>
      </c>
    </row>
    <row r="380" spans="1:84" x14ac:dyDescent="0.3">
      <c r="A380" s="99">
        <v>555</v>
      </c>
      <c r="B380" s="315">
        <v>555</v>
      </c>
      <c r="C380" s="99">
        <v>555</v>
      </c>
      <c r="D380" s="99" t="s">
        <v>579</v>
      </c>
      <c r="E380" s="99" t="s">
        <v>580</v>
      </c>
      <c r="F380" s="1131">
        <v>971133</v>
      </c>
      <c r="G380" s="99">
        <v>0</v>
      </c>
      <c r="H380" s="99">
        <v>0</v>
      </c>
      <c r="I380" s="1130">
        <v>0</v>
      </c>
      <c r="J380" s="99">
        <v>0</v>
      </c>
      <c r="K380" s="99">
        <v>0</v>
      </c>
      <c r="L380" s="99">
        <v>0</v>
      </c>
      <c r="M380" s="1131">
        <v>764743</v>
      </c>
      <c r="N380" s="1130">
        <v>0</v>
      </c>
      <c r="O380" s="1131">
        <v>9500801</v>
      </c>
      <c r="P380" s="99">
        <v>0</v>
      </c>
      <c r="Q380" s="99">
        <v>0</v>
      </c>
      <c r="R380" s="99">
        <v>0</v>
      </c>
      <c r="S380" s="1130">
        <v>790522</v>
      </c>
      <c r="T380" s="99">
        <v>0</v>
      </c>
      <c r="U380" s="1131">
        <v>1178148</v>
      </c>
      <c r="V380" s="99">
        <v>0</v>
      </c>
      <c r="W380" s="99">
        <v>0</v>
      </c>
      <c r="X380" s="99">
        <v>0</v>
      </c>
      <c r="Y380" s="99">
        <v>0</v>
      </c>
      <c r="Z380" s="1130">
        <v>0</v>
      </c>
      <c r="AA380" s="99">
        <v>0</v>
      </c>
      <c r="AB380" s="1131">
        <v>2162093</v>
      </c>
      <c r="AC380" s="1130">
        <v>0</v>
      </c>
      <c r="AD380" s="1130">
        <v>0</v>
      </c>
      <c r="AE380" s="99">
        <v>0</v>
      </c>
      <c r="AF380" s="99">
        <v>0</v>
      </c>
      <c r="AG380" s="99">
        <v>0</v>
      </c>
      <c r="AH380" s="1131">
        <v>2303790</v>
      </c>
      <c r="AI380" s="99">
        <v>0</v>
      </c>
      <c r="AJ380" s="99">
        <v>0</v>
      </c>
      <c r="AK380" s="1131">
        <v>1251646</v>
      </c>
      <c r="AL380" s="99">
        <v>0</v>
      </c>
      <c r="AM380" s="99">
        <v>0</v>
      </c>
      <c r="AN380" s="99">
        <v>0</v>
      </c>
      <c r="AO380" s="99">
        <v>0</v>
      </c>
      <c r="AP380" s="99">
        <v>0</v>
      </c>
      <c r="AQ380" s="1130">
        <v>0</v>
      </c>
      <c r="AR380" s="99">
        <v>0</v>
      </c>
      <c r="AS380" s="99">
        <v>0</v>
      </c>
      <c r="AT380" s="99">
        <v>0</v>
      </c>
      <c r="AU380" s="99">
        <v>0</v>
      </c>
      <c r="AV380" s="99">
        <v>0</v>
      </c>
      <c r="AW380" s="1131">
        <v>12343763</v>
      </c>
      <c r="AX380" s="1131">
        <v>14471469</v>
      </c>
      <c r="AY380" s="99">
        <v>0</v>
      </c>
      <c r="AZ380" s="99">
        <v>0</v>
      </c>
      <c r="BA380" s="99">
        <v>0</v>
      </c>
      <c r="BB380" s="99">
        <v>0</v>
      </c>
      <c r="BC380" s="1130">
        <v>0</v>
      </c>
      <c r="BD380" s="99">
        <v>0</v>
      </c>
      <c r="BE380" s="99">
        <v>0</v>
      </c>
      <c r="BF380" s="99">
        <v>0</v>
      </c>
      <c r="BG380" s="99">
        <v>0</v>
      </c>
      <c r="BH380" s="99">
        <v>0</v>
      </c>
      <c r="BI380" s="99">
        <v>0</v>
      </c>
      <c r="BJ380" s="99">
        <v>0</v>
      </c>
      <c r="BK380" s="99">
        <v>0</v>
      </c>
      <c r="BL380" s="99">
        <v>0</v>
      </c>
      <c r="BM380" s="99">
        <v>0</v>
      </c>
      <c r="BN380" s="1130">
        <v>976805</v>
      </c>
      <c r="BO380" s="1131">
        <v>2818799</v>
      </c>
      <c r="BP380" s="99">
        <v>0</v>
      </c>
      <c r="BQ380" s="1131">
        <v>2303902</v>
      </c>
      <c r="BR380" s="1130">
        <v>1314952</v>
      </c>
      <c r="BS380" s="1131">
        <v>1956199</v>
      </c>
      <c r="BT380" s="1130">
        <v>0</v>
      </c>
      <c r="BU380" s="99">
        <v>0</v>
      </c>
      <c r="BV380" s="99">
        <v>0</v>
      </c>
      <c r="BW380" s="99">
        <v>0</v>
      </c>
      <c r="BX380" s="1131">
        <v>867259</v>
      </c>
      <c r="BY380" s="99">
        <v>0</v>
      </c>
      <c r="BZ380" s="99">
        <v>0</v>
      </c>
      <c r="CA380" s="1131">
        <v>1294068</v>
      </c>
      <c r="CB380" s="99">
        <v>0</v>
      </c>
      <c r="CC380" s="99">
        <v>0</v>
      </c>
      <c r="CD380" s="99">
        <v>0</v>
      </c>
      <c r="CE380" s="99">
        <v>0</v>
      </c>
      <c r="CF380" s="99">
        <v>0</v>
      </c>
    </row>
    <row r="381" spans="1:84" x14ac:dyDescent="0.3">
      <c r="A381" s="99">
        <v>556</v>
      </c>
      <c r="B381" s="315">
        <v>556</v>
      </c>
      <c r="C381" s="99">
        <v>556</v>
      </c>
      <c r="D381" s="99" t="s">
        <v>581</v>
      </c>
      <c r="E381" s="99" t="s">
        <v>582</v>
      </c>
      <c r="F381" s="1131">
        <v>2323120</v>
      </c>
      <c r="G381" s="99">
        <v>0</v>
      </c>
      <c r="H381" s="99">
        <v>0</v>
      </c>
      <c r="I381" s="1130">
        <v>0</v>
      </c>
      <c r="J381" s="99">
        <v>0</v>
      </c>
      <c r="K381" s="99">
        <v>0</v>
      </c>
      <c r="L381" s="99">
        <v>0</v>
      </c>
      <c r="M381" s="1131">
        <v>84337</v>
      </c>
      <c r="N381" s="1130">
        <v>2725715</v>
      </c>
      <c r="O381" s="1131">
        <v>10689181</v>
      </c>
      <c r="P381" s="99">
        <v>0</v>
      </c>
      <c r="Q381" s="99">
        <v>0</v>
      </c>
      <c r="R381" s="1130">
        <v>0</v>
      </c>
      <c r="S381" s="1130">
        <v>277252</v>
      </c>
      <c r="T381" s="99">
        <v>0</v>
      </c>
      <c r="U381" s="1131">
        <v>128229</v>
      </c>
      <c r="V381" s="99">
        <v>0</v>
      </c>
      <c r="W381" s="99">
        <v>0</v>
      </c>
      <c r="X381" s="99">
        <v>0</v>
      </c>
      <c r="Y381" s="99">
        <v>0</v>
      </c>
      <c r="Z381" s="1130">
        <v>0</v>
      </c>
      <c r="AA381" s="1131">
        <v>1056851</v>
      </c>
      <c r="AB381" s="1131">
        <v>947537</v>
      </c>
      <c r="AC381" s="99">
        <v>0</v>
      </c>
      <c r="AD381" s="1130">
        <v>0</v>
      </c>
      <c r="AE381" s="1131">
        <v>1124980</v>
      </c>
      <c r="AF381" s="99">
        <v>0</v>
      </c>
      <c r="AG381" s="99">
        <v>0</v>
      </c>
      <c r="AH381" s="1131">
        <v>4081029</v>
      </c>
      <c r="AI381" s="99">
        <v>0</v>
      </c>
      <c r="AJ381" s="99">
        <v>0</v>
      </c>
      <c r="AK381" s="1131">
        <v>170412</v>
      </c>
      <c r="AL381" s="99">
        <v>0</v>
      </c>
      <c r="AM381" s="99">
        <v>0</v>
      </c>
      <c r="AN381" s="99">
        <v>0</v>
      </c>
      <c r="AO381" s="99">
        <v>0</v>
      </c>
      <c r="AP381" s="1131">
        <v>904701</v>
      </c>
      <c r="AQ381" s="1130">
        <v>0</v>
      </c>
      <c r="AR381" s="99">
        <v>0</v>
      </c>
      <c r="AS381" s="99">
        <v>0</v>
      </c>
      <c r="AT381" s="99">
        <v>0</v>
      </c>
      <c r="AU381" s="99">
        <v>0</v>
      </c>
      <c r="AV381" s="99">
        <v>0</v>
      </c>
      <c r="AW381" s="1131">
        <v>14773800</v>
      </c>
      <c r="AX381" s="1131">
        <v>3302011</v>
      </c>
      <c r="AY381" s="1130">
        <v>0</v>
      </c>
      <c r="AZ381" s="99">
        <v>0</v>
      </c>
      <c r="BA381" s="99">
        <v>0</v>
      </c>
      <c r="BB381" s="99">
        <v>0</v>
      </c>
      <c r="BC381" s="1130">
        <v>0</v>
      </c>
      <c r="BD381" s="99">
        <v>0</v>
      </c>
      <c r="BE381" s="99">
        <v>0</v>
      </c>
      <c r="BF381" s="99">
        <v>0</v>
      </c>
      <c r="BG381" s="1130">
        <v>0</v>
      </c>
      <c r="BH381" s="1131">
        <v>784004</v>
      </c>
      <c r="BI381" s="99">
        <v>0</v>
      </c>
      <c r="BJ381" s="1130">
        <v>1450741</v>
      </c>
      <c r="BK381" s="1131">
        <v>1895721</v>
      </c>
      <c r="BL381" s="99">
        <v>0</v>
      </c>
      <c r="BM381" s="99">
        <v>0</v>
      </c>
      <c r="BN381" s="1130">
        <v>395154</v>
      </c>
      <c r="BO381" s="1131">
        <v>913978</v>
      </c>
      <c r="BP381" s="99">
        <v>0</v>
      </c>
      <c r="BQ381" s="1131">
        <v>2077827</v>
      </c>
      <c r="BR381" s="1130">
        <v>5241759</v>
      </c>
      <c r="BS381" s="99">
        <v>0</v>
      </c>
      <c r="BT381" s="1130">
        <v>0</v>
      </c>
      <c r="BU381" s="99">
        <v>0</v>
      </c>
      <c r="BV381" s="99">
        <v>0</v>
      </c>
      <c r="BW381" s="99">
        <v>0</v>
      </c>
      <c r="BX381" s="1131">
        <v>60506</v>
      </c>
      <c r="BY381" s="99">
        <v>0</v>
      </c>
      <c r="BZ381" s="99">
        <v>0</v>
      </c>
      <c r="CA381" s="1131">
        <v>900973</v>
      </c>
      <c r="CB381" s="99">
        <v>0</v>
      </c>
      <c r="CC381" s="99">
        <v>0</v>
      </c>
      <c r="CD381" s="99">
        <v>0</v>
      </c>
      <c r="CE381" s="99">
        <v>0</v>
      </c>
      <c r="CF381" s="1131">
        <v>2505682</v>
      </c>
    </row>
    <row r="382" spans="1:84" x14ac:dyDescent="0.3">
      <c r="A382" s="99">
        <v>557</v>
      </c>
      <c r="B382" s="315">
        <v>557</v>
      </c>
      <c r="C382" s="99">
        <v>557</v>
      </c>
      <c r="D382" s="99" t="s">
        <v>583</v>
      </c>
      <c r="E382" s="99" t="s">
        <v>584</v>
      </c>
      <c r="F382" s="1131">
        <v>1400476</v>
      </c>
      <c r="G382" s="99">
        <v>0</v>
      </c>
      <c r="H382" s="99">
        <v>0</v>
      </c>
      <c r="I382" s="1130">
        <v>0</v>
      </c>
      <c r="J382" s="99">
        <v>0</v>
      </c>
      <c r="K382" s="99">
        <v>0</v>
      </c>
      <c r="L382" s="99">
        <v>0</v>
      </c>
      <c r="M382" s="99">
        <v>0</v>
      </c>
      <c r="N382" s="1130">
        <v>2123114</v>
      </c>
      <c r="O382" s="1131">
        <v>8452939</v>
      </c>
      <c r="P382" s="99">
        <v>0</v>
      </c>
      <c r="Q382" s="99">
        <v>0</v>
      </c>
      <c r="R382" s="1130">
        <v>0</v>
      </c>
      <c r="S382" s="1130">
        <v>0</v>
      </c>
      <c r="T382" s="99">
        <v>0</v>
      </c>
      <c r="U382" s="99">
        <v>0</v>
      </c>
      <c r="V382" s="99">
        <v>0</v>
      </c>
      <c r="W382" s="99">
        <v>0</v>
      </c>
      <c r="X382" s="99">
        <v>0</v>
      </c>
      <c r="Y382" s="99">
        <v>0</v>
      </c>
      <c r="Z382" s="1130">
        <v>0</v>
      </c>
      <c r="AA382" s="1131">
        <v>859701</v>
      </c>
      <c r="AB382" s="1131">
        <v>500000</v>
      </c>
      <c r="AC382" s="99">
        <v>0</v>
      </c>
      <c r="AD382" s="1130">
        <v>0</v>
      </c>
      <c r="AE382" s="1131">
        <v>896906</v>
      </c>
      <c r="AF382" s="99">
        <v>0</v>
      </c>
      <c r="AG382" s="99">
        <v>0</v>
      </c>
      <c r="AH382" s="1131">
        <v>3490071</v>
      </c>
      <c r="AI382" s="99">
        <v>0</v>
      </c>
      <c r="AJ382" s="99">
        <v>0</v>
      </c>
      <c r="AK382" s="99">
        <v>0</v>
      </c>
      <c r="AL382" s="99">
        <v>0</v>
      </c>
      <c r="AM382" s="99">
        <v>0</v>
      </c>
      <c r="AN382" s="99">
        <v>0</v>
      </c>
      <c r="AO382" s="99">
        <v>0</v>
      </c>
      <c r="AP382" s="1131">
        <v>767070</v>
      </c>
      <c r="AQ382" s="99">
        <v>0</v>
      </c>
      <c r="AR382" s="99">
        <v>0</v>
      </c>
      <c r="AS382" s="99">
        <v>0</v>
      </c>
      <c r="AT382" s="99">
        <v>0</v>
      </c>
      <c r="AU382" s="99">
        <v>0</v>
      </c>
      <c r="AV382" s="99">
        <v>0</v>
      </c>
      <c r="AW382" s="1131">
        <v>10931434</v>
      </c>
      <c r="AX382" s="1131">
        <v>2500000</v>
      </c>
      <c r="AY382" s="1130">
        <v>0</v>
      </c>
      <c r="AZ382" s="99">
        <v>0</v>
      </c>
      <c r="BA382" s="99">
        <v>0</v>
      </c>
      <c r="BB382" s="99">
        <v>0</v>
      </c>
      <c r="BC382" s="1130">
        <v>0</v>
      </c>
      <c r="BD382" s="99">
        <v>0</v>
      </c>
      <c r="BE382" s="99">
        <v>0</v>
      </c>
      <c r="BF382" s="99">
        <v>0</v>
      </c>
      <c r="BG382" s="1130">
        <v>0</v>
      </c>
      <c r="BH382" s="1131">
        <v>349445</v>
      </c>
      <c r="BI382" s="99">
        <v>0</v>
      </c>
      <c r="BJ382" s="1130">
        <v>653282</v>
      </c>
      <c r="BK382" s="1131">
        <v>1872131</v>
      </c>
      <c r="BL382" s="99">
        <v>0</v>
      </c>
      <c r="BM382" s="99">
        <v>0</v>
      </c>
      <c r="BN382" s="99">
        <v>0</v>
      </c>
      <c r="BO382" s="1131">
        <v>533778</v>
      </c>
      <c r="BP382" s="99">
        <v>0</v>
      </c>
      <c r="BQ382" s="1131">
        <v>1242054</v>
      </c>
      <c r="BR382" s="1130">
        <v>4224777</v>
      </c>
      <c r="BS382" s="99">
        <v>0</v>
      </c>
      <c r="BT382" s="99">
        <v>0</v>
      </c>
      <c r="BU382" s="99">
        <v>0</v>
      </c>
      <c r="BV382" s="99">
        <v>0</v>
      </c>
      <c r="BW382" s="99">
        <v>0</v>
      </c>
      <c r="BX382" s="99">
        <v>0</v>
      </c>
      <c r="BY382" s="99">
        <v>0</v>
      </c>
      <c r="BZ382" s="99">
        <v>0</v>
      </c>
      <c r="CA382" s="1131">
        <v>704269</v>
      </c>
      <c r="CB382" s="99">
        <v>0</v>
      </c>
      <c r="CC382" s="99">
        <v>0</v>
      </c>
      <c r="CD382" s="99">
        <v>0</v>
      </c>
      <c r="CE382" s="99">
        <v>0</v>
      </c>
      <c r="CF382" s="1131">
        <v>2083826</v>
      </c>
    </row>
    <row r="383" spans="1:84" x14ac:dyDescent="0.3">
      <c r="A383" s="99">
        <v>606</v>
      </c>
      <c r="B383" s="315">
        <v>606</v>
      </c>
      <c r="C383" s="99">
        <v>606</v>
      </c>
      <c r="D383" s="99" t="s">
        <v>713</v>
      </c>
      <c r="F383" s="99">
        <v>1</v>
      </c>
      <c r="G383" s="99">
        <v>0</v>
      </c>
      <c r="H383" s="99">
        <v>0</v>
      </c>
      <c r="I383" s="99">
        <v>0</v>
      </c>
      <c r="J383" s="99">
        <v>0</v>
      </c>
      <c r="K383" s="99">
        <v>0</v>
      </c>
      <c r="L383" s="99">
        <v>0</v>
      </c>
      <c r="M383" s="99">
        <v>1</v>
      </c>
      <c r="N383" s="99">
        <v>1</v>
      </c>
      <c r="O383" s="99">
        <v>1</v>
      </c>
      <c r="P383" s="99">
        <v>0</v>
      </c>
      <c r="Q383" s="99">
        <v>0</v>
      </c>
      <c r="R383" s="99">
        <v>0</v>
      </c>
      <c r="S383" s="99">
        <v>1</v>
      </c>
      <c r="T383" s="99">
        <v>0</v>
      </c>
      <c r="U383" s="99">
        <v>1</v>
      </c>
      <c r="V383" s="99">
        <v>0</v>
      </c>
      <c r="W383" s="99">
        <v>0</v>
      </c>
      <c r="X383" s="99">
        <v>0</v>
      </c>
      <c r="Y383" s="99">
        <v>0</v>
      </c>
      <c r="Z383" s="99">
        <v>0</v>
      </c>
      <c r="AA383" s="99">
        <v>1</v>
      </c>
      <c r="AB383" s="99">
        <v>1</v>
      </c>
      <c r="AC383" s="99">
        <v>0</v>
      </c>
      <c r="AD383" s="99">
        <v>0</v>
      </c>
      <c r="AE383" s="99">
        <v>1</v>
      </c>
      <c r="AF383" s="99">
        <v>0</v>
      </c>
      <c r="AG383" s="99">
        <v>0</v>
      </c>
      <c r="AH383" s="99">
        <v>1</v>
      </c>
      <c r="AI383" s="99">
        <v>0</v>
      </c>
      <c r="AJ383" s="99">
        <v>0</v>
      </c>
      <c r="AK383" s="99">
        <v>1</v>
      </c>
      <c r="AL383" s="99">
        <v>0</v>
      </c>
      <c r="AM383" s="99">
        <v>0</v>
      </c>
      <c r="AN383" s="99">
        <v>0</v>
      </c>
      <c r="AO383" s="99">
        <v>0</v>
      </c>
      <c r="AP383" s="99">
        <v>1</v>
      </c>
      <c r="AQ383" s="99">
        <v>0</v>
      </c>
      <c r="AR383" s="99">
        <v>0</v>
      </c>
      <c r="AS383" s="99">
        <v>0</v>
      </c>
      <c r="AT383" s="99">
        <v>0</v>
      </c>
      <c r="AU383" s="99">
        <v>0</v>
      </c>
      <c r="AV383" s="99">
        <v>0</v>
      </c>
      <c r="AW383" s="99">
        <v>1</v>
      </c>
      <c r="AX383" s="99">
        <v>1</v>
      </c>
      <c r="AY383" s="99">
        <v>0</v>
      </c>
      <c r="AZ383" s="99">
        <v>0</v>
      </c>
      <c r="BA383" s="99">
        <v>0</v>
      </c>
      <c r="BB383" s="99">
        <v>0</v>
      </c>
      <c r="BC383" s="99">
        <v>0</v>
      </c>
      <c r="BD383" s="99">
        <v>0</v>
      </c>
      <c r="BE383" s="99">
        <v>0</v>
      </c>
      <c r="BF383" s="99">
        <v>0</v>
      </c>
      <c r="BG383" s="99">
        <v>0</v>
      </c>
      <c r="BH383" s="99">
        <v>1</v>
      </c>
      <c r="BI383" s="99">
        <v>0</v>
      </c>
      <c r="BJ383" s="99">
        <v>1</v>
      </c>
      <c r="BK383" s="99">
        <v>1</v>
      </c>
      <c r="BL383" s="99">
        <v>0</v>
      </c>
      <c r="BM383" s="99">
        <v>0</v>
      </c>
      <c r="BN383" s="99">
        <v>1</v>
      </c>
      <c r="BO383" s="99">
        <v>1</v>
      </c>
      <c r="BP383" s="99">
        <v>0</v>
      </c>
      <c r="BQ383" s="99">
        <v>1</v>
      </c>
      <c r="BR383" s="99">
        <v>1</v>
      </c>
      <c r="BS383" s="99">
        <v>1</v>
      </c>
      <c r="BT383" s="99">
        <v>0</v>
      </c>
      <c r="BU383" s="99">
        <v>0</v>
      </c>
      <c r="BV383" s="99">
        <v>0</v>
      </c>
      <c r="BW383" s="99">
        <v>0</v>
      </c>
      <c r="BX383" s="99">
        <v>1</v>
      </c>
      <c r="BY383" s="99">
        <v>0</v>
      </c>
      <c r="BZ383" s="99">
        <v>0</v>
      </c>
      <c r="CA383" s="99">
        <v>1</v>
      </c>
      <c r="CB383" s="99">
        <v>0</v>
      </c>
      <c r="CC383" s="99">
        <v>0</v>
      </c>
      <c r="CD383" s="99">
        <v>0</v>
      </c>
      <c r="CE383" s="99">
        <v>0</v>
      </c>
      <c r="CF383" s="99">
        <v>1</v>
      </c>
    </row>
    <row r="384" spans="1:84" x14ac:dyDescent="0.3">
      <c r="A384" s="99">
        <v>661</v>
      </c>
      <c r="B384" s="315">
        <v>661</v>
      </c>
      <c r="C384" s="99">
        <v>661</v>
      </c>
      <c r="D384" s="99" t="s">
        <v>820</v>
      </c>
      <c r="F384" s="99">
        <v>0</v>
      </c>
      <c r="G384" s="99">
        <v>0</v>
      </c>
      <c r="H384" s="99">
        <v>0</v>
      </c>
      <c r="I384" s="99">
        <v>0</v>
      </c>
      <c r="J384" s="99">
        <v>0</v>
      </c>
      <c r="K384" s="99">
        <v>0</v>
      </c>
      <c r="L384" s="99">
        <v>0</v>
      </c>
      <c r="M384" s="99">
        <v>0</v>
      </c>
      <c r="N384" s="1131">
        <v>0</v>
      </c>
      <c r="O384" s="99">
        <v>0</v>
      </c>
      <c r="P384" s="99">
        <v>0</v>
      </c>
      <c r="Q384" s="99">
        <v>0</v>
      </c>
      <c r="R384" s="1131">
        <v>0</v>
      </c>
      <c r="S384" s="1131">
        <v>0</v>
      </c>
      <c r="T384" s="99">
        <v>0</v>
      </c>
      <c r="U384" s="99">
        <v>0</v>
      </c>
      <c r="V384" s="99">
        <v>0</v>
      </c>
      <c r="W384" s="99">
        <v>0</v>
      </c>
      <c r="X384" s="99">
        <v>0</v>
      </c>
      <c r="Y384" s="99">
        <v>0</v>
      </c>
      <c r="Z384" s="99">
        <v>0</v>
      </c>
      <c r="AA384" s="99">
        <v>0</v>
      </c>
      <c r="AB384" s="99">
        <v>0</v>
      </c>
      <c r="AC384" s="99">
        <v>0</v>
      </c>
      <c r="AD384" s="99">
        <v>0</v>
      </c>
      <c r="AE384" s="99">
        <v>0</v>
      </c>
      <c r="AF384" s="99">
        <v>0</v>
      </c>
      <c r="AG384" s="99">
        <v>0</v>
      </c>
      <c r="AH384" s="99">
        <v>0</v>
      </c>
      <c r="AI384" s="99">
        <v>0</v>
      </c>
      <c r="AJ384" s="99">
        <v>0</v>
      </c>
      <c r="AK384" s="99">
        <v>0</v>
      </c>
      <c r="AL384" s="99">
        <v>0</v>
      </c>
      <c r="AM384" s="99">
        <v>0</v>
      </c>
      <c r="AN384" s="99">
        <v>0</v>
      </c>
      <c r="AO384" s="99">
        <v>0</v>
      </c>
      <c r="AP384" s="99">
        <v>0</v>
      </c>
      <c r="AQ384" s="99">
        <v>0</v>
      </c>
      <c r="AR384" s="99">
        <v>0</v>
      </c>
      <c r="AS384" s="99">
        <v>0</v>
      </c>
      <c r="AT384" s="99">
        <v>0</v>
      </c>
      <c r="AU384" s="99">
        <v>0</v>
      </c>
      <c r="AV384" s="99">
        <v>0</v>
      </c>
      <c r="AW384" s="99">
        <v>17</v>
      </c>
      <c r="AX384" s="99">
        <v>12</v>
      </c>
      <c r="AY384" s="99">
        <v>0</v>
      </c>
      <c r="AZ384" s="99">
        <v>0</v>
      </c>
      <c r="BA384" s="99">
        <v>0</v>
      </c>
      <c r="BB384" s="99">
        <v>0</v>
      </c>
      <c r="BC384" s="1131">
        <v>0</v>
      </c>
      <c r="BD384" s="99">
        <v>0</v>
      </c>
      <c r="BE384" s="99">
        <v>0</v>
      </c>
      <c r="BF384" s="99">
        <v>0</v>
      </c>
      <c r="BG384" s="99">
        <v>0</v>
      </c>
      <c r="BH384" s="99">
        <v>0</v>
      </c>
      <c r="BI384" s="99">
        <v>0</v>
      </c>
      <c r="BJ384" s="1131">
        <v>0</v>
      </c>
      <c r="BK384" s="99">
        <v>0</v>
      </c>
      <c r="BL384" s="99">
        <v>0</v>
      </c>
      <c r="BM384" s="99">
        <v>0</v>
      </c>
      <c r="BN384" s="99">
        <v>0</v>
      </c>
      <c r="BO384" s="99">
        <v>0</v>
      </c>
      <c r="BP384" s="99">
        <v>0</v>
      </c>
      <c r="BQ384" s="99">
        <v>0</v>
      </c>
      <c r="BR384" s="99">
        <v>0</v>
      </c>
      <c r="BS384" s="99">
        <v>0</v>
      </c>
      <c r="BT384" s="99">
        <v>0</v>
      </c>
      <c r="BU384" s="99">
        <v>0</v>
      </c>
      <c r="BV384" s="99">
        <v>0</v>
      </c>
      <c r="BW384" s="99">
        <v>0</v>
      </c>
      <c r="BX384" s="99">
        <v>0</v>
      </c>
      <c r="BY384" s="99">
        <v>0</v>
      </c>
      <c r="BZ384" s="99">
        <v>0</v>
      </c>
      <c r="CA384" s="99">
        <v>12</v>
      </c>
      <c r="CB384" s="99">
        <v>0</v>
      </c>
      <c r="CC384" s="99">
        <v>0</v>
      </c>
      <c r="CD384" s="99">
        <v>0</v>
      </c>
      <c r="CE384" s="99">
        <v>0</v>
      </c>
      <c r="CF384" s="99">
        <v>0</v>
      </c>
    </row>
    <row r="385" spans="1:84" x14ac:dyDescent="0.3">
      <c r="A385" s="99">
        <v>663</v>
      </c>
      <c r="B385" s="315">
        <v>663</v>
      </c>
      <c r="C385" s="99">
        <v>663</v>
      </c>
      <c r="D385" s="99" t="s">
        <v>858</v>
      </c>
      <c r="F385" s="99">
        <v>0</v>
      </c>
      <c r="G385" s="99">
        <v>0</v>
      </c>
      <c r="H385" s="99">
        <v>0</v>
      </c>
      <c r="I385" s="1131">
        <v>0</v>
      </c>
      <c r="J385" s="99">
        <v>0</v>
      </c>
      <c r="K385" s="99">
        <v>0</v>
      </c>
      <c r="L385" s="99">
        <v>0</v>
      </c>
      <c r="M385" s="99">
        <v>0</v>
      </c>
      <c r="N385" s="99">
        <v>0</v>
      </c>
      <c r="O385" s="1131">
        <v>23184</v>
      </c>
      <c r="P385" s="99">
        <v>0</v>
      </c>
      <c r="Q385" s="99">
        <v>0</v>
      </c>
      <c r="R385" s="99">
        <v>0</v>
      </c>
      <c r="S385" s="99">
        <v>0</v>
      </c>
      <c r="T385" s="99">
        <v>0</v>
      </c>
      <c r="U385" s="99">
        <v>0</v>
      </c>
      <c r="V385" s="99">
        <v>0</v>
      </c>
      <c r="W385" s="99">
        <v>0</v>
      </c>
      <c r="X385" s="99">
        <v>0</v>
      </c>
      <c r="Y385" s="99">
        <v>0</v>
      </c>
      <c r="Z385" s="99">
        <v>0</v>
      </c>
      <c r="AA385" s="99">
        <v>0</v>
      </c>
      <c r="AB385" s="99">
        <v>0</v>
      </c>
      <c r="AC385" s="99">
        <v>0</v>
      </c>
      <c r="AD385" s="99">
        <v>0</v>
      </c>
      <c r="AE385" s="99">
        <v>0</v>
      </c>
      <c r="AF385" s="99">
        <v>0</v>
      </c>
      <c r="AG385" s="99">
        <v>0</v>
      </c>
      <c r="AH385" s="99">
        <v>0</v>
      </c>
      <c r="AI385" s="99">
        <v>0</v>
      </c>
      <c r="AJ385" s="99">
        <v>0</v>
      </c>
      <c r="AK385" s="99">
        <v>0</v>
      </c>
      <c r="AL385" s="99">
        <v>0</v>
      </c>
      <c r="AM385" s="99">
        <v>0</v>
      </c>
      <c r="AN385" s="99">
        <v>0</v>
      </c>
      <c r="AO385" s="99">
        <v>0</v>
      </c>
      <c r="AP385" s="99">
        <v>0</v>
      </c>
      <c r="AQ385" s="99">
        <v>0</v>
      </c>
      <c r="AR385" s="99">
        <v>0</v>
      </c>
      <c r="AS385" s="99">
        <v>0</v>
      </c>
      <c r="AT385" s="99">
        <v>0</v>
      </c>
      <c r="AU385" s="99">
        <v>0</v>
      </c>
      <c r="AV385" s="99">
        <v>0</v>
      </c>
      <c r="AW385" s="1131">
        <v>8082101</v>
      </c>
      <c r="AX385" s="99">
        <v>0</v>
      </c>
      <c r="AY385" s="99">
        <v>0</v>
      </c>
      <c r="AZ385" s="99">
        <v>0</v>
      </c>
      <c r="BA385" s="99">
        <v>0</v>
      </c>
      <c r="BB385" s="99">
        <v>0</v>
      </c>
      <c r="BC385" s="99">
        <v>0</v>
      </c>
      <c r="BD385" s="99">
        <v>0</v>
      </c>
      <c r="BE385" s="99">
        <v>0</v>
      </c>
      <c r="BF385" s="99">
        <v>0</v>
      </c>
      <c r="BG385" s="99">
        <v>0</v>
      </c>
      <c r="BH385" s="99">
        <v>0</v>
      </c>
      <c r="BI385" s="99">
        <v>0</v>
      </c>
      <c r="BJ385" s="1131">
        <v>26757</v>
      </c>
      <c r="BK385" s="99">
        <v>0</v>
      </c>
      <c r="BL385" s="99">
        <v>0</v>
      </c>
      <c r="BM385" s="99">
        <v>0</v>
      </c>
      <c r="BN385" s="1131">
        <v>40485</v>
      </c>
      <c r="BO385" s="1131">
        <v>14639</v>
      </c>
      <c r="BP385" s="99">
        <v>0</v>
      </c>
      <c r="BQ385" s="1131">
        <v>189459</v>
      </c>
      <c r="BR385" s="1131">
        <v>42510</v>
      </c>
      <c r="BS385" s="99">
        <v>0</v>
      </c>
      <c r="BT385" s="99">
        <v>0</v>
      </c>
      <c r="BU385" s="99">
        <v>0</v>
      </c>
      <c r="BV385" s="99">
        <v>0</v>
      </c>
      <c r="BW385" s="99">
        <v>0</v>
      </c>
      <c r="BX385" s="99">
        <v>0</v>
      </c>
      <c r="BY385" s="99">
        <v>0</v>
      </c>
      <c r="BZ385" s="99">
        <v>0</v>
      </c>
      <c r="CA385" s="99">
        <v>0</v>
      </c>
      <c r="CB385" s="99">
        <v>0</v>
      </c>
      <c r="CC385" s="99">
        <v>0</v>
      </c>
      <c r="CD385" s="99">
        <v>0</v>
      </c>
      <c r="CE385" s="99">
        <v>0</v>
      </c>
      <c r="CF385" s="99">
        <v>0</v>
      </c>
    </row>
    <row r="386" spans="1:84" x14ac:dyDescent="0.3">
      <c r="A386" s="99">
        <v>577</v>
      </c>
      <c r="B386" s="315">
        <v>577</v>
      </c>
      <c r="C386" s="99">
        <v>577</v>
      </c>
      <c r="D386" s="99" t="s">
        <v>644</v>
      </c>
      <c r="E386" s="99" t="s">
        <v>645</v>
      </c>
      <c r="F386" s="99">
        <v>2</v>
      </c>
      <c r="G386" s="99">
        <v>2</v>
      </c>
      <c r="H386" s="99">
        <v>2</v>
      </c>
      <c r="I386" s="99">
        <v>2</v>
      </c>
      <c r="J386" s="99">
        <v>2</v>
      </c>
      <c r="K386" s="99">
        <v>2</v>
      </c>
      <c r="L386" s="99">
        <v>2</v>
      </c>
      <c r="M386" s="99">
        <v>0</v>
      </c>
      <c r="N386" s="99">
        <v>2</v>
      </c>
      <c r="O386" s="99">
        <v>2</v>
      </c>
      <c r="P386" s="99">
        <v>2</v>
      </c>
      <c r="Q386" s="99">
        <v>0</v>
      </c>
      <c r="R386" s="99">
        <v>2</v>
      </c>
      <c r="S386" s="99">
        <v>2</v>
      </c>
      <c r="T386" s="99">
        <v>0</v>
      </c>
      <c r="U386" s="99">
        <v>2</v>
      </c>
      <c r="V386" s="99">
        <v>0</v>
      </c>
      <c r="W386" s="99">
        <v>2</v>
      </c>
      <c r="X386" s="99">
        <v>2</v>
      </c>
      <c r="Y386" s="99">
        <v>0</v>
      </c>
      <c r="Z386" s="99">
        <v>0</v>
      </c>
      <c r="AA386" s="99">
        <v>2</v>
      </c>
      <c r="AB386" s="99">
        <v>2</v>
      </c>
      <c r="AC386" s="99">
        <v>0</v>
      </c>
      <c r="AD386" s="99">
        <v>2</v>
      </c>
      <c r="AE386" s="99">
        <v>2</v>
      </c>
      <c r="AF386" s="99">
        <v>2</v>
      </c>
      <c r="AG386" s="99">
        <v>0</v>
      </c>
      <c r="AH386" s="99">
        <v>1</v>
      </c>
      <c r="AI386" s="99">
        <v>0</v>
      </c>
      <c r="AJ386" s="99">
        <v>2</v>
      </c>
      <c r="AK386" s="99">
        <v>2</v>
      </c>
      <c r="AL386" s="99">
        <v>2</v>
      </c>
      <c r="AM386" s="99">
        <v>2</v>
      </c>
      <c r="AN386" s="99">
        <v>0</v>
      </c>
      <c r="AO386" s="99">
        <v>2</v>
      </c>
      <c r="AP386" s="99">
        <v>2</v>
      </c>
      <c r="AQ386" s="99">
        <v>2</v>
      </c>
      <c r="AR386" s="99">
        <v>2</v>
      </c>
      <c r="AS386" s="99">
        <v>2</v>
      </c>
      <c r="AT386" s="99">
        <v>0</v>
      </c>
      <c r="AU386" s="99">
        <v>0</v>
      </c>
      <c r="AV386" s="99">
        <v>2</v>
      </c>
      <c r="AW386" s="99">
        <v>2</v>
      </c>
      <c r="AX386" s="99">
        <v>2</v>
      </c>
      <c r="AY386" s="99">
        <v>2</v>
      </c>
      <c r="AZ386" s="99">
        <v>2</v>
      </c>
      <c r="BA386" s="99">
        <v>2</v>
      </c>
      <c r="BB386" s="99">
        <v>2</v>
      </c>
      <c r="BC386" s="99">
        <v>0</v>
      </c>
      <c r="BD386" s="99">
        <v>2</v>
      </c>
      <c r="BE386" s="99">
        <v>2</v>
      </c>
      <c r="BF386" s="99">
        <v>2</v>
      </c>
      <c r="BG386" s="99">
        <v>0</v>
      </c>
      <c r="BH386" s="99">
        <v>2</v>
      </c>
      <c r="BI386" s="99">
        <v>0</v>
      </c>
      <c r="BJ386" s="99">
        <v>2</v>
      </c>
      <c r="BK386" s="99">
        <v>2</v>
      </c>
      <c r="BL386" s="99">
        <v>0</v>
      </c>
      <c r="BM386" s="99">
        <v>0</v>
      </c>
      <c r="BN386" s="99">
        <v>2</v>
      </c>
      <c r="BO386" s="99">
        <v>2</v>
      </c>
      <c r="BP386" s="99">
        <v>0</v>
      </c>
      <c r="BQ386" s="99">
        <v>2</v>
      </c>
      <c r="BR386" s="99">
        <v>2</v>
      </c>
      <c r="BS386" s="99">
        <v>2</v>
      </c>
      <c r="BT386" s="99">
        <v>2</v>
      </c>
      <c r="BU386" s="99">
        <v>2</v>
      </c>
      <c r="BV386" s="99">
        <v>2</v>
      </c>
      <c r="BW386" s="99">
        <v>0</v>
      </c>
      <c r="BX386" s="99">
        <v>2</v>
      </c>
      <c r="BY386" s="99">
        <v>2</v>
      </c>
      <c r="BZ386" s="99">
        <v>2</v>
      </c>
      <c r="CA386" s="99">
        <v>2</v>
      </c>
      <c r="CB386" s="99">
        <v>0</v>
      </c>
      <c r="CC386" s="99">
        <v>2</v>
      </c>
      <c r="CD386" s="99">
        <v>2</v>
      </c>
      <c r="CE386" s="99">
        <v>2</v>
      </c>
      <c r="CF386" s="99">
        <v>2</v>
      </c>
    </row>
    <row r="387" spans="1:84" x14ac:dyDescent="0.3">
      <c r="A387" s="99">
        <v>620</v>
      </c>
      <c r="B387" s="315">
        <v>620</v>
      </c>
      <c r="C387" s="99">
        <v>620</v>
      </c>
      <c r="D387" s="99" t="s">
        <v>700</v>
      </c>
      <c r="F387" s="99">
        <v>2</v>
      </c>
      <c r="G387" s="99">
        <v>2</v>
      </c>
      <c r="H387" s="99">
        <v>2</v>
      </c>
      <c r="I387" s="99">
        <v>2</v>
      </c>
      <c r="J387" s="99">
        <v>2</v>
      </c>
      <c r="K387" s="99">
        <v>2</v>
      </c>
      <c r="L387" s="99">
        <v>2</v>
      </c>
      <c r="M387" s="99">
        <v>2</v>
      </c>
      <c r="N387" s="99">
        <v>2</v>
      </c>
      <c r="O387" s="99">
        <v>1</v>
      </c>
      <c r="P387" s="99">
        <v>2</v>
      </c>
      <c r="Q387" s="99">
        <v>2</v>
      </c>
      <c r="R387" s="99">
        <v>2</v>
      </c>
      <c r="S387" s="99">
        <v>2</v>
      </c>
      <c r="T387" s="99">
        <v>2</v>
      </c>
      <c r="U387" s="99">
        <v>2</v>
      </c>
      <c r="V387" s="99">
        <v>0</v>
      </c>
      <c r="W387" s="99">
        <v>2</v>
      </c>
      <c r="X387" s="99">
        <v>1</v>
      </c>
      <c r="Y387" s="99">
        <v>2</v>
      </c>
      <c r="Z387" s="99">
        <v>0</v>
      </c>
      <c r="AA387" s="99">
        <v>2</v>
      </c>
      <c r="AB387" s="99">
        <v>2</v>
      </c>
      <c r="AC387" s="99">
        <v>2</v>
      </c>
      <c r="AD387" s="99">
        <v>2</v>
      </c>
      <c r="AE387" s="99">
        <v>2</v>
      </c>
      <c r="AF387" s="99">
        <v>2</v>
      </c>
      <c r="AG387" s="99">
        <v>0</v>
      </c>
      <c r="AH387" s="99">
        <v>2</v>
      </c>
      <c r="AI387" s="99">
        <v>2</v>
      </c>
      <c r="AJ387" s="99">
        <v>2</v>
      </c>
      <c r="AK387" s="99">
        <v>1</v>
      </c>
      <c r="AL387" s="99">
        <v>2</v>
      </c>
      <c r="AM387" s="99">
        <v>2</v>
      </c>
      <c r="AN387" s="99">
        <v>0</v>
      </c>
      <c r="AO387" s="99">
        <v>2</v>
      </c>
      <c r="AP387" s="99">
        <v>2</v>
      </c>
      <c r="AQ387" s="99">
        <v>2</v>
      </c>
      <c r="AR387" s="99">
        <v>2</v>
      </c>
      <c r="AS387" s="99">
        <v>2</v>
      </c>
      <c r="AT387" s="99">
        <v>2</v>
      </c>
      <c r="AU387" s="99">
        <v>0</v>
      </c>
      <c r="AV387" s="99">
        <v>2</v>
      </c>
      <c r="AW387" s="99">
        <v>1</v>
      </c>
      <c r="AX387" s="99">
        <v>1</v>
      </c>
      <c r="AY387" s="99">
        <v>1</v>
      </c>
      <c r="AZ387" s="99">
        <v>2</v>
      </c>
      <c r="BA387" s="99">
        <v>2</v>
      </c>
      <c r="BB387" s="99">
        <v>2</v>
      </c>
      <c r="BC387" s="99">
        <v>0</v>
      </c>
      <c r="BD387" s="99">
        <v>2</v>
      </c>
      <c r="BE387" s="99">
        <v>2</v>
      </c>
      <c r="BF387" s="99">
        <v>2</v>
      </c>
      <c r="BG387" s="99">
        <v>2</v>
      </c>
      <c r="BH387" s="99">
        <v>1</v>
      </c>
      <c r="BI387" s="99">
        <v>2</v>
      </c>
      <c r="BJ387" s="99">
        <v>2</v>
      </c>
      <c r="BK387" s="99">
        <v>0</v>
      </c>
      <c r="BL387" s="99">
        <v>2</v>
      </c>
      <c r="BM387" s="99">
        <v>2</v>
      </c>
      <c r="BN387" s="99">
        <v>1</v>
      </c>
      <c r="BO387" s="99">
        <v>1</v>
      </c>
      <c r="BP387" s="99">
        <v>0</v>
      </c>
      <c r="BQ387" s="99">
        <v>1</v>
      </c>
      <c r="BR387" s="99">
        <v>1</v>
      </c>
      <c r="BS387" s="99">
        <v>2</v>
      </c>
      <c r="BT387" s="99">
        <v>1</v>
      </c>
      <c r="BU387" s="99">
        <v>2</v>
      </c>
      <c r="BV387" s="99">
        <v>2</v>
      </c>
      <c r="BW387" s="99">
        <v>2</v>
      </c>
      <c r="BX387" s="99">
        <v>2</v>
      </c>
      <c r="BY387" s="99">
        <v>1</v>
      </c>
      <c r="BZ387" s="99">
        <v>2</v>
      </c>
      <c r="CA387" s="99">
        <v>1</v>
      </c>
      <c r="CB387" s="99">
        <v>0</v>
      </c>
      <c r="CC387" s="99">
        <v>2</v>
      </c>
      <c r="CD387" s="99">
        <v>2</v>
      </c>
      <c r="CE387" s="99">
        <v>2</v>
      </c>
      <c r="CF387" s="99">
        <v>2</v>
      </c>
    </row>
    <row r="388" spans="1:84" x14ac:dyDescent="0.3">
      <c r="A388" s="99">
        <v>545</v>
      </c>
      <c r="C388" s="99">
        <v>545</v>
      </c>
      <c r="D388" s="99" t="s">
        <v>54</v>
      </c>
      <c r="E388" s="99" t="s">
        <v>512</v>
      </c>
      <c r="F388" s="99">
        <v>0</v>
      </c>
      <c r="G388" s="99">
        <v>0</v>
      </c>
      <c r="H388" s="99">
        <v>0</v>
      </c>
      <c r="I388" s="99">
        <v>0</v>
      </c>
      <c r="J388" s="99">
        <v>0</v>
      </c>
      <c r="K388" s="99">
        <v>0</v>
      </c>
      <c r="L388" s="99">
        <v>0</v>
      </c>
      <c r="M388" s="99">
        <v>0</v>
      </c>
      <c r="N388" s="99">
        <v>0</v>
      </c>
      <c r="O388" s="99">
        <v>0</v>
      </c>
      <c r="P388" s="99">
        <v>0</v>
      </c>
      <c r="Q388" s="99">
        <v>0</v>
      </c>
      <c r="R388" s="99">
        <v>0</v>
      </c>
      <c r="S388" s="99">
        <v>0</v>
      </c>
      <c r="T388" s="99">
        <v>0</v>
      </c>
      <c r="U388" s="99">
        <v>0</v>
      </c>
      <c r="V388" s="99">
        <v>0</v>
      </c>
      <c r="W388" s="99">
        <v>0</v>
      </c>
      <c r="X388" s="99">
        <v>0</v>
      </c>
      <c r="Y388" s="99">
        <v>0</v>
      </c>
      <c r="Z388" s="99">
        <v>0</v>
      </c>
      <c r="AA388" s="99">
        <v>0</v>
      </c>
      <c r="AB388" s="99">
        <v>0</v>
      </c>
      <c r="AC388" s="99">
        <v>0</v>
      </c>
      <c r="AD388" s="99">
        <v>0</v>
      </c>
      <c r="AE388" s="99">
        <v>0</v>
      </c>
      <c r="AF388" s="99">
        <v>0</v>
      </c>
      <c r="AG388" s="99">
        <v>0</v>
      </c>
      <c r="AH388" s="99">
        <v>0</v>
      </c>
      <c r="AI388" s="99">
        <v>0</v>
      </c>
      <c r="AJ388" s="99">
        <v>0</v>
      </c>
      <c r="AK388" s="99">
        <v>0</v>
      </c>
      <c r="AL388" s="99">
        <v>0</v>
      </c>
      <c r="AM388" s="99">
        <v>0</v>
      </c>
      <c r="AN388" s="99">
        <v>0</v>
      </c>
      <c r="AO388" s="99">
        <v>0.02</v>
      </c>
      <c r="AP388" s="99">
        <v>0</v>
      </c>
      <c r="AQ388" s="99">
        <v>0</v>
      </c>
      <c r="AR388" s="99">
        <v>0</v>
      </c>
      <c r="AS388" s="99">
        <v>0</v>
      </c>
      <c r="AT388" s="99">
        <v>0</v>
      </c>
      <c r="AU388" s="99">
        <v>0</v>
      </c>
      <c r="AV388" s="99">
        <v>0</v>
      </c>
      <c r="AW388" s="99">
        <v>0</v>
      </c>
      <c r="AX388" s="99">
        <v>0</v>
      </c>
      <c r="AY388" s="99">
        <v>0</v>
      </c>
      <c r="AZ388" s="99">
        <v>0</v>
      </c>
      <c r="BA388" s="99">
        <v>0.44</v>
      </c>
      <c r="BB388" s="99">
        <v>0</v>
      </c>
      <c r="BC388" s="99">
        <v>0</v>
      </c>
      <c r="BD388" s="99">
        <v>0</v>
      </c>
      <c r="BE388" s="99">
        <v>0</v>
      </c>
      <c r="BF388" s="99">
        <v>0</v>
      </c>
      <c r="BG388" s="99">
        <v>0</v>
      </c>
      <c r="BH388" s="99">
        <v>0</v>
      </c>
      <c r="BI388" s="99">
        <v>0</v>
      </c>
      <c r="BJ388" s="99">
        <v>0</v>
      </c>
      <c r="BK388" s="99">
        <v>0</v>
      </c>
      <c r="BL388" s="99">
        <v>0</v>
      </c>
      <c r="BM388" s="99">
        <v>0</v>
      </c>
      <c r="BN388" s="99">
        <v>0</v>
      </c>
      <c r="BO388" s="99">
        <v>0</v>
      </c>
      <c r="BP388" s="99">
        <v>0</v>
      </c>
      <c r="BQ388" s="99">
        <v>0</v>
      </c>
      <c r="BR388" s="99">
        <v>0</v>
      </c>
      <c r="BS388" s="99">
        <v>0</v>
      </c>
      <c r="BT388" s="99">
        <v>0</v>
      </c>
      <c r="BU388" s="99">
        <v>0</v>
      </c>
      <c r="BV388" s="99">
        <v>0</v>
      </c>
      <c r="BW388" s="99">
        <v>0</v>
      </c>
      <c r="BX388" s="99">
        <v>0</v>
      </c>
      <c r="BY388" s="99">
        <v>0</v>
      </c>
      <c r="BZ388" s="99">
        <v>0</v>
      </c>
      <c r="CA388" s="99">
        <v>0</v>
      </c>
      <c r="CB388" s="99">
        <v>0</v>
      </c>
      <c r="CC388" s="99">
        <v>0</v>
      </c>
      <c r="CD388" s="99">
        <v>0</v>
      </c>
      <c r="CE388" s="99">
        <v>0</v>
      </c>
      <c r="CF388" s="99">
        <v>0</v>
      </c>
    </row>
    <row r="389" spans="1:84" x14ac:dyDescent="0.3">
      <c r="A389" s="99">
        <v>624</v>
      </c>
      <c r="B389" s="315">
        <v>624</v>
      </c>
      <c r="C389" s="99">
        <v>624</v>
      </c>
      <c r="D389" s="99" t="s">
        <v>718</v>
      </c>
      <c r="F389" s="99">
        <v>1</v>
      </c>
      <c r="G389" s="99">
        <v>1</v>
      </c>
      <c r="H389" s="99">
        <v>1</v>
      </c>
      <c r="I389" s="99">
        <v>1</v>
      </c>
      <c r="J389" s="99">
        <v>1</v>
      </c>
      <c r="K389" s="99">
        <v>1</v>
      </c>
      <c r="L389" s="99">
        <v>1</v>
      </c>
      <c r="M389" s="99">
        <v>1</v>
      </c>
      <c r="N389" s="99">
        <v>2</v>
      </c>
      <c r="O389" s="99">
        <v>1</v>
      </c>
      <c r="P389" s="99">
        <v>2</v>
      </c>
      <c r="Q389" s="99">
        <v>2</v>
      </c>
      <c r="R389" s="99">
        <v>2</v>
      </c>
      <c r="S389" s="99">
        <v>1</v>
      </c>
      <c r="T389" s="99">
        <v>1</v>
      </c>
      <c r="U389" s="99">
        <v>1</v>
      </c>
      <c r="V389" s="99">
        <v>0</v>
      </c>
      <c r="W389" s="99">
        <v>1</v>
      </c>
      <c r="X389" s="99">
        <v>1</v>
      </c>
      <c r="Y389" s="99">
        <v>1</v>
      </c>
      <c r="Z389" s="99">
        <v>0</v>
      </c>
      <c r="AA389" s="99">
        <v>1</v>
      </c>
      <c r="AB389" s="99">
        <v>1</v>
      </c>
      <c r="AC389" s="99">
        <v>2</v>
      </c>
      <c r="AD389" s="99">
        <v>1</v>
      </c>
      <c r="AE389" s="99">
        <v>1</v>
      </c>
      <c r="AF389" s="99">
        <v>2</v>
      </c>
      <c r="AG389" s="99">
        <v>0</v>
      </c>
      <c r="AH389" s="99">
        <v>1</v>
      </c>
      <c r="AI389" s="99">
        <v>1</v>
      </c>
      <c r="AJ389" s="99">
        <v>1</v>
      </c>
      <c r="AK389" s="99">
        <v>1</v>
      </c>
      <c r="AL389" s="99">
        <v>1</v>
      </c>
      <c r="AM389" s="99">
        <v>1</v>
      </c>
      <c r="AN389" s="99">
        <v>0</v>
      </c>
      <c r="AO389" s="99">
        <v>1</v>
      </c>
      <c r="AP389" s="99">
        <v>2</v>
      </c>
      <c r="AQ389" s="99">
        <v>2</v>
      </c>
      <c r="AR389" s="99">
        <v>2</v>
      </c>
      <c r="AS389" s="99">
        <v>1</v>
      </c>
      <c r="AT389" s="99">
        <v>1</v>
      </c>
      <c r="AU389" s="99">
        <v>0</v>
      </c>
      <c r="AV389" s="99">
        <v>1</v>
      </c>
      <c r="AW389" s="99">
        <v>1</v>
      </c>
      <c r="AX389" s="99">
        <v>1</v>
      </c>
      <c r="AY389" s="99">
        <v>1</v>
      </c>
      <c r="AZ389" s="99">
        <v>2</v>
      </c>
      <c r="BA389" s="99">
        <v>1</v>
      </c>
      <c r="BB389" s="99">
        <v>1</v>
      </c>
      <c r="BC389" s="99">
        <v>0</v>
      </c>
      <c r="BD389" s="99">
        <v>2</v>
      </c>
      <c r="BE389" s="99">
        <v>1</v>
      </c>
      <c r="BF389" s="99">
        <v>1</v>
      </c>
      <c r="BG389" s="99">
        <v>2</v>
      </c>
      <c r="BH389" s="99">
        <v>1</v>
      </c>
      <c r="BI389" s="99">
        <v>1</v>
      </c>
      <c r="BJ389" s="99">
        <v>1</v>
      </c>
      <c r="BK389" s="99">
        <v>2</v>
      </c>
      <c r="BL389" s="99">
        <v>2</v>
      </c>
      <c r="BM389" s="99">
        <v>2</v>
      </c>
      <c r="BN389" s="99">
        <v>1</v>
      </c>
      <c r="BO389" s="99">
        <v>1</v>
      </c>
      <c r="BP389" s="99">
        <v>0</v>
      </c>
      <c r="BQ389" s="99">
        <v>1</v>
      </c>
      <c r="BR389" s="99">
        <v>1</v>
      </c>
      <c r="BS389" s="99">
        <v>1</v>
      </c>
      <c r="BT389" s="99">
        <v>1</v>
      </c>
      <c r="BU389" s="99">
        <v>1</v>
      </c>
      <c r="BV389" s="99">
        <v>1</v>
      </c>
      <c r="BW389" s="99">
        <v>2</v>
      </c>
      <c r="BX389" s="99">
        <v>2</v>
      </c>
      <c r="BY389" s="99">
        <v>2</v>
      </c>
      <c r="BZ389" s="99">
        <v>1</v>
      </c>
      <c r="CA389" s="99">
        <v>1</v>
      </c>
      <c r="CB389" s="99">
        <v>0</v>
      </c>
      <c r="CC389" s="99">
        <v>1</v>
      </c>
      <c r="CD389" s="99">
        <v>2</v>
      </c>
      <c r="CE389" s="99">
        <v>2</v>
      </c>
      <c r="CF389" s="99">
        <v>1</v>
      </c>
    </row>
    <row r="390" spans="1:84" x14ac:dyDescent="0.3">
      <c r="A390" s="99">
        <v>995</v>
      </c>
      <c r="B390" s="315">
        <v>995</v>
      </c>
      <c r="C390" s="99">
        <v>995</v>
      </c>
      <c r="D390" s="99" t="s">
        <v>519</v>
      </c>
      <c r="E390" s="99" t="s">
        <v>520</v>
      </c>
      <c r="F390" s="99">
        <v>0</v>
      </c>
      <c r="G390" s="99">
        <v>0</v>
      </c>
      <c r="H390" s="99">
        <v>0</v>
      </c>
      <c r="I390" s="99">
        <v>0</v>
      </c>
      <c r="J390" s="99">
        <v>0</v>
      </c>
      <c r="K390" s="99">
        <v>0</v>
      </c>
      <c r="L390" s="99">
        <v>0</v>
      </c>
      <c r="M390" s="99">
        <v>0</v>
      </c>
      <c r="N390" s="99">
        <v>0.08</v>
      </c>
      <c r="O390" s="99">
        <v>0.09</v>
      </c>
      <c r="P390" s="99">
        <v>0</v>
      </c>
      <c r="Q390" s="99">
        <v>0</v>
      </c>
      <c r="R390" s="99">
        <v>0</v>
      </c>
      <c r="S390" s="99">
        <v>0.09</v>
      </c>
      <c r="T390" s="99">
        <v>0</v>
      </c>
      <c r="U390" s="99">
        <v>0.09</v>
      </c>
      <c r="V390" s="99">
        <v>0</v>
      </c>
      <c r="W390" s="99">
        <v>0</v>
      </c>
      <c r="X390" s="99">
        <v>0</v>
      </c>
      <c r="Y390" s="99">
        <v>0</v>
      </c>
      <c r="Z390" s="99">
        <v>0</v>
      </c>
      <c r="AA390" s="99">
        <v>0.08</v>
      </c>
      <c r="AB390" s="99">
        <v>0</v>
      </c>
      <c r="AC390" s="99">
        <v>0</v>
      </c>
      <c r="AD390" s="99">
        <v>0</v>
      </c>
      <c r="AE390" s="99">
        <v>0</v>
      </c>
      <c r="AF390" s="99">
        <v>0</v>
      </c>
      <c r="AG390" s="99">
        <v>0</v>
      </c>
      <c r="AH390" s="99">
        <v>7.0000000000000007E-2</v>
      </c>
      <c r="AI390" s="99">
        <v>0</v>
      </c>
      <c r="AJ390" s="99">
        <v>0</v>
      </c>
      <c r="AK390" s="99">
        <v>0</v>
      </c>
      <c r="AL390" s="99">
        <v>0</v>
      </c>
      <c r="AM390" s="99">
        <v>0</v>
      </c>
      <c r="AN390" s="99">
        <v>0</v>
      </c>
      <c r="AO390" s="99">
        <v>0</v>
      </c>
      <c r="AP390" s="99">
        <v>0</v>
      </c>
      <c r="AQ390" s="99">
        <v>0</v>
      </c>
      <c r="AR390" s="99">
        <v>7.0000000000000007E-2</v>
      </c>
      <c r="AS390" s="99">
        <v>0</v>
      </c>
      <c r="AT390" s="99">
        <v>0</v>
      </c>
      <c r="AU390" s="99">
        <v>0</v>
      </c>
      <c r="AV390" s="99">
        <v>0</v>
      </c>
      <c r="AW390" s="99">
        <v>0</v>
      </c>
      <c r="AX390" s="99">
        <v>0.08</v>
      </c>
      <c r="AY390" s="99">
        <v>0</v>
      </c>
      <c r="AZ390" s="99">
        <v>0</v>
      </c>
      <c r="BA390" s="99">
        <v>0</v>
      </c>
      <c r="BB390" s="99">
        <v>0</v>
      </c>
      <c r="BC390" s="99">
        <v>0.08</v>
      </c>
      <c r="BD390" s="99">
        <v>0</v>
      </c>
      <c r="BE390" s="99">
        <v>0</v>
      </c>
      <c r="BF390" s="99">
        <v>0</v>
      </c>
      <c r="BG390" s="99">
        <v>0</v>
      </c>
      <c r="BH390" s="99">
        <v>0</v>
      </c>
      <c r="BI390" s="99">
        <v>0</v>
      </c>
      <c r="BJ390" s="99">
        <v>0</v>
      </c>
      <c r="BK390" s="99">
        <v>0</v>
      </c>
      <c r="BL390" s="99">
        <v>0</v>
      </c>
      <c r="BM390" s="99">
        <v>0</v>
      </c>
      <c r="BN390" s="99">
        <v>0</v>
      </c>
      <c r="BO390" s="99">
        <v>0</v>
      </c>
      <c r="BP390" s="99">
        <v>0.08</v>
      </c>
      <c r="BQ390" s="99">
        <v>0</v>
      </c>
      <c r="BR390" s="99">
        <v>7.0000000000000007E-2</v>
      </c>
      <c r="BS390" s="99">
        <v>0</v>
      </c>
      <c r="BT390" s="99">
        <v>0.09</v>
      </c>
      <c r="BU390" s="99">
        <v>0</v>
      </c>
      <c r="BV390" s="99">
        <v>0</v>
      </c>
      <c r="BW390" s="99">
        <v>0.08</v>
      </c>
      <c r="BX390" s="99">
        <v>0</v>
      </c>
      <c r="BY390" s="99">
        <v>0</v>
      </c>
      <c r="BZ390" s="99">
        <v>0</v>
      </c>
      <c r="CA390" s="99">
        <v>0</v>
      </c>
      <c r="CB390" s="99">
        <v>0.08</v>
      </c>
      <c r="CC390" s="99">
        <v>0</v>
      </c>
      <c r="CD390" s="99">
        <v>0</v>
      </c>
      <c r="CE390" s="99">
        <v>0</v>
      </c>
      <c r="CF390" s="99">
        <v>7.0000000000000007E-2</v>
      </c>
    </row>
    <row r="391" spans="1:84" x14ac:dyDescent="0.3">
      <c r="A391" s="99">
        <v>996</v>
      </c>
      <c r="B391" s="315">
        <v>996</v>
      </c>
      <c r="C391" s="99">
        <v>996</v>
      </c>
      <c r="D391" s="99" t="s">
        <v>521</v>
      </c>
      <c r="E391" s="99" t="s">
        <v>522</v>
      </c>
      <c r="F391" s="99">
        <v>0.01</v>
      </c>
      <c r="G391" s="99">
        <v>0.01</v>
      </c>
      <c r="H391" s="99">
        <v>0</v>
      </c>
      <c r="I391" s="99">
        <v>0.01</v>
      </c>
      <c r="J391" s="99">
        <v>0.01</v>
      </c>
      <c r="K391" s="99">
        <v>0.01</v>
      </c>
      <c r="L391" s="99">
        <v>0</v>
      </c>
      <c r="M391" s="99">
        <v>0.01</v>
      </c>
      <c r="N391" s="99">
        <v>0.01</v>
      </c>
      <c r="O391" s="99">
        <v>0</v>
      </c>
      <c r="P391" s="99">
        <v>0</v>
      </c>
      <c r="Q391" s="99">
        <v>0</v>
      </c>
      <c r="R391" s="99">
        <v>0.01</v>
      </c>
      <c r="S391" s="99">
        <v>0.01</v>
      </c>
      <c r="T391" s="99">
        <v>0</v>
      </c>
      <c r="U391" s="99">
        <v>0.01</v>
      </c>
      <c r="V391" s="99">
        <v>0.01</v>
      </c>
      <c r="W391" s="99">
        <v>0.01</v>
      </c>
      <c r="X391" s="99">
        <v>0.01</v>
      </c>
      <c r="Y391" s="99">
        <v>0</v>
      </c>
      <c r="Z391" s="99">
        <v>0.01</v>
      </c>
      <c r="AA391" s="99">
        <v>0.01</v>
      </c>
      <c r="AB391" s="99">
        <v>0.01</v>
      </c>
      <c r="AC391" s="99">
        <v>0.01</v>
      </c>
      <c r="AD391" s="99">
        <v>0.01</v>
      </c>
      <c r="AE391" s="99">
        <v>0</v>
      </c>
      <c r="AF391" s="99">
        <v>0</v>
      </c>
      <c r="AG391" s="99">
        <v>0</v>
      </c>
      <c r="AH391" s="99">
        <v>0.01</v>
      </c>
      <c r="AI391" s="99">
        <v>0</v>
      </c>
      <c r="AJ391" s="99">
        <v>0.01</v>
      </c>
      <c r="AK391" s="99">
        <v>0.01</v>
      </c>
      <c r="AL391" s="99">
        <v>0.01</v>
      </c>
      <c r="AM391" s="99">
        <v>0.01</v>
      </c>
      <c r="AN391" s="99">
        <v>0.01</v>
      </c>
      <c r="AO391" s="99">
        <v>0.01</v>
      </c>
      <c r="AP391" s="99">
        <v>0.01</v>
      </c>
      <c r="AQ391" s="99">
        <v>0</v>
      </c>
      <c r="AR391" s="99">
        <v>0.01</v>
      </c>
      <c r="AS391" s="99">
        <v>0</v>
      </c>
      <c r="AT391" s="99">
        <v>0</v>
      </c>
      <c r="AU391" s="99">
        <v>0.01</v>
      </c>
      <c r="AV391" s="99">
        <v>0.01</v>
      </c>
      <c r="AW391" s="99">
        <v>0.01</v>
      </c>
      <c r="AX391" s="99">
        <v>0.01</v>
      </c>
      <c r="AY391" s="99">
        <v>0.01</v>
      </c>
      <c r="AZ391" s="99">
        <v>0.01</v>
      </c>
      <c r="BA391" s="99">
        <v>0.01</v>
      </c>
      <c r="BB391" s="99">
        <v>0.01</v>
      </c>
      <c r="BC391" s="99">
        <v>0.01</v>
      </c>
      <c r="BD391" s="99">
        <v>0.01</v>
      </c>
      <c r="BE391" s="99">
        <v>0.01</v>
      </c>
      <c r="BF391" s="99">
        <v>0</v>
      </c>
      <c r="BG391" s="99">
        <v>0.01</v>
      </c>
      <c r="BH391" s="99">
        <v>0.01</v>
      </c>
      <c r="BI391" s="99">
        <v>0</v>
      </c>
      <c r="BJ391" s="99">
        <v>0.01</v>
      </c>
      <c r="BK391" s="99">
        <v>0.01</v>
      </c>
      <c r="BL391" s="99">
        <v>0</v>
      </c>
      <c r="BM391" s="99">
        <v>0</v>
      </c>
      <c r="BN391" s="99">
        <v>0.01</v>
      </c>
      <c r="BO391" s="99">
        <v>0.01</v>
      </c>
      <c r="BP391" s="99">
        <v>0.01</v>
      </c>
      <c r="BQ391" s="99">
        <v>0.01</v>
      </c>
      <c r="BR391" s="99">
        <v>0.01</v>
      </c>
      <c r="BS391" s="99">
        <v>0.01</v>
      </c>
      <c r="BT391" s="99">
        <v>0.01</v>
      </c>
      <c r="BU391" s="99">
        <v>0</v>
      </c>
      <c r="BV391" s="99">
        <v>0.01</v>
      </c>
      <c r="BW391" s="99">
        <v>0.01</v>
      </c>
      <c r="BX391" s="99">
        <v>0</v>
      </c>
      <c r="BY391" s="99">
        <v>0.01</v>
      </c>
      <c r="BZ391" s="99">
        <v>0</v>
      </c>
      <c r="CA391" s="99">
        <v>0.01</v>
      </c>
      <c r="CB391" s="99">
        <v>0.01</v>
      </c>
      <c r="CC391" s="99">
        <v>0</v>
      </c>
      <c r="CD391" s="99">
        <v>0.01</v>
      </c>
      <c r="CE391" s="99">
        <v>0</v>
      </c>
      <c r="CF391" s="99">
        <v>0</v>
      </c>
    </row>
    <row r="392" spans="1:84" x14ac:dyDescent="0.3">
      <c r="A392" s="99">
        <v>997</v>
      </c>
      <c r="C392" s="99">
        <v>997</v>
      </c>
    </row>
    <row r="393" spans="1:84" x14ac:dyDescent="0.3">
      <c r="A393" s="99">
        <v>998</v>
      </c>
      <c r="B393" s="315">
        <v>998</v>
      </c>
      <c r="C393" s="99">
        <v>998</v>
      </c>
      <c r="D393" s="99" t="s">
        <v>292</v>
      </c>
      <c r="E393" s="99" t="s">
        <v>523</v>
      </c>
      <c r="F393" s="99">
        <v>50</v>
      </c>
      <c r="G393" s="99">
        <v>50</v>
      </c>
      <c r="H393" s="99">
        <v>50</v>
      </c>
      <c r="I393" s="99">
        <v>50</v>
      </c>
      <c r="J393" s="99">
        <v>50</v>
      </c>
      <c r="K393" s="99">
        <v>50</v>
      </c>
      <c r="L393" s="99">
        <v>50</v>
      </c>
      <c r="M393" s="99">
        <v>50</v>
      </c>
      <c r="N393" s="99">
        <v>50</v>
      </c>
      <c r="O393" s="99">
        <v>50</v>
      </c>
      <c r="P393" s="99">
        <v>50</v>
      </c>
      <c r="Q393" s="99">
        <v>50</v>
      </c>
      <c r="R393" s="99">
        <v>50</v>
      </c>
      <c r="S393" s="99">
        <v>50</v>
      </c>
      <c r="T393" s="99">
        <v>50</v>
      </c>
      <c r="U393" s="99">
        <v>50</v>
      </c>
      <c r="V393" s="99">
        <v>0</v>
      </c>
      <c r="W393" s="99">
        <v>50</v>
      </c>
      <c r="X393" s="99">
        <v>50</v>
      </c>
      <c r="Y393" s="99">
        <v>50</v>
      </c>
      <c r="Z393" s="99">
        <v>0</v>
      </c>
      <c r="AA393" s="99">
        <v>50</v>
      </c>
      <c r="AB393" s="99">
        <v>50</v>
      </c>
      <c r="AC393" s="99">
        <v>50</v>
      </c>
      <c r="AD393" s="99">
        <v>50</v>
      </c>
      <c r="AE393" s="99">
        <v>50</v>
      </c>
      <c r="AF393" s="99">
        <v>50</v>
      </c>
      <c r="AG393" s="99">
        <v>0</v>
      </c>
      <c r="AH393" s="99">
        <v>50</v>
      </c>
      <c r="AI393" s="99">
        <v>50</v>
      </c>
      <c r="AJ393" s="99">
        <v>50</v>
      </c>
      <c r="AK393" s="99">
        <v>50</v>
      </c>
      <c r="AL393" s="99">
        <v>50</v>
      </c>
      <c r="AM393" s="99">
        <v>50</v>
      </c>
      <c r="AN393" s="99">
        <v>0</v>
      </c>
      <c r="AO393" s="99">
        <v>50</v>
      </c>
      <c r="AP393" s="99">
        <v>50</v>
      </c>
      <c r="AQ393" s="99">
        <v>50</v>
      </c>
      <c r="AR393" s="99">
        <v>50</v>
      </c>
      <c r="AS393" s="99">
        <v>50</v>
      </c>
      <c r="AT393" s="99">
        <v>50</v>
      </c>
      <c r="AU393" s="99">
        <v>0</v>
      </c>
      <c r="AV393" s="99">
        <v>50</v>
      </c>
      <c r="AW393" s="99">
        <v>50</v>
      </c>
      <c r="AX393" s="99">
        <v>50</v>
      </c>
      <c r="AY393" s="99">
        <v>50</v>
      </c>
      <c r="AZ393" s="99">
        <v>50</v>
      </c>
      <c r="BA393" s="99">
        <v>50</v>
      </c>
      <c r="BB393" s="99">
        <v>50</v>
      </c>
      <c r="BC393" s="99">
        <v>0</v>
      </c>
      <c r="BD393" s="99">
        <v>50</v>
      </c>
      <c r="BE393" s="99">
        <v>50</v>
      </c>
      <c r="BF393" s="99">
        <v>50</v>
      </c>
      <c r="BG393" s="99">
        <v>50</v>
      </c>
      <c r="BH393" s="99">
        <v>50</v>
      </c>
      <c r="BI393" s="99">
        <v>50</v>
      </c>
      <c r="BJ393" s="99">
        <v>50</v>
      </c>
      <c r="BK393" s="99">
        <v>50</v>
      </c>
      <c r="BL393" s="99">
        <v>50</v>
      </c>
      <c r="BM393" s="99">
        <v>50</v>
      </c>
      <c r="BN393" s="99">
        <v>50</v>
      </c>
      <c r="BO393" s="99">
        <v>50</v>
      </c>
      <c r="BP393" s="99">
        <v>0</v>
      </c>
      <c r="BQ393" s="99">
        <v>50</v>
      </c>
      <c r="BR393" s="99">
        <v>50</v>
      </c>
      <c r="BS393" s="99">
        <v>50</v>
      </c>
      <c r="BT393" s="99">
        <v>50</v>
      </c>
      <c r="BU393" s="99">
        <v>50</v>
      </c>
      <c r="BV393" s="99">
        <v>50</v>
      </c>
      <c r="BW393" s="99">
        <v>50</v>
      </c>
      <c r="BX393" s="99">
        <v>50</v>
      </c>
      <c r="BY393" s="99">
        <v>50</v>
      </c>
      <c r="BZ393" s="99">
        <v>50</v>
      </c>
      <c r="CA393" s="99">
        <v>50</v>
      </c>
      <c r="CB393" s="99">
        <v>0</v>
      </c>
      <c r="CC393" s="99">
        <v>50</v>
      </c>
      <c r="CD393" s="99">
        <v>50</v>
      </c>
      <c r="CE393" s="99">
        <v>50</v>
      </c>
      <c r="CF393" s="99">
        <v>50</v>
      </c>
    </row>
    <row r="394" spans="1:84" x14ac:dyDescent="0.3">
      <c r="A394" s="99">
        <v>999</v>
      </c>
      <c r="B394" s="315">
        <v>999</v>
      </c>
      <c r="C394" s="99">
        <v>999</v>
      </c>
      <c r="D394" s="99" t="s">
        <v>293</v>
      </c>
      <c r="E394" s="99" t="s">
        <v>524</v>
      </c>
      <c r="F394" s="1131">
        <v>50129</v>
      </c>
      <c r="G394" s="1131">
        <v>50130</v>
      </c>
      <c r="H394" s="1131">
        <v>50560</v>
      </c>
      <c r="I394" s="1131">
        <v>50131</v>
      </c>
      <c r="J394" s="1131">
        <v>50132</v>
      </c>
      <c r="K394" s="1131">
        <v>50133</v>
      </c>
      <c r="L394" s="1131">
        <v>50134</v>
      </c>
      <c r="M394" s="1131">
        <v>50473</v>
      </c>
      <c r="N394" s="1131">
        <v>50135</v>
      </c>
      <c r="O394" s="1131">
        <v>50136</v>
      </c>
      <c r="P394" s="1131">
        <v>50514</v>
      </c>
      <c r="Q394" s="1131">
        <v>50515</v>
      </c>
      <c r="R394" s="1131">
        <v>50570</v>
      </c>
      <c r="S394" s="1131">
        <v>50137</v>
      </c>
      <c r="T394" s="1131">
        <v>50549</v>
      </c>
      <c r="U394" s="1131">
        <v>50138</v>
      </c>
      <c r="V394" s="99">
        <v>0</v>
      </c>
      <c r="W394" s="1131">
        <v>50474</v>
      </c>
      <c r="X394" s="1131">
        <v>50140</v>
      </c>
      <c r="Y394" s="1131">
        <v>50141</v>
      </c>
      <c r="Z394" s="99">
        <v>0</v>
      </c>
      <c r="AA394" s="1131">
        <v>50143</v>
      </c>
      <c r="AB394" s="1131">
        <v>50144</v>
      </c>
      <c r="AC394" s="1131">
        <v>50492</v>
      </c>
      <c r="AD394" s="1131">
        <v>50145</v>
      </c>
      <c r="AE394" s="1131">
        <v>50146</v>
      </c>
      <c r="AF394" s="1131">
        <v>50147</v>
      </c>
      <c r="AG394" s="99">
        <v>0</v>
      </c>
      <c r="AH394" s="1131">
        <v>50149</v>
      </c>
      <c r="AI394" s="1131">
        <v>50150</v>
      </c>
      <c r="AJ394" s="1131">
        <v>50151</v>
      </c>
      <c r="AK394" s="1131">
        <v>50152</v>
      </c>
      <c r="AL394" s="1131">
        <v>50153</v>
      </c>
      <c r="AM394" s="1131">
        <v>50475</v>
      </c>
      <c r="AN394" s="99">
        <v>0</v>
      </c>
      <c r="AO394" s="1131">
        <v>50155</v>
      </c>
      <c r="AP394" s="1131">
        <v>50156</v>
      </c>
      <c r="AQ394" s="1131">
        <v>50516</v>
      </c>
      <c r="AR394" s="1131">
        <v>50157</v>
      </c>
      <c r="AS394" s="1131">
        <v>50158</v>
      </c>
      <c r="AT394" s="1131">
        <v>50545</v>
      </c>
      <c r="AU394" s="99">
        <v>0</v>
      </c>
      <c r="AV394" s="1131">
        <v>50448</v>
      </c>
      <c r="AW394" s="1131">
        <v>50159</v>
      </c>
      <c r="AX394" s="1131">
        <v>50160</v>
      </c>
      <c r="AY394" s="1131">
        <v>50161</v>
      </c>
      <c r="AZ394" s="1131">
        <v>50162</v>
      </c>
      <c r="BA394" s="1131">
        <v>50163</v>
      </c>
      <c r="BB394" s="1131">
        <v>50165</v>
      </c>
      <c r="BC394" s="99">
        <v>0</v>
      </c>
      <c r="BD394" s="1131">
        <v>50167</v>
      </c>
      <c r="BE394" s="1131">
        <v>50168</v>
      </c>
      <c r="BF394" s="1131">
        <v>50169</v>
      </c>
      <c r="BG394" s="1131">
        <v>50170</v>
      </c>
      <c r="BH394" s="1131">
        <v>50451</v>
      </c>
      <c r="BI394" s="1131">
        <v>50171</v>
      </c>
      <c r="BJ394" s="1131">
        <v>50172</v>
      </c>
      <c r="BK394" s="1131">
        <v>50440</v>
      </c>
      <c r="BL394" s="1131">
        <v>50173</v>
      </c>
      <c r="BM394" s="1131">
        <v>50547</v>
      </c>
      <c r="BN394" s="1131">
        <v>50175</v>
      </c>
      <c r="BO394" s="1131">
        <v>50176</v>
      </c>
      <c r="BP394" s="99">
        <v>0</v>
      </c>
      <c r="BQ394" s="1131">
        <v>50178</v>
      </c>
      <c r="BR394" s="1131">
        <v>50180</v>
      </c>
      <c r="BS394" s="1131">
        <v>50447</v>
      </c>
      <c r="BT394" s="1131">
        <v>50179</v>
      </c>
      <c r="BU394" s="1131">
        <v>50462</v>
      </c>
      <c r="BV394" s="1131">
        <v>50181</v>
      </c>
      <c r="BW394" s="1131">
        <v>50182</v>
      </c>
      <c r="BX394" s="1131">
        <v>50183</v>
      </c>
      <c r="BY394" s="1131">
        <v>50446</v>
      </c>
      <c r="BZ394" s="1131">
        <v>50184</v>
      </c>
      <c r="CA394" s="1131">
        <v>50185</v>
      </c>
      <c r="CB394" s="99">
        <v>0</v>
      </c>
      <c r="CC394" s="1131">
        <v>50187</v>
      </c>
      <c r="CD394" s="1131">
        <v>50188</v>
      </c>
      <c r="CE394" s="1131">
        <v>50189</v>
      </c>
      <c r="CF394" s="1131">
        <v>50190</v>
      </c>
    </row>
    <row r="395" spans="1:84" x14ac:dyDescent="0.3">
      <c r="A395" s="99">
        <v>906</v>
      </c>
      <c r="B395" s="315">
        <v>906</v>
      </c>
      <c r="C395" s="99" t="s">
        <v>1776</v>
      </c>
      <c r="D395" s="99" t="s">
        <v>910</v>
      </c>
      <c r="F395" s="99">
        <v>1</v>
      </c>
      <c r="G395" s="99">
        <v>1</v>
      </c>
      <c r="H395" s="99">
        <v>1</v>
      </c>
      <c r="I395" s="99">
        <v>1</v>
      </c>
      <c r="J395" s="99">
        <v>1</v>
      </c>
      <c r="K395" s="99">
        <v>1</v>
      </c>
      <c r="L395" s="99">
        <v>1</v>
      </c>
      <c r="M395" s="99">
        <v>1</v>
      </c>
      <c r="N395" s="99">
        <v>1</v>
      </c>
      <c r="O395" s="99">
        <v>1</v>
      </c>
      <c r="P395" s="99">
        <v>1</v>
      </c>
      <c r="Q395" s="99">
        <v>1</v>
      </c>
      <c r="R395" s="99">
        <v>1</v>
      </c>
      <c r="S395" s="99">
        <v>1</v>
      </c>
      <c r="T395" s="99">
        <v>1</v>
      </c>
      <c r="U395" s="99">
        <v>1</v>
      </c>
      <c r="V395" s="99">
        <v>0</v>
      </c>
      <c r="W395" s="99">
        <v>1</v>
      </c>
      <c r="X395" s="99">
        <v>1</v>
      </c>
      <c r="Y395" s="99">
        <v>1</v>
      </c>
      <c r="Z395" s="99">
        <v>0</v>
      </c>
      <c r="AA395" s="99">
        <v>1</v>
      </c>
      <c r="AB395" s="99">
        <v>1</v>
      </c>
      <c r="AC395" s="99">
        <v>1</v>
      </c>
      <c r="AD395" s="99">
        <v>1</v>
      </c>
      <c r="AE395" s="99">
        <v>1</v>
      </c>
      <c r="AF395" s="99">
        <v>1</v>
      </c>
      <c r="AG395" s="99">
        <v>0</v>
      </c>
      <c r="AH395" s="99">
        <v>1</v>
      </c>
      <c r="AI395" s="99">
        <v>1</v>
      </c>
      <c r="AJ395" s="99">
        <v>1</v>
      </c>
      <c r="AK395" s="99">
        <v>1</v>
      </c>
      <c r="AL395" s="99">
        <v>1</v>
      </c>
      <c r="AM395" s="99">
        <v>1</v>
      </c>
      <c r="AN395" s="99">
        <v>0</v>
      </c>
      <c r="AO395" s="99">
        <v>1</v>
      </c>
      <c r="AP395" s="99">
        <v>1</v>
      </c>
      <c r="AQ395" s="99">
        <v>1</v>
      </c>
      <c r="AR395" s="99">
        <v>1</v>
      </c>
      <c r="AS395" s="99">
        <v>1</v>
      </c>
      <c r="AT395" s="99">
        <v>1</v>
      </c>
      <c r="AU395" s="99">
        <v>0</v>
      </c>
      <c r="AV395" s="99">
        <v>1</v>
      </c>
      <c r="AW395" s="99">
        <v>1</v>
      </c>
      <c r="AX395" s="99">
        <v>1</v>
      </c>
      <c r="AY395" s="99">
        <v>1</v>
      </c>
      <c r="AZ395" s="99">
        <v>1</v>
      </c>
      <c r="BA395" s="99">
        <v>1</v>
      </c>
      <c r="BB395" s="99">
        <v>1</v>
      </c>
      <c r="BC395" s="99">
        <v>0</v>
      </c>
      <c r="BD395" s="99">
        <v>1</v>
      </c>
      <c r="BE395" s="99">
        <v>1</v>
      </c>
      <c r="BF395" s="99">
        <v>1</v>
      </c>
      <c r="BG395" s="99">
        <v>1</v>
      </c>
      <c r="BH395" s="99">
        <v>1</v>
      </c>
      <c r="BI395" s="99">
        <v>1</v>
      </c>
      <c r="BJ395" s="99">
        <v>1</v>
      </c>
      <c r="BK395" s="99">
        <v>1</v>
      </c>
      <c r="BL395" s="99">
        <v>1</v>
      </c>
      <c r="BM395" s="99">
        <v>1</v>
      </c>
      <c r="BN395" s="99">
        <v>1</v>
      </c>
      <c r="BO395" s="99">
        <v>1</v>
      </c>
      <c r="BP395" s="99">
        <v>0</v>
      </c>
      <c r="BQ395" s="99">
        <v>1</v>
      </c>
      <c r="BR395" s="99">
        <v>1</v>
      </c>
      <c r="BS395" s="99">
        <v>1</v>
      </c>
      <c r="BT395" s="99">
        <v>1</v>
      </c>
      <c r="BU395" s="99">
        <v>1</v>
      </c>
      <c r="BV395" s="99">
        <v>1</v>
      </c>
      <c r="BW395" s="99">
        <v>1</v>
      </c>
      <c r="BX395" s="99">
        <v>1</v>
      </c>
      <c r="BY395" s="99">
        <v>1</v>
      </c>
      <c r="BZ395" s="99">
        <v>1</v>
      </c>
      <c r="CA395" s="99">
        <v>1</v>
      </c>
      <c r="CB395" s="99">
        <v>0</v>
      </c>
      <c r="CC395" s="99">
        <v>1</v>
      </c>
      <c r="CD395" s="99">
        <v>1</v>
      </c>
      <c r="CE395" s="99">
        <v>1</v>
      </c>
      <c r="CF395" s="99">
        <v>1</v>
      </c>
    </row>
    <row r="396" spans="1:84" x14ac:dyDescent="0.3">
      <c r="A396" s="99">
        <v>907</v>
      </c>
      <c r="B396" s="315">
        <v>907</v>
      </c>
      <c r="C396" s="99" t="s">
        <v>1776</v>
      </c>
      <c r="D396" s="99" t="s">
        <v>911</v>
      </c>
      <c r="F396" s="99">
        <v>1</v>
      </c>
      <c r="G396" s="99">
        <v>2</v>
      </c>
      <c r="H396" s="99">
        <v>1</v>
      </c>
      <c r="I396" s="99">
        <v>1</v>
      </c>
      <c r="J396" s="99">
        <v>1</v>
      </c>
      <c r="K396" s="99">
        <v>1</v>
      </c>
      <c r="L396" s="99">
        <v>2</v>
      </c>
      <c r="M396" s="99">
        <v>2</v>
      </c>
      <c r="N396" s="99">
        <v>2</v>
      </c>
      <c r="O396" s="99">
        <v>2</v>
      </c>
      <c r="P396" s="99">
        <v>2</v>
      </c>
      <c r="Q396" s="99">
        <v>2</v>
      </c>
      <c r="R396" s="99">
        <v>2</v>
      </c>
      <c r="S396" s="99">
        <v>2</v>
      </c>
      <c r="T396" s="99">
        <v>1</v>
      </c>
      <c r="U396" s="99">
        <v>1</v>
      </c>
      <c r="V396" s="99">
        <v>0</v>
      </c>
      <c r="W396" s="99">
        <v>2</v>
      </c>
      <c r="X396" s="99">
        <v>2</v>
      </c>
      <c r="Y396" s="99">
        <v>1</v>
      </c>
      <c r="Z396" s="99">
        <v>0</v>
      </c>
      <c r="AA396" s="99">
        <v>2</v>
      </c>
      <c r="AB396" s="99">
        <v>2</v>
      </c>
      <c r="AC396" s="99">
        <v>2</v>
      </c>
      <c r="AD396" s="99">
        <v>1</v>
      </c>
      <c r="AE396" s="99">
        <v>2</v>
      </c>
      <c r="AF396" s="99">
        <v>1</v>
      </c>
      <c r="AG396" s="99">
        <v>0</v>
      </c>
      <c r="AH396" s="99">
        <v>2</v>
      </c>
      <c r="AI396" s="99">
        <v>2</v>
      </c>
      <c r="AJ396" s="99">
        <v>2</v>
      </c>
      <c r="AK396" s="99">
        <v>2</v>
      </c>
      <c r="AL396" s="99">
        <v>1</v>
      </c>
      <c r="AM396" s="99">
        <v>2</v>
      </c>
      <c r="AN396" s="99">
        <v>0</v>
      </c>
      <c r="AO396" s="99">
        <v>1</v>
      </c>
      <c r="AP396" s="99">
        <v>2</v>
      </c>
      <c r="AQ396" s="99">
        <v>2</v>
      </c>
      <c r="AR396" s="99">
        <v>2</v>
      </c>
      <c r="AS396" s="99">
        <v>1</v>
      </c>
      <c r="AT396" s="99">
        <v>2</v>
      </c>
      <c r="AU396" s="99">
        <v>0</v>
      </c>
      <c r="AV396" s="99">
        <v>1</v>
      </c>
      <c r="AW396" s="99">
        <v>2</v>
      </c>
      <c r="AX396" s="99">
        <v>2</v>
      </c>
      <c r="AY396" s="99">
        <v>2</v>
      </c>
      <c r="AZ396" s="99">
        <v>2</v>
      </c>
      <c r="BA396" s="99">
        <v>2</v>
      </c>
      <c r="BB396" s="99">
        <v>1</v>
      </c>
      <c r="BC396" s="99">
        <v>0</v>
      </c>
      <c r="BD396" s="99">
        <v>2</v>
      </c>
      <c r="BE396" s="99">
        <v>1</v>
      </c>
      <c r="BF396" s="99">
        <v>1</v>
      </c>
      <c r="BG396" s="99">
        <v>1</v>
      </c>
      <c r="BH396" s="99">
        <v>2</v>
      </c>
      <c r="BI396" s="99">
        <v>2</v>
      </c>
      <c r="BJ396" s="99">
        <v>2</v>
      </c>
      <c r="BK396" s="99">
        <v>2</v>
      </c>
      <c r="BL396" s="99">
        <v>2</v>
      </c>
      <c r="BM396" s="99">
        <v>1</v>
      </c>
      <c r="BN396" s="99">
        <v>2</v>
      </c>
      <c r="BO396" s="99">
        <v>2</v>
      </c>
      <c r="BP396" s="99">
        <v>0</v>
      </c>
      <c r="BQ396" s="99">
        <v>2</v>
      </c>
      <c r="BR396" s="99">
        <v>2</v>
      </c>
      <c r="BS396" s="99">
        <v>2</v>
      </c>
      <c r="BT396" s="99">
        <v>1</v>
      </c>
      <c r="BU396" s="99">
        <v>2</v>
      </c>
      <c r="BV396" s="99">
        <v>2</v>
      </c>
      <c r="BW396" s="99">
        <v>2</v>
      </c>
      <c r="BX396" s="99">
        <v>2</v>
      </c>
      <c r="BY396" s="99">
        <v>2</v>
      </c>
      <c r="BZ396" s="99">
        <v>2</v>
      </c>
      <c r="CA396" s="99">
        <v>2</v>
      </c>
      <c r="CB396" s="99">
        <v>0</v>
      </c>
      <c r="CC396" s="99">
        <v>2</v>
      </c>
      <c r="CD396" s="99">
        <v>1</v>
      </c>
      <c r="CE396" s="99">
        <v>2</v>
      </c>
      <c r="CF396" s="99">
        <v>2</v>
      </c>
    </row>
    <row r="397" spans="1:84" x14ac:dyDescent="0.3">
      <c r="A397" s="99">
        <v>951</v>
      </c>
      <c r="B397" s="315">
        <v>951</v>
      </c>
      <c r="C397" s="99" t="s">
        <v>1776</v>
      </c>
      <c r="D397" s="99" t="s">
        <v>912</v>
      </c>
      <c r="F397" s="99">
        <v>2</v>
      </c>
      <c r="G397" s="99">
        <v>2</v>
      </c>
      <c r="H397" s="99">
        <v>2</v>
      </c>
      <c r="I397" s="99">
        <v>2</v>
      </c>
      <c r="J397" s="99">
        <v>1</v>
      </c>
      <c r="K397" s="99">
        <v>2</v>
      </c>
      <c r="L397" s="99">
        <v>2</v>
      </c>
      <c r="M397" s="99">
        <v>2</v>
      </c>
      <c r="N397" s="99">
        <v>2</v>
      </c>
      <c r="O397" s="99">
        <v>2</v>
      </c>
      <c r="P397" s="99">
        <v>2</v>
      </c>
      <c r="Q397" s="99">
        <v>2</v>
      </c>
      <c r="R397" s="99">
        <v>2</v>
      </c>
      <c r="S397" s="99">
        <v>2</v>
      </c>
      <c r="T397" s="99">
        <v>2</v>
      </c>
      <c r="U397" s="99">
        <v>2</v>
      </c>
      <c r="V397" s="99">
        <v>0</v>
      </c>
      <c r="W397" s="99">
        <v>2</v>
      </c>
      <c r="X397" s="99">
        <v>2</v>
      </c>
      <c r="Y397" s="99">
        <v>2</v>
      </c>
      <c r="Z397" s="99">
        <v>0</v>
      </c>
      <c r="AA397" s="99">
        <v>2</v>
      </c>
      <c r="AB397" s="99">
        <v>2</v>
      </c>
      <c r="AC397" s="99">
        <v>2</v>
      </c>
      <c r="AD397" s="99">
        <v>2</v>
      </c>
      <c r="AE397" s="99">
        <v>2</v>
      </c>
      <c r="AF397" s="99">
        <v>1</v>
      </c>
      <c r="AG397" s="99">
        <v>0</v>
      </c>
      <c r="AH397" s="99">
        <v>2</v>
      </c>
      <c r="AI397" s="99">
        <v>2</v>
      </c>
      <c r="AJ397" s="99">
        <v>2</v>
      </c>
      <c r="AK397" s="99">
        <v>2</v>
      </c>
      <c r="AL397" s="99">
        <v>1</v>
      </c>
      <c r="AM397" s="99">
        <v>2</v>
      </c>
      <c r="AN397" s="99">
        <v>0</v>
      </c>
      <c r="AO397" s="99">
        <v>2</v>
      </c>
      <c r="AP397" s="99">
        <v>2</v>
      </c>
      <c r="AQ397" s="99">
        <v>2</v>
      </c>
      <c r="AR397" s="99">
        <v>2</v>
      </c>
      <c r="AS397" s="99">
        <v>1</v>
      </c>
      <c r="AT397" s="99">
        <v>2</v>
      </c>
      <c r="AU397" s="99">
        <v>0</v>
      </c>
      <c r="AV397" s="99">
        <v>2</v>
      </c>
      <c r="AW397" s="99">
        <v>2</v>
      </c>
      <c r="AX397" s="99">
        <v>2</v>
      </c>
      <c r="AY397" s="99">
        <v>2</v>
      </c>
      <c r="AZ397" s="99">
        <v>2</v>
      </c>
      <c r="BA397" s="99">
        <v>2</v>
      </c>
      <c r="BB397" s="99">
        <v>1</v>
      </c>
      <c r="BC397" s="99">
        <v>0</v>
      </c>
      <c r="BD397" s="99">
        <v>2</v>
      </c>
      <c r="BE397" s="99">
        <v>1</v>
      </c>
      <c r="BF397" s="99">
        <v>2</v>
      </c>
      <c r="BG397" s="99">
        <v>1</v>
      </c>
      <c r="BH397" s="99">
        <v>2</v>
      </c>
      <c r="BI397" s="99">
        <v>2</v>
      </c>
      <c r="BJ397" s="99">
        <v>2</v>
      </c>
      <c r="BK397" s="99">
        <v>2</v>
      </c>
      <c r="BL397" s="99">
        <v>2</v>
      </c>
      <c r="BM397" s="99">
        <v>2</v>
      </c>
      <c r="BN397" s="99">
        <v>2</v>
      </c>
      <c r="BO397" s="99">
        <v>2</v>
      </c>
      <c r="BP397" s="99">
        <v>0</v>
      </c>
      <c r="BQ397" s="99">
        <v>2</v>
      </c>
      <c r="BR397" s="99">
        <v>2</v>
      </c>
      <c r="BS397" s="99">
        <v>2</v>
      </c>
      <c r="BT397" s="99">
        <v>2</v>
      </c>
      <c r="BU397" s="99">
        <v>2</v>
      </c>
      <c r="BV397" s="99">
        <v>2</v>
      </c>
      <c r="BW397" s="99">
        <v>2</v>
      </c>
      <c r="BX397" s="99">
        <v>2</v>
      </c>
      <c r="BY397" s="99">
        <v>2</v>
      </c>
      <c r="BZ397" s="99">
        <v>2</v>
      </c>
      <c r="CA397" s="99">
        <v>2</v>
      </c>
      <c r="CB397" s="99">
        <v>0</v>
      </c>
      <c r="CC397" s="99">
        <v>2</v>
      </c>
      <c r="CD397" s="99">
        <v>2</v>
      </c>
      <c r="CE397" s="99">
        <v>2</v>
      </c>
      <c r="CF397" s="99">
        <v>2</v>
      </c>
    </row>
    <row r="398" spans="1:84" x14ac:dyDescent="0.3">
      <c r="A398" s="99">
        <v>953</v>
      </c>
      <c r="B398" s="315">
        <v>953</v>
      </c>
      <c r="C398" s="99" t="s">
        <v>1776</v>
      </c>
      <c r="D398" s="99" t="s">
        <v>913</v>
      </c>
      <c r="F398" s="99">
        <v>2</v>
      </c>
      <c r="G398" s="99">
        <v>2</v>
      </c>
      <c r="H398" s="99">
        <v>2</v>
      </c>
      <c r="I398" s="99">
        <v>2</v>
      </c>
      <c r="J398" s="99">
        <v>2</v>
      </c>
      <c r="K398" s="99">
        <v>2</v>
      </c>
      <c r="L398" s="99">
        <v>2</v>
      </c>
      <c r="M398" s="99">
        <v>2</v>
      </c>
      <c r="N398" s="99">
        <v>2</v>
      </c>
      <c r="O398" s="99">
        <v>2</v>
      </c>
      <c r="P398" s="99">
        <v>2</v>
      </c>
      <c r="Q398" s="99">
        <v>2</v>
      </c>
      <c r="R398" s="99">
        <v>2</v>
      </c>
      <c r="S398" s="99">
        <v>2</v>
      </c>
      <c r="T398" s="99">
        <v>2</v>
      </c>
      <c r="U398" s="99">
        <v>2</v>
      </c>
      <c r="V398" s="99">
        <v>0</v>
      </c>
      <c r="W398" s="99">
        <v>2</v>
      </c>
      <c r="X398" s="99">
        <v>2</v>
      </c>
      <c r="Y398" s="99">
        <v>2</v>
      </c>
      <c r="Z398" s="99">
        <v>0</v>
      </c>
      <c r="AA398" s="99">
        <v>2</v>
      </c>
      <c r="AB398" s="99">
        <v>2</v>
      </c>
      <c r="AC398" s="99">
        <v>2</v>
      </c>
      <c r="AD398" s="99">
        <v>2</v>
      </c>
      <c r="AE398" s="99">
        <v>2</v>
      </c>
      <c r="AF398" s="99">
        <v>2</v>
      </c>
      <c r="AG398" s="99">
        <v>0</v>
      </c>
      <c r="AH398" s="99">
        <v>2</v>
      </c>
      <c r="AI398" s="99">
        <v>2</v>
      </c>
      <c r="AJ398" s="99">
        <v>2</v>
      </c>
      <c r="AK398" s="99">
        <v>2</v>
      </c>
      <c r="AL398" s="99">
        <v>2</v>
      </c>
      <c r="AM398" s="99">
        <v>2</v>
      </c>
      <c r="AN398" s="99">
        <v>0</v>
      </c>
      <c r="AO398" s="99">
        <v>2</v>
      </c>
      <c r="AP398" s="99">
        <v>2</v>
      </c>
      <c r="AQ398" s="99">
        <v>2</v>
      </c>
      <c r="AR398" s="99">
        <v>2</v>
      </c>
      <c r="AS398" s="99">
        <v>2</v>
      </c>
      <c r="AT398" s="99">
        <v>2</v>
      </c>
      <c r="AU398" s="99">
        <v>0</v>
      </c>
      <c r="AV398" s="99">
        <v>2</v>
      </c>
      <c r="AW398" s="99">
        <v>2</v>
      </c>
      <c r="AX398" s="99">
        <v>2</v>
      </c>
      <c r="AY398" s="99">
        <v>2</v>
      </c>
      <c r="AZ398" s="99">
        <v>2</v>
      </c>
      <c r="BA398" s="99">
        <v>2</v>
      </c>
      <c r="BB398" s="99">
        <v>2</v>
      </c>
      <c r="BC398" s="99">
        <v>0</v>
      </c>
      <c r="BD398" s="99">
        <v>2</v>
      </c>
      <c r="BE398" s="99">
        <v>2</v>
      </c>
      <c r="BF398" s="99">
        <v>2</v>
      </c>
      <c r="BG398" s="99">
        <v>2</v>
      </c>
      <c r="BH398" s="99">
        <v>2</v>
      </c>
      <c r="BI398" s="99">
        <v>2</v>
      </c>
      <c r="BJ398" s="99">
        <v>2</v>
      </c>
      <c r="BK398" s="99">
        <v>2</v>
      </c>
      <c r="BL398" s="99">
        <v>2</v>
      </c>
      <c r="BM398" s="99">
        <v>2</v>
      </c>
      <c r="BN398" s="99">
        <v>2</v>
      </c>
      <c r="BO398" s="99">
        <v>2</v>
      </c>
      <c r="BP398" s="99">
        <v>0</v>
      </c>
      <c r="BQ398" s="99">
        <v>2</v>
      </c>
      <c r="BR398" s="99">
        <v>2</v>
      </c>
      <c r="BS398" s="99">
        <v>2</v>
      </c>
      <c r="BT398" s="99">
        <v>2</v>
      </c>
      <c r="BU398" s="99">
        <v>2</v>
      </c>
      <c r="BV398" s="99">
        <v>2</v>
      </c>
      <c r="BW398" s="99">
        <v>2</v>
      </c>
      <c r="BX398" s="99">
        <v>2</v>
      </c>
      <c r="BY398" s="99">
        <v>2</v>
      </c>
      <c r="BZ398" s="99">
        <v>2</v>
      </c>
      <c r="CA398" s="99">
        <v>2</v>
      </c>
      <c r="CB398" s="99">
        <v>0</v>
      </c>
      <c r="CC398" s="99">
        <v>2</v>
      </c>
      <c r="CD398" s="99">
        <v>2</v>
      </c>
      <c r="CE398" s="99">
        <v>2</v>
      </c>
      <c r="CF398" s="99">
        <v>2</v>
      </c>
    </row>
    <row r="399" spans="1:84" x14ac:dyDescent="0.3">
      <c r="A399" s="99">
        <v>955</v>
      </c>
      <c r="B399" s="315">
        <v>955</v>
      </c>
      <c r="C399" s="99" t="s">
        <v>1776</v>
      </c>
      <c r="D399" s="99" t="s">
        <v>923</v>
      </c>
      <c r="F399" s="99">
        <v>1</v>
      </c>
      <c r="G399" s="99">
        <v>0</v>
      </c>
      <c r="H399" s="99">
        <v>0</v>
      </c>
      <c r="I399" s="99">
        <v>0</v>
      </c>
      <c r="J399" s="99">
        <v>0</v>
      </c>
      <c r="K399" s="99">
        <v>0</v>
      </c>
      <c r="L399" s="99">
        <v>0</v>
      </c>
      <c r="M399" s="99">
        <v>0</v>
      </c>
      <c r="N399" s="99">
        <v>0</v>
      </c>
      <c r="O399" s="99">
        <v>0</v>
      </c>
      <c r="P399" s="99">
        <v>0</v>
      </c>
      <c r="Q399" s="99">
        <v>0</v>
      </c>
      <c r="R399" s="99">
        <v>0</v>
      </c>
      <c r="S399" s="99">
        <v>0</v>
      </c>
      <c r="T399" s="99">
        <v>0</v>
      </c>
      <c r="U399" s="99">
        <v>0</v>
      </c>
      <c r="V399" s="99">
        <v>0</v>
      </c>
      <c r="W399" s="99">
        <v>0</v>
      </c>
      <c r="X399" s="99">
        <v>0</v>
      </c>
      <c r="Y399" s="99">
        <v>0</v>
      </c>
      <c r="Z399" s="99">
        <v>0</v>
      </c>
      <c r="AA399" s="99">
        <v>0</v>
      </c>
      <c r="AB399" s="99">
        <v>0</v>
      </c>
      <c r="AC399" s="99">
        <v>0</v>
      </c>
      <c r="AD399" s="99">
        <v>0</v>
      </c>
      <c r="AE399" s="99">
        <v>0</v>
      </c>
      <c r="AF399" s="99">
        <v>0</v>
      </c>
      <c r="AG399" s="99">
        <v>0</v>
      </c>
      <c r="AH399" s="99">
        <v>1</v>
      </c>
      <c r="AI399" s="99">
        <v>0</v>
      </c>
      <c r="AJ399" s="99">
        <v>0</v>
      </c>
      <c r="AK399" s="99">
        <v>0</v>
      </c>
      <c r="AL399" s="99">
        <v>1</v>
      </c>
      <c r="AM399" s="99">
        <v>0</v>
      </c>
      <c r="AN399" s="99">
        <v>0</v>
      </c>
      <c r="AO399" s="99">
        <v>1</v>
      </c>
      <c r="AP399" s="99">
        <v>0</v>
      </c>
      <c r="AQ399" s="99">
        <v>0</v>
      </c>
      <c r="AR399" s="99">
        <v>0</v>
      </c>
      <c r="AS399" s="99">
        <v>0</v>
      </c>
      <c r="AT399" s="99">
        <v>0</v>
      </c>
      <c r="AU399" s="99">
        <v>0</v>
      </c>
      <c r="AV399" s="99">
        <v>2</v>
      </c>
      <c r="AW399" s="99">
        <v>0</v>
      </c>
      <c r="AX399" s="99">
        <v>0</v>
      </c>
      <c r="AY399" s="99">
        <v>0</v>
      </c>
      <c r="AZ399" s="99">
        <v>0</v>
      </c>
      <c r="BA399" s="99">
        <v>0</v>
      </c>
      <c r="BB399" s="99">
        <v>0</v>
      </c>
      <c r="BC399" s="99">
        <v>0</v>
      </c>
      <c r="BD399" s="99">
        <v>0</v>
      </c>
      <c r="BE399" s="99">
        <v>0</v>
      </c>
      <c r="BF399" s="99">
        <v>1</v>
      </c>
      <c r="BG399" s="99">
        <v>0</v>
      </c>
      <c r="BH399" s="99">
        <v>0</v>
      </c>
      <c r="BI399" s="99">
        <v>0</v>
      </c>
      <c r="BJ399" s="99">
        <v>0</v>
      </c>
      <c r="BK399" s="99">
        <v>0</v>
      </c>
      <c r="BL399" s="99">
        <v>0</v>
      </c>
      <c r="BM399" s="99">
        <v>2</v>
      </c>
      <c r="BN399" s="99">
        <v>0</v>
      </c>
      <c r="BO399" s="99">
        <v>0</v>
      </c>
      <c r="BP399" s="99">
        <v>0</v>
      </c>
      <c r="BQ399" s="99">
        <v>0</v>
      </c>
      <c r="BR399" s="99">
        <v>1</v>
      </c>
      <c r="BS399" s="99">
        <v>0</v>
      </c>
      <c r="BT399" s="99">
        <v>1</v>
      </c>
      <c r="BU399" s="99">
        <v>0</v>
      </c>
      <c r="BV399" s="99">
        <v>0</v>
      </c>
      <c r="BW399" s="99">
        <v>0</v>
      </c>
      <c r="BX399" s="99">
        <v>0</v>
      </c>
      <c r="BY399" s="99">
        <v>0</v>
      </c>
      <c r="BZ399" s="99">
        <v>0</v>
      </c>
      <c r="CA399" s="99">
        <v>1</v>
      </c>
      <c r="CB399" s="99">
        <v>0</v>
      </c>
      <c r="CC399" s="99">
        <v>0</v>
      </c>
      <c r="CD399" s="99">
        <v>1</v>
      </c>
      <c r="CE399" s="99">
        <v>0</v>
      </c>
      <c r="CF399" s="99">
        <v>0</v>
      </c>
    </row>
    <row r="400" spans="1:84" x14ac:dyDescent="0.3">
      <c r="A400" s="99">
        <v>957</v>
      </c>
      <c r="B400" s="315">
        <v>957</v>
      </c>
      <c r="C400" s="99" t="s">
        <v>1776</v>
      </c>
      <c r="D400" s="99" t="s">
        <v>924</v>
      </c>
      <c r="F400" s="99">
        <v>0</v>
      </c>
      <c r="G400" s="99">
        <v>0</v>
      </c>
      <c r="H400" s="99">
        <v>0</v>
      </c>
      <c r="I400" s="99">
        <v>0</v>
      </c>
      <c r="J400" s="99">
        <v>0</v>
      </c>
      <c r="K400" s="99">
        <v>0</v>
      </c>
      <c r="L400" s="99">
        <v>0</v>
      </c>
      <c r="M400" s="99">
        <v>0</v>
      </c>
      <c r="N400" s="99">
        <v>0</v>
      </c>
      <c r="O400" s="99">
        <v>0</v>
      </c>
      <c r="P400" s="99">
        <v>0</v>
      </c>
      <c r="Q400" s="99">
        <v>0</v>
      </c>
      <c r="R400" s="99">
        <v>0</v>
      </c>
      <c r="S400" s="99">
        <v>0</v>
      </c>
      <c r="T400" s="99">
        <v>0</v>
      </c>
      <c r="U400" s="99">
        <v>0</v>
      </c>
      <c r="V400" s="99">
        <v>0</v>
      </c>
      <c r="W400" s="99">
        <v>0</v>
      </c>
      <c r="X400" s="99">
        <v>0</v>
      </c>
      <c r="Y400" s="99">
        <v>0</v>
      </c>
      <c r="Z400" s="99">
        <v>0</v>
      </c>
      <c r="AA400" s="99">
        <v>0</v>
      </c>
      <c r="AB400" s="99">
        <v>0</v>
      </c>
      <c r="AC400" s="99">
        <v>0</v>
      </c>
      <c r="AD400" s="99">
        <v>0</v>
      </c>
      <c r="AE400" s="99">
        <v>0</v>
      </c>
      <c r="AF400" s="99">
        <v>0</v>
      </c>
      <c r="AG400" s="99">
        <v>0</v>
      </c>
      <c r="AH400" s="99">
        <v>0</v>
      </c>
      <c r="AI400" s="99">
        <v>0</v>
      </c>
      <c r="AJ400" s="99">
        <v>0</v>
      </c>
      <c r="AK400" s="99">
        <v>0</v>
      </c>
      <c r="AL400" s="99">
        <v>3</v>
      </c>
      <c r="AM400" s="99">
        <v>0</v>
      </c>
      <c r="AN400" s="99">
        <v>0</v>
      </c>
      <c r="AO400" s="99">
        <v>0</v>
      </c>
      <c r="AP400" s="99">
        <v>0</v>
      </c>
      <c r="AQ400" s="99">
        <v>0</v>
      </c>
      <c r="AR400" s="99">
        <v>0</v>
      </c>
      <c r="AS400" s="99">
        <v>0</v>
      </c>
      <c r="AT400" s="99">
        <v>0</v>
      </c>
      <c r="AU400" s="99">
        <v>0</v>
      </c>
      <c r="AV400" s="99">
        <v>0</v>
      </c>
      <c r="AW400" s="99">
        <v>0</v>
      </c>
      <c r="AX400" s="99">
        <v>0</v>
      </c>
      <c r="AY400" s="99">
        <v>0</v>
      </c>
      <c r="AZ400" s="99">
        <v>0</v>
      </c>
      <c r="BA400" s="99">
        <v>0</v>
      </c>
      <c r="BB400" s="99">
        <v>0</v>
      </c>
      <c r="BC400" s="99">
        <v>0</v>
      </c>
      <c r="BD400" s="99">
        <v>0</v>
      </c>
      <c r="BE400" s="99">
        <v>0</v>
      </c>
      <c r="BF400" s="99">
        <v>0</v>
      </c>
      <c r="BG400" s="99">
        <v>0</v>
      </c>
      <c r="BH400" s="99">
        <v>0</v>
      </c>
      <c r="BI400" s="99">
        <v>0</v>
      </c>
      <c r="BJ400" s="99">
        <v>0</v>
      </c>
      <c r="BK400" s="99">
        <v>0</v>
      </c>
      <c r="BL400" s="99">
        <v>0</v>
      </c>
      <c r="BM400" s="99">
        <v>0</v>
      </c>
      <c r="BN400" s="99">
        <v>1</v>
      </c>
      <c r="BO400" s="99">
        <v>0</v>
      </c>
      <c r="BP400" s="99">
        <v>0</v>
      </c>
      <c r="BQ400" s="99">
        <v>0</v>
      </c>
      <c r="BR400" s="99">
        <v>0</v>
      </c>
      <c r="BS400" s="99">
        <v>0</v>
      </c>
      <c r="BT400" s="99">
        <v>1</v>
      </c>
      <c r="BU400" s="99">
        <v>0</v>
      </c>
      <c r="BV400" s="99">
        <v>0</v>
      </c>
      <c r="BW400" s="99">
        <v>0</v>
      </c>
      <c r="BX400" s="99">
        <v>0</v>
      </c>
      <c r="BY400" s="99">
        <v>0</v>
      </c>
      <c r="BZ400" s="99">
        <v>0</v>
      </c>
      <c r="CA400" s="99">
        <v>0</v>
      </c>
      <c r="CB400" s="99">
        <v>0</v>
      </c>
      <c r="CC400" s="99">
        <v>0</v>
      </c>
      <c r="CD400" s="99">
        <v>0</v>
      </c>
      <c r="CE400" s="99">
        <v>0</v>
      </c>
      <c r="CF400" s="99">
        <v>0</v>
      </c>
    </row>
    <row r="401" spans="1:84" x14ac:dyDescent="0.3">
      <c r="A401" s="99">
        <v>959</v>
      </c>
      <c r="B401" s="315">
        <v>959</v>
      </c>
      <c r="C401" s="99" t="s">
        <v>1776</v>
      </c>
      <c r="D401" s="99" t="s">
        <v>914</v>
      </c>
      <c r="F401" s="99">
        <v>2</v>
      </c>
      <c r="G401" s="99">
        <v>2</v>
      </c>
      <c r="H401" s="99">
        <v>2</v>
      </c>
      <c r="I401" s="99">
        <v>2</v>
      </c>
      <c r="J401" s="99">
        <v>2</v>
      </c>
      <c r="K401" s="99">
        <v>2</v>
      </c>
      <c r="L401" s="99">
        <v>3</v>
      </c>
      <c r="M401" s="99">
        <v>2</v>
      </c>
      <c r="N401" s="99">
        <v>2</v>
      </c>
      <c r="O401" s="99">
        <v>2</v>
      </c>
      <c r="P401" s="99">
        <v>3</v>
      </c>
      <c r="Q401" s="99">
        <v>3</v>
      </c>
      <c r="R401" s="99">
        <v>3</v>
      </c>
      <c r="S401" s="99">
        <v>2</v>
      </c>
      <c r="T401" s="99">
        <v>3</v>
      </c>
      <c r="U401" s="99">
        <v>2</v>
      </c>
      <c r="V401" s="99">
        <v>0</v>
      </c>
      <c r="W401" s="99">
        <v>2</v>
      </c>
      <c r="X401" s="99">
        <v>2</v>
      </c>
      <c r="Y401" s="99">
        <v>2</v>
      </c>
      <c r="Z401" s="99">
        <v>0</v>
      </c>
      <c r="AA401" s="99">
        <v>2</v>
      </c>
      <c r="AB401" s="99">
        <v>2</v>
      </c>
      <c r="AC401" s="99">
        <v>2</v>
      </c>
      <c r="AD401" s="99">
        <v>2</v>
      </c>
      <c r="AE401" s="99">
        <v>2</v>
      </c>
      <c r="AF401" s="99">
        <v>2</v>
      </c>
      <c r="AG401" s="99">
        <v>0</v>
      </c>
      <c r="AH401" s="99">
        <v>2</v>
      </c>
      <c r="AI401" s="99">
        <v>2</v>
      </c>
      <c r="AJ401" s="99">
        <v>2</v>
      </c>
      <c r="AK401" s="99">
        <v>2</v>
      </c>
      <c r="AL401" s="99">
        <v>3</v>
      </c>
      <c r="AM401" s="99">
        <v>2</v>
      </c>
      <c r="AN401" s="99">
        <v>0</v>
      </c>
      <c r="AO401" s="99">
        <v>2</v>
      </c>
      <c r="AP401" s="99">
        <v>2</v>
      </c>
      <c r="AQ401" s="99">
        <v>2</v>
      </c>
      <c r="AR401" s="99">
        <v>2</v>
      </c>
      <c r="AS401" s="99">
        <v>2</v>
      </c>
      <c r="AT401" s="99">
        <v>2</v>
      </c>
      <c r="AU401" s="99">
        <v>0</v>
      </c>
      <c r="AV401" s="99">
        <v>2</v>
      </c>
      <c r="AW401" s="99">
        <v>2</v>
      </c>
      <c r="AX401" s="99">
        <v>2</v>
      </c>
      <c r="AY401" s="99">
        <v>2</v>
      </c>
      <c r="AZ401" s="99">
        <v>2</v>
      </c>
      <c r="BA401" s="99">
        <v>2</v>
      </c>
      <c r="BB401" s="99">
        <v>2</v>
      </c>
      <c r="BC401" s="99">
        <v>0</v>
      </c>
      <c r="BD401" s="99">
        <v>2</v>
      </c>
      <c r="BE401" s="99">
        <v>2</v>
      </c>
      <c r="BF401" s="99">
        <v>2</v>
      </c>
      <c r="BG401" s="99">
        <v>2</v>
      </c>
      <c r="BH401" s="99">
        <v>2</v>
      </c>
      <c r="BI401" s="99">
        <v>3</v>
      </c>
      <c r="BJ401" s="99">
        <v>2</v>
      </c>
      <c r="BK401" s="99">
        <v>2</v>
      </c>
      <c r="BL401" s="99">
        <v>3</v>
      </c>
      <c r="BM401" s="99">
        <v>2</v>
      </c>
      <c r="BN401" s="99">
        <v>2</v>
      </c>
      <c r="BO401" s="99">
        <v>2</v>
      </c>
      <c r="BP401" s="99">
        <v>0</v>
      </c>
      <c r="BQ401" s="99">
        <v>2</v>
      </c>
      <c r="BR401" s="99">
        <v>2</v>
      </c>
      <c r="BS401" s="99">
        <v>2</v>
      </c>
      <c r="BT401" s="99">
        <v>2</v>
      </c>
      <c r="BU401" s="99">
        <v>2</v>
      </c>
      <c r="BV401" s="99">
        <v>2</v>
      </c>
      <c r="BW401" s="99">
        <v>2</v>
      </c>
      <c r="BX401" s="99">
        <v>2</v>
      </c>
      <c r="BY401" s="99">
        <v>2</v>
      </c>
      <c r="BZ401" s="99">
        <v>2</v>
      </c>
      <c r="CA401" s="99">
        <v>2</v>
      </c>
      <c r="CB401" s="99">
        <v>0</v>
      </c>
      <c r="CC401" s="99">
        <v>2</v>
      </c>
      <c r="CD401" s="99">
        <v>2</v>
      </c>
      <c r="CE401" s="99">
        <v>3</v>
      </c>
      <c r="CF401" s="99">
        <v>2</v>
      </c>
    </row>
    <row r="402" spans="1:84" x14ac:dyDescent="0.3">
      <c r="A402" s="99">
        <v>961</v>
      </c>
      <c r="B402" s="315">
        <v>961</v>
      </c>
      <c r="C402" s="99" t="s">
        <v>1776</v>
      </c>
      <c r="D402" s="99" t="s">
        <v>915</v>
      </c>
      <c r="F402" s="99">
        <v>3</v>
      </c>
      <c r="G402" s="99">
        <v>2</v>
      </c>
      <c r="H402" s="99">
        <v>2</v>
      </c>
      <c r="I402" s="99">
        <v>2</v>
      </c>
      <c r="J402" s="99">
        <v>2</v>
      </c>
      <c r="K402" s="99">
        <v>2</v>
      </c>
      <c r="L402" s="99">
        <v>3</v>
      </c>
      <c r="M402" s="99">
        <v>2</v>
      </c>
      <c r="N402" s="99">
        <v>2</v>
      </c>
      <c r="O402" s="99">
        <v>2</v>
      </c>
      <c r="P402" s="99">
        <v>3</v>
      </c>
      <c r="Q402" s="99">
        <v>2</v>
      </c>
      <c r="R402" s="99">
        <v>3</v>
      </c>
      <c r="S402" s="99">
        <v>2</v>
      </c>
      <c r="T402" s="99">
        <v>3</v>
      </c>
      <c r="U402" s="99">
        <v>2</v>
      </c>
      <c r="V402" s="99">
        <v>0</v>
      </c>
      <c r="W402" s="99">
        <v>3</v>
      </c>
      <c r="X402" s="99">
        <v>2</v>
      </c>
      <c r="Y402" s="99">
        <v>3</v>
      </c>
      <c r="Z402" s="99">
        <v>0</v>
      </c>
      <c r="AA402" s="99">
        <v>2</v>
      </c>
      <c r="AB402" s="99">
        <v>2</v>
      </c>
      <c r="AC402" s="99">
        <v>2</v>
      </c>
      <c r="AD402" s="99">
        <v>2</v>
      </c>
      <c r="AE402" s="99">
        <v>2</v>
      </c>
      <c r="AF402" s="99">
        <v>3</v>
      </c>
      <c r="AG402" s="99">
        <v>0</v>
      </c>
      <c r="AH402" s="99">
        <v>2</v>
      </c>
      <c r="AI402" s="99">
        <v>3</v>
      </c>
      <c r="AJ402" s="99">
        <v>2</v>
      </c>
      <c r="AK402" s="99">
        <v>2</v>
      </c>
      <c r="AL402" s="99">
        <v>3</v>
      </c>
      <c r="AM402" s="99">
        <v>2</v>
      </c>
      <c r="AN402" s="99">
        <v>0</v>
      </c>
      <c r="AO402" s="99">
        <v>2</v>
      </c>
      <c r="AP402" s="99">
        <v>2</v>
      </c>
      <c r="AQ402" s="99">
        <v>3</v>
      </c>
      <c r="AR402" s="99">
        <v>2</v>
      </c>
      <c r="AS402" s="99">
        <v>2</v>
      </c>
      <c r="AT402" s="99">
        <v>3</v>
      </c>
      <c r="AU402" s="99">
        <v>0</v>
      </c>
      <c r="AV402" s="99">
        <v>2</v>
      </c>
      <c r="AW402" s="99">
        <v>2</v>
      </c>
      <c r="AX402" s="99">
        <v>2</v>
      </c>
      <c r="AY402" s="99">
        <v>2</v>
      </c>
      <c r="AZ402" s="99">
        <v>2</v>
      </c>
      <c r="BA402" s="99">
        <v>2</v>
      </c>
      <c r="BB402" s="99">
        <v>2</v>
      </c>
      <c r="BC402" s="99">
        <v>0</v>
      </c>
      <c r="BD402" s="99">
        <v>3</v>
      </c>
      <c r="BE402" s="99">
        <v>2</v>
      </c>
      <c r="BF402" s="99">
        <v>2</v>
      </c>
      <c r="BG402" s="99">
        <v>2</v>
      </c>
      <c r="BH402" s="99">
        <v>2</v>
      </c>
      <c r="BI402" s="99">
        <v>3</v>
      </c>
      <c r="BJ402" s="99">
        <v>2</v>
      </c>
      <c r="BK402" s="99">
        <v>2</v>
      </c>
      <c r="BL402" s="99">
        <v>3</v>
      </c>
      <c r="BM402" s="99">
        <v>3</v>
      </c>
      <c r="BN402" s="99">
        <v>2</v>
      </c>
      <c r="BO402" s="99">
        <v>2</v>
      </c>
      <c r="BP402" s="99">
        <v>0</v>
      </c>
      <c r="BQ402" s="99">
        <v>2</v>
      </c>
      <c r="BR402" s="99">
        <v>2</v>
      </c>
      <c r="BS402" s="99">
        <v>2</v>
      </c>
      <c r="BT402" s="99">
        <v>2</v>
      </c>
      <c r="BU402" s="99">
        <v>3</v>
      </c>
      <c r="BV402" s="99">
        <v>2</v>
      </c>
      <c r="BW402" s="99">
        <v>2</v>
      </c>
      <c r="BX402" s="99">
        <v>3</v>
      </c>
      <c r="BY402" s="99">
        <v>2</v>
      </c>
      <c r="BZ402" s="99">
        <v>2</v>
      </c>
      <c r="CA402" s="99">
        <v>2</v>
      </c>
      <c r="CB402" s="99">
        <v>0</v>
      </c>
      <c r="CC402" s="99">
        <v>2</v>
      </c>
      <c r="CD402" s="99">
        <v>2</v>
      </c>
      <c r="CE402" s="99">
        <v>2</v>
      </c>
      <c r="CF402" s="99">
        <v>2</v>
      </c>
    </row>
    <row r="403" spans="1:84" x14ac:dyDescent="0.3">
      <c r="A403" s="99">
        <v>963</v>
      </c>
      <c r="B403" s="315">
        <v>963</v>
      </c>
      <c r="C403" s="99" t="s">
        <v>1776</v>
      </c>
      <c r="D403" s="99" t="s">
        <v>916</v>
      </c>
      <c r="F403" s="99">
        <v>3</v>
      </c>
      <c r="G403" s="99">
        <v>3</v>
      </c>
      <c r="H403" s="99">
        <v>3</v>
      </c>
      <c r="I403" s="99">
        <v>1</v>
      </c>
      <c r="J403" s="99">
        <v>3</v>
      </c>
      <c r="K403" s="99">
        <v>3</v>
      </c>
      <c r="L403" s="99">
        <v>3</v>
      </c>
      <c r="M403" s="99">
        <v>1</v>
      </c>
      <c r="N403" s="99">
        <v>1</v>
      </c>
      <c r="O403" s="99">
        <v>1</v>
      </c>
      <c r="P403" s="99">
        <v>3</v>
      </c>
      <c r="Q403" s="99">
        <v>3</v>
      </c>
      <c r="R403" s="99">
        <v>3</v>
      </c>
      <c r="S403" s="99">
        <v>3</v>
      </c>
      <c r="T403" s="99">
        <v>3</v>
      </c>
      <c r="U403" s="99">
        <v>1</v>
      </c>
      <c r="V403" s="99">
        <v>0</v>
      </c>
      <c r="W403" s="99">
        <v>3</v>
      </c>
      <c r="X403" s="99">
        <v>3</v>
      </c>
      <c r="Y403" s="99">
        <v>3</v>
      </c>
      <c r="Z403" s="99">
        <v>0</v>
      </c>
      <c r="AA403" s="99">
        <v>1</v>
      </c>
      <c r="AB403" s="99">
        <v>1</v>
      </c>
      <c r="AC403" s="99">
        <v>3</v>
      </c>
      <c r="AD403" s="99">
        <v>3</v>
      </c>
      <c r="AE403" s="99">
        <v>1</v>
      </c>
      <c r="AF403" s="99">
        <v>3</v>
      </c>
      <c r="AG403" s="99">
        <v>0</v>
      </c>
      <c r="AH403" s="99">
        <v>1</v>
      </c>
      <c r="AI403" s="99">
        <v>3</v>
      </c>
      <c r="AJ403" s="99">
        <v>3</v>
      </c>
      <c r="AK403" s="99">
        <v>1</v>
      </c>
      <c r="AL403" s="99">
        <v>3</v>
      </c>
      <c r="AM403" s="99">
        <v>3</v>
      </c>
      <c r="AN403" s="99">
        <v>0</v>
      </c>
      <c r="AO403" s="99">
        <v>2</v>
      </c>
      <c r="AP403" s="99">
        <v>3</v>
      </c>
      <c r="AQ403" s="99">
        <v>3</v>
      </c>
      <c r="AR403" s="99">
        <v>3</v>
      </c>
      <c r="AS403" s="99">
        <v>3</v>
      </c>
      <c r="AT403" s="99">
        <v>3</v>
      </c>
      <c r="AU403" s="99">
        <v>0</v>
      </c>
      <c r="AV403" s="99">
        <v>1</v>
      </c>
      <c r="AW403" s="99">
        <v>1</v>
      </c>
      <c r="AX403" s="99">
        <v>1</v>
      </c>
      <c r="AY403" s="99">
        <v>3</v>
      </c>
      <c r="AZ403" s="99">
        <v>3</v>
      </c>
      <c r="BA403" s="99">
        <v>3</v>
      </c>
      <c r="BB403" s="99">
        <v>1</v>
      </c>
      <c r="BC403" s="99">
        <v>0</v>
      </c>
      <c r="BD403" s="99">
        <v>3</v>
      </c>
      <c r="BE403" s="99">
        <v>3</v>
      </c>
      <c r="BF403" s="99">
        <v>3</v>
      </c>
      <c r="BG403" s="99">
        <v>3</v>
      </c>
      <c r="BH403" s="99">
        <v>1</v>
      </c>
      <c r="BI403" s="99">
        <v>3</v>
      </c>
      <c r="BJ403" s="99">
        <v>3</v>
      </c>
      <c r="BK403" s="99">
        <v>3</v>
      </c>
      <c r="BL403" s="99">
        <v>3</v>
      </c>
      <c r="BM403" s="99">
        <v>3</v>
      </c>
      <c r="BN403" s="99">
        <v>1</v>
      </c>
      <c r="BO403" s="99">
        <v>1</v>
      </c>
      <c r="BP403" s="99">
        <v>0</v>
      </c>
      <c r="BQ403" s="99">
        <v>3</v>
      </c>
      <c r="BR403" s="99">
        <v>1</v>
      </c>
      <c r="BS403" s="99">
        <v>3</v>
      </c>
      <c r="BT403" s="99">
        <v>3</v>
      </c>
      <c r="BU403" s="99">
        <v>3</v>
      </c>
      <c r="BV403" s="99">
        <v>1</v>
      </c>
      <c r="BW403" s="99">
        <v>3</v>
      </c>
      <c r="BX403" s="99">
        <v>3</v>
      </c>
      <c r="BY403" s="99">
        <v>3</v>
      </c>
      <c r="BZ403" s="99">
        <v>3</v>
      </c>
      <c r="CA403" s="99">
        <v>1</v>
      </c>
      <c r="CB403" s="99">
        <v>0</v>
      </c>
      <c r="CC403" s="99">
        <v>3</v>
      </c>
      <c r="CD403" s="99">
        <v>3</v>
      </c>
      <c r="CE403" s="99">
        <v>3</v>
      </c>
      <c r="CF403" s="99">
        <v>3</v>
      </c>
    </row>
    <row r="404" spans="1:84" x14ac:dyDescent="0.3">
      <c r="A404" s="99">
        <v>965</v>
      </c>
      <c r="B404" s="315">
        <v>965</v>
      </c>
      <c r="C404" s="99" t="s">
        <v>1776</v>
      </c>
      <c r="D404" s="99" t="s">
        <v>917</v>
      </c>
      <c r="F404" s="99">
        <v>1</v>
      </c>
      <c r="G404" s="99">
        <v>1</v>
      </c>
      <c r="H404" s="99">
        <v>1</v>
      </c>
      <c r="I404" s="99">
        <v>1</v>
      </c>
      <c r="J404" s="99">
        <v>1</v>
      </c>
      <c r="K404" s="99">
        <v>1</v>
      </c>
      <c r="L404" s="99">
        <v>1</v>
      </c>
      <c r="M404" s="99">
        <v>1</v>
      </c>
      <c r="N404" s="99">
        <v>1</v>
      </c>
      <c r="O404" s="99">
        <v>1</v>
      </c>
      <c r="P404" s="99">
        <v>1</v>
      </c>
      <c r="Q404" s="99">
        <v>1</v>
      </c>
      <c r="R404" s="99">
        <v>1</v>
      </c>
      <c r="S404" s="99">
        <v>1</v>
      </c>
      <c r="T404" s="99">
        <v>1</v>
      </c>
      <c r="U404" s="99">
        <v>1</v>
      </c>
      <c r="V404" s="99">
        <v>0</v>
      </c>
      <c r="W404" s="99">
        <v>1</v>
      </c>
      <c r="X404" s="99">
        <v>1</v>
      </c>
      <c r="Y404" s="99">
        <v>1</v>
      </c>
      <c r="Z404" s="99">
        <v>0</v>
      </c>
      <c r="AA404" s="99">
        <v>1</v>
      </c>
      <c r="AB404" s="99">
        <v>1</v>
      </c>
      <c r="AC404" s="99">
        <v>1</v>
      </c>
      <c r="AD404" s="99">
        <v>1</v>
      </c>
      <c r="AE404" s="99">
        <v>1</v>
      </c>
      <c r="AF404" s="99">
        <v>1</v>
      </c>
      <c r="AG404" s="99">
        <v>0</v>
      </c>
      <c r="AH404" s="99">
        <v>1</v>
      </c>
      <c r="AI404" s="99">
        <v>1</v>
      </c>
      <c r="AJ404" s="99">
        <v>1</v>
      </c>
      <c r="AK404" s="99">
        <v>1</v>
      </c>
      <c r="AL404" s="99">
        <v>1</v>
      </c>
      <c r="AM404" s="99">
        <v>1</v>
      </c>
      <c r="AN404" s="99">
        <v>0</v>
      </c>
      <c r="AO404" s="99">
        <v>1</v>
      </c>
      <c r="AP404" s="99">
        <v>1</v>
      </c>
      <c r="AQ404" s="99">
        <v>1</v>
      </c>
      <c r="AR404" s="99">
        <v>1</v>
      </c>
      <c r="AS404" s="99">
        <v>1</v>
      </c>
      <c r="AT404" s="99">
        <v>1</v>
      </c>
      <c r="AU404" s="99">
        <v>0</v>
      </c>
      <c r="AV404" s="99">
        <v>1</v>
      </c>
      <c r="AW404" s="99">
        <v>1</v>
      </c>
      <c r="AX404" s="99">
        <v>1</v>
      </c>
      <c r="AY404" s="99">
        <v>1</v>
      </c>
      <c r="AZ404" s="99">
        <v>1</v>
      </c>
      <c r="BA404" s="99">
        <v>1</v>
      </c>
      <c r="BB404" s="99">
        <v>1</v>
      </c>
      <c r="BC404" s="99">
        <v>0</v>
      </c>
      <c r="BD404" s="99">
        <v>1</v>
      </c>
      <c r="BE404" s="99">
        <v>1</v>
      </c>
      <c r="BF404" s="99">
        <v>1</v>
      </c>
      <c r="BG404" s="99">
        <v>1</v>
      </c>
      <c r="BH404" s="99">
        <v>1</v>
      </c>
      <c r="BI404" s="99">
        <v>1</v>
      </c>
      <c r="BJ404" s="99">
        <v>1</v>
      </c>
      <c r="BK404" s="99">
        <v>1</v>
      </c>
      <c r="BL404" s="99">
        <v>1</v>
      </c>
      <c r="BM404" s="99">
        <v>1</v>
      </c>
      <c r="BN404" s="99">
        <v>1</v>
      </c>
      <c r="BO404" s="99">
        <v>1</v>
      </c>
      <c r="BP404" s="99">
        <v>0</v>
      </c>
      <c r="BQ404" s="99">
        <v>1</v>
      </c>
      <c r="BR404" s="99">
        <v>1</v>
      </c>
      <c r="BS404" s="99">
        <v>1</v>
      </c>
      <c r="BT404" s="99">
        <v>1</v>
      </c>
      <c r="BU404" s="99">
        <v>1</v>
      </c>
      <c r="BV404" s="99">
        <v>1</v>
      </c>
      <c r="BW404" s="99">
        <v>1</v>
      </c>
      <c r="BX404" s="99">
        <v>1</v>
      </c>
      <c r="BY404" s="99">
        <v>1</v>
      </c>
      <c r="BZ404" s="99">
        <v>1</v>
      </c>
      <c r="CA404" s="99">
        <v>1</v>
      </c>
      <c r="CB404" s="99">
        <v>0</v>
      </c>
      <c r="CC404" s="99">
        <v>1</v>
      </c>
      <c r="CD404" s="99">
        <v>1</v>
      </c>
      <c r="CE404" s="99">
        <v>1</v>
      </c>
      <c r="CF404" s="99">
        <v>1</v>
      </c>
    </row>
    <row r="405" spans="1:84" x14ac:dyDescent="0.3">
      <c r="A405" s="99">
        <v>603</v>
      </c>
      <c r="B405" s="315">
        <v>603</v>
      </c>
      <c r="C405" s="99" t="s">
        <v>1777</v>
      </c>
      <c r="D405" s="99" t="s">
        <v>922</v>
      </c>
      <c r="F405" s="99">
        <v>4</v>
      </c>
      <c r="G405" s="99">
        <v>2</v>
      </c>
      <c r="H405" s="99">
        <v>0</v>
      </c>
      <c r="I405" s="99">
        <v>0</v>
      </c>
      <c r="J405" s="99">
        <v>0</v>
      </c>
      <c r="K405" s="99">
        <v>0</v>
      </c>
      <c r="L405" s="99">
        <v>0</v>
      </c>
      <c r="M405" s="99">
        <v>2</v>
      </c>
      <c r="N405" s="99">
        <v>1</v>
      </c>
      <c r="O405" s="99">
        <v>0</v>
      </c>
      <c r="P405" s="99">
        <v>0</v>
      </c>
      <c r="Q405" s="99">
        <v>0</v>
      </c>
      <c r="R405" s="99">
        <v>3</v>
      </c>
      <c r="S405" s="99">
        <v>0</v>
      </c>
      <c r="T405" s="99">
        <v>0</v>
      </c>
      <c r="U405" s="99">
        <v>2</v>
      </c>
      <c r="V405" s="99">
        <v>0</v>
      </c>
      <c r="W405" s="99">
        <v>0</v>
      </c>
      <c r="X405" s="99">
        <v>0</v>
      </c>
      <c r="Y405" s="99">
        <v>0</v>
      </c>
      <c r="Z405" s="99">
        <v>0</v>
      </c>
      <c r="AA405" s="99">
        <v>1</v>
      </c>
      <c r="AB405" s="99">
        <v>0</v>
      </c>
      <c r="AC405" s="99">
        <v>2</v>
      </c>
      <c r="AD405" s="99">
        <v>0</v>
      </c>
      <c r="AE405" s="99">
        <v>0</v>
      </c>
      <c r="AF405" s="99">
        <v>0</v>
      </c>
      <c r="AG405" s="99">
        <v>0</v>
      </c>
      <c r="AH405" s="99">
        <v>0</v>
      </c>
      <c r="AI405" s="99">
        <v>0</v>
      </c>
      <c r="AJ405" s="99">
        <v>4</v>
      </c>
      <c r="AK405" s="99">
        <v>0</v>
      </c>
      <c r="AL405" s="99">
        <v>4</v>
      </c>
      <c r="AM405" s="99">
        <v>2</v>
      </c>
      <c r="AN405" s="99">
        <v>0</v>
      </c>
      <c r="AO405" s="99">
        <v>2</v>
      </c>
      <c r="AP405" s="99">
        <v>0</v>
      </c>
      <c r="AQ405" s="99">
        <v>0</v>
      </c>
      <c r="AR405" s="99">
        <v>0</v>
      </c>
      <c r="AS405" s="99">
        <v>0</v>
      </c>
      <c r="AT405" s="99">
        <v>1</v>
      </c>
      <c r="AU405" s="99">
        <v>0</v>
      </c>
      <c r="AV405" s="99">
        <v>2</v>
      </c>
      <c r="AW405" s="99">
        <v>1</v>
      </c>
      <c r="AX405" s="99">
        <v>0</v>
      </c>
      <c r="AY405" s="99">
        <v>1</v>
      </c>
      <c r="AZ405" s="99">
        <v>1</v>
      </c>
      <c r="BA405" s="99">
        <v>4</v>
      </c>
      <c r="BB405" s="99">
        <v>2</v>
      </c>
      <c r="BC405" s="99">
        <v>0</v>
      </c>
      <c r="BD405" s="99">
        <v>1</v>
      </c>
      <c r="BE405" s="99">
        <v>0</v>
      </c>
      <c r="BF405" s="99">
        <v>0</v>
      </c>
      <c r="BG405" s="99">
        <v>0</v>
      </c>
      <c r="BH405" s="99">
        <v>0</v>
      </c>
      <c r="BI405" s="99">
        <v>1</v>
      </c>
      <c r="BJ405" s="99">
        <v>0</v>
      </c>
      <c r="BK405" s="99">
        <v>1</v>
      </c>
      <c r="BL405" s="99">
        <v>0</v>
      </c>
      <c r="BM405" s="99">
        <v>2</v>
      </c>
      <c r="BN405" s="99">
        <v>4</v>
      </c>
      <c r="BO405" s="99">
        <v>1</v>
      </c>
      <c r="BP405" s="99">
        <v>0</v>
      </c>
      <c r="BQ405" s="99">
        <v>0</v>
      </c>
      <c r="BR405" s="99">
        <v>0</v>
      </c>
      <c r="BS405" s="99">
        <v>0</v>
      </c>
      <c r="BT405" s="99">
        <v>2</v>
      </c>
      <c r="BU405" s="99">
        <v>0</v>
      </c>
      <c r="BV405" s="99">
        <v>0</v>
      </c>
      <c r="BW405" s="99">
        <v>0</v>
      </c>
      <c r="BX405" s="99">
        <v>2</v>
      </c>
      <c r="BY405" s="99">
        <v>1</v>
      </c>
      <c r="BZ405" s="99">
        <v>1</v>
      </c>
      <c r="CA405" s="99">
        <v>0</v>
      </c>
      <c r="CB405" s="99">
        <v>0</v>
      </c>
      <c r="CC405" s="99">
        <v>0</v>
      </c>
      <c r="CD405" s="99">
        <v>4</v>
      </c>
      <c r="CE405" s="99">
        <v>0</v>
      </c>
      <c r="CF405" s="99">
        <v>0</v>
      </c>
    </row>
    <row r="406" spans="1:84" x14ac:dyDescent="0.3">
      <c r="A406" s="99">
        <v>929</v>
      </c>
      <c r="B406" s="315">
        <v>929</v>
      </c>
      <c r="C406" s="99" t="s">
        <v>1777</v>
      </c>
      <c r="D406" s="99" t="s">
        <v>918</v>
      </c>
      <c r="F406" s="99">
        <v>2</v>
      </c>
      <c r="G406" s="99">
        <v>2</v>
      </c>
      <c r="H406" s="99">
        <v>0</v>
      </c>
      <c r="I406" s="99">
        <v>0</v>
      </c>
      <c r="J406" s="99">
        <v>0</v>
      </c>
      <c r="K406" s="99">
        <v>0</v>
      </c>
      <c r="L406" s="99">
        <v>0</v>
      </c>
      <c r="M406" s="99">
        <v>2</v>
      </c>
      <c r="N406" s="99">
        <v>1</v>
      </c>
      <c r="O406" s="99">
        <v>0</v>
      </c>
      <c r="P406" s="99">
        <v>0</v>
      </c>
      <c r="Q406" s="99">
        <v>0</v>
      </c>
      <c r="R406" s="99">
        <v>2</v>
      </c>
      <c r="S406" s="99">
        <v>0</v>
      </c>
      <c r="T406" s="99">
        <v>0</v>
      </c>
      <c r="U406" s="99">
        <v>2</v>
      </c>
      <c r="V406" s="99">
        <v>0</v>
      </c>
      <c r="W406" s="99">
        <v>0</v>
      </c>
      <c r="X406" s="99">
        <v>0</v>
      </c>
      <c r="Y406" s="99">
        <v>0</v>
      </c>
      <c r="Z406" s="99">
        <v>0</v>
      </c>
      <c r="AA406" s="99">
        <v>0</v>
      </c>
      <c r="AB406" s="99">
        <v>0</v>
      </c>
      <c r="AC406" s="99">
        <v>1</v>
      </c>
      <c r="AD406" s="99">
        <v>0</v>
      </c>
      <c r="AE406" s="99">
        <v>0</v>
      </c>
      <c r="AF406" s="99">
        <v>0</v>
      </c>
      <c r="AG406" s="99">
        <v>0</v>
      </c>
      <c r="AH406" s="99">
        <v>0</v>
      </c>
      <c r="AI406" s="99">
        <v>0</v>
      </c>
      <c r="AJ406" s="99">
        <v>1</v>
      </c>
      <c r="AK406" s="99">
        <v>0</v>
      </c>
      <c r="AL406" s="99">
        <v>2</v>
      </c>
      <c r="AM406" s="99">
        <v>2</v>
      </c>
      <c r="AN406" s="99">
        <v>0</v>
      </c>
      <c r="AO406" s="99">
        <v>2</v>
      </c>
      <c r="AP406" s="99">
        <v>0</v>
      </c>
      <c r="AQ406" s="99">
        <v>0</v>
      </c>
      <c r="AR406" s="99">
        <v>0</v>
      </c>
      <c r="AS406" s="99">
        <v>0</v>
      </c>
      <c r="AT406" s="99">
        <v>2</v>
      </c>
      <c r="AU406" s="99">
        <v>0</v>
      </c>
      <c r="AV406" s="99">
        <v>0</v>
      </c>
      <c r="AW406" s="99">
        <v>2</v>
      </c>
      <c r="AX406" s="99">
        <v>0</v>
      </c>
      <c r="AY406" s="99">
        <v>2</v>
      </c>
      <c r="AZ406" s="99">
        <v>2</v>
      </c>
      <c r="BA406" s="99">
        <v>1</v>
      </c>
      <c r="BB406" s="99">
        <v>2</v>
      </c>
      <c r="BC406" s="99">
        <v>0</v>
      </c>
      <c r="BD406" s="99">
        <v>2</v>
      </c>
      <c r="BE406" s="99">
        <v>0</v>
      </c>
      <c r="BF406" s="99">
        <v>0</v>
      </c>
      <c r="BG406" s="99">
        <v>0</v>
      </c>
      <c r="BH406" s="99">
        <v>0</v>
      </c>
      <c r="BI406" s="99">
        <v>2</v>
      </c>
      <c r="BJ406" s="99">
        <v>0</v>
      </c>
      <c r="BK406" s="99">
        <v>1</v>
      </c>
      <c r="BL406" s="99">
        <v>0</v>
      </c>
      <c r="BM406" s="99">
        <v>2</v>
      </c>
      <c r="BN406" s="99">
        <v>1</v>
      </c>
      <c r="BO406" s="99">
        <v>2</v>
      </c>
      <c r="BP406" s="99">
        <v>0</v>
      </c>
      <c r="BQ406" s="99">
        <v>0</v>
      </c>
      <c r="BR406" s="99">
        <v>0</v>
      </c>
      <c r="BS406" s="99">
        <v>0</v>
      </c>
      <c r="BT406" s="99">
        <v>2</v>
      </c>
      <c r="BU406" s="99">
        <v>0</v>
      </c>
      <c r="BV406" s="99">
        <v>0</v>
      </c>
      <c r="BW406" s="99">
        <v>0</v>
      </c>
      <c r="BX406" s="99">
        <v>1</v>
      </c>
      <c r="BY406" s="99">
        <v>2</v>
      </c>
      <c r="BZ406" s="99">
        <v>2</v>
      </c>
      <c r="CA406" s="99">
        <v>0</v>
      </c>
      <c r="CB406" s="99">
        <v>0</v>
      </c>
      <c r="CC406" s="99">
        <v>0</v>
      </c>
      <c r="CD406" s="99">
        <v>1</v>
      </c>
      <c r="CE406" s="99">
        <v>0</v>
      </c>
      <c r="CF406" s="99">
        <v>0</v>
      </c>
    </row>
    <row r="407" spans="1:84" x14ac:dyDescent="0.3">
      <c r="A407" s="99">
        <v>930</v>
      </c>
      <c r="B407" s="315">
        <v>930</v>
      </c>
      <c r="C407" s="99" t="s">
        <v>1777</v>
      </c>
      <c r="D407" s="99" t="s">
        <v>919</v>
      </c>
      <c r="F407" s="99">
        <v>1</v>
      </c>
      <c r="G407" s="99">
        <v>2</v>
      </c>
      <c r="H407" s="99">
        <v>0</v>
      </c>
      <c r="I407" s="99">
        <v>0</v>
      </c>
      <c r="J407" s="99">
        <v>0</v>
      </c>
      <c r="K407" s="99">
        <v>0</v>
      </c>
      <c r="L407" s="99">
        <v>0</v>
      </c>
      <c r="M407" s="99">
        <v>2</v>
      </c>
      <c r="N407" s="99">
        <v>2</v>
      </c>
      <c r="O407" s="99">
        <v>0</v>
      </c>
      <c r="P407" s="99">
        <v>0</v>
      </c>
      <c r="Q407" s="99">
        <v>0</v>
      </c>
      <c r="R407" s="99">
        <v>2</v>
      </c>
      <c r="S407" s="99">
        <v>0</v>
      </c>
      <c r="T407" s="99">
        <v>0</v>
      </c>
      <c r="U407" s="99">
        <v>2</v>
      </c>
      <c r="V407" s="99">
        <v>0</v>
      </c>
      <c r="W407" s="99">
        <v>0</v>
      </c>
      <c r="X407" s="99">
        <v>0</v>
      </c>
      <c r="Y407" s="99">
        <v>0</v>
      </c>
      <c r="Z407" s="99">
        <v>0</v>
      </c>
      <c r="AA407" s="99">
        <v>1</v>
      </c>
      <c r="AB407" s="99">
        <v>0</v>
      </c>
      <c r="AC407" s="99">
        <v>2</v>
      </c>
      <c r="AD407" s="99">
        <v>0</v>
      </c>
      <c r="AE407" s="99">
        <v>0</v>
      </c>
      <c r="AF407" s="99">
        <v>0</v>
      </c>
      <c r="AG407" s="99">
        <v>0</v>
      </c>
      <c r="AH407" s="99">
        <v>0</v>
      </c>
      <c r="AI407" s="99">
        <v>0</v>
      </c>
      <c r="AJ407" s="99">
        <v>2</v>
      </c>
      <c r="AK407" s="99">
        <v>0</v>
      </c>
      <c r="AL407" s="99">
        <v>1</v>
      </c>
      <c r="AM407" s="99">
        <v>2</v>
      </c>
      <c r="AN407" s="99">
        <v>0</v>
      </c>
      <c r="AO407" s="99">
        <v>2</v>
      </c>
      <c r="AP407" s="99">
        <v>0</v>
      </c>
      <c r="AQ407" s="99">
        <v>0</v>
      </c>
      <c r="AR407" s="99">
        <v>0</v>
      </c>
      <c r="AS407" s="99">
        <v>0</v>
      </c>
      <c r="AT407" s="99">
        <v>2</v>
      </c>
      <c r="AU407" s="99">
        <v>0</v>
      </c>
      <c r="AV407" s="99">
        <v>1</v>
      </c>
      <c r="AW407" s="99">
        <v>2</v>
      </c>
      <c r="AX407" s="99">
        <v>0</v>
      </c>
      <c r="AY407" s="99">
        <v>2</v>
      </c>
      <c r="AZ407" s="99">
        <v>2</v>
      </c>
      <c r="BA407" s="99">
        <v>2</v>
      </c>
      <c r="BB407" s="99">
        <v>1</v>
      </c>
      <c r="BC407" s="99">
        <v>0</v>
      </c>
      <c r="BD407" s="99">
        <v>2</v>
      </c>
      <c r="BE407" s="99">
        <v>0</v>
      </c>
      <c r="BF407" s="99">
        <v>0</v>
      </c>
      <c r="BG407" s="99">
        <v>0</v>
      </c>
      <c r="BH407" s="99">
        <v>0</v>
      </c>
      <c r="BI407" s="99">
        <v>1</v>
      </c>
      <c r="BJ407" s="99">
        <v>0</v>
      </c>
      <c r="BK407" s="99">
        <v>2</v>
      </c>
      <c r="BL407" s="99">
        <v>0</v>
      </c>
      <c r="BM407" s="99">
        <v>2</v>
      </c>
      <c r="BN407" s="99">
        <v>1</v>
      </c>
      <c r="BO407" s="99">
        <v>2</v>
      </c>
      <c r="BP407" s="99">
        <v>0</v>
      </c>
      <c r="BQ407" s="99">
        <v>0</v>
      </c>
      <c r="BR407" s="99">
        <v>0</v>
      </c>
      <c r="BS407" s="99">
        <v>0</v>
      </c>
      <c r="BT407" s="99">
        <v>2</v>
      </c>
      <c r="BU407" s="99">
        <v>0</v>
      </c>
      <c r="BV407" s="99">
        <v>0</v>
      </c>
      <c r="BW407" s="99">
        <v>0</v>
      </c>
      <c r="BX407" s="99">
        <v>2</v>
      </c>
      <c r="BY407" s="99">
        <v>2</v>
      </c>
      <c r="BZ407" s="99">
        <v>2</v>
      </c>
      <c r="CA407" s="99">
        <v>0</v>
      </c>
      <c r="CB407" s="99">
        <v>0</v>
      </c>
      <c r="CC407" s="99">
        <v>0</v>
      </c>
      <c r="CD407" s="99">
        <v>2</v>
      </c>
      <c r="CE407" s="99">
        <v>0</v>
      </c>
      <c r="CF407" s="99">
        <v>0</v>
      </c>
    </row>
    <row r="408" spans="1:84" x14ac:dyDescent="0.3">
      <c r="A408" s="99">
        <v>931</v>
      </c>
      <c r="B408" s="315">
        <v>931</v>
      </c>
      <c r="C408" s="99" t="s">
        <v>1777</v>
      </c>
      <c r="D408" s="99" t="s">
        <v>920</v>
      </c>
      <c r="F408" s="99">
        <v>2</v>
      </c>
      <c r="G408" s="99">
        <v>2</v>
      </c>
      <c r="H408" s="99">
        <v>0</v>
      </c>
      <c r="I408" s="99">
        <v>0</v>
      </c>
      <c r="J408" s="99">
        <v>0</v>
      </c>
      <c r="K408" s="99">
        <v>0</v>
      </c>
      <c r="L408" s="99">
        <v>0</v>
      </c>
      <c r="M408" s="99">
        <v>2</v>
      </c>
      <c r="N408" s="99">
        <v>2</v>
      </c>
      <c r="O408" s="99">
        <v>0</v>
      </c>
      <c r="P408" s="99">
        <v>0</v>
      </c>
      <c r="Q408" s="99">
        <v>0</v>
      </c>
      <c r="R408" s="99">
        <v>2</v>
      </c>
      <c r="S408" s="99">
        <v>0</v>
      </c>
      <c r="T408" s="99">
        <v>0</v>
      </c>
      <c r="U408" s="99">
        <v>2</v>
      </c>
      <c r="V408" s="99">
        <v>0</v>
      </c>
      <c r="W408" s="99">
        <v>0</v>
      </c>
      <c r="X408" s="99">
        <v>0</v>
      </c>
      <c r="Y408" s="99">
        <v>0</v>
      </c>
      <c r="Z408" s="99">
        <v>0</v>
      </c>
      <c r="AA408" s="99">
        <v>2</v>
      </c>
      <c r="AB408" s="99">
        <v>0</v>
      </c>
      <c r="AC408" s="99">
        <v>2</v>
      </c>
      <c r="AD408" s="99">
        <v>0</v>
      </c>
      <c r="AE408" s="99">
        <v>0</v>
      </c>
      <c r="AF408" s="99">
        <v>0</v>
      </c>
      <c r="AG408" s="99">
        <v>0</v>
      </c>
      <c r="AH408" s="99">
        <v>0</v>
      </c>
      <c r="AI408" s="99">
        <v>0</v>
      </c>
      <c r="AJ408" s="99">
        <v>2</v>
      </c>
      <c r="AK408" s="99">
        <v>0</v>
      </c>
      <c r="AL408" s="99">
        <v>2</v>
      </c>
      <c r="AM408" s="99">
        <v>2</v>
      </c>
      <c r="AN408" s="99">
        <v>0</v>
      </c>
      <c r="AO408" s="99">
        <v>2</v>
      </c>
      <c r="AP408" s="99">
        <v>0</v>
      </c>
      <c r="AQ408" s="99">
        <v>0</v>
      </c>
      <c r="AR408" s="99">
        <v>0</v>
      </c>
      <c r="AS408" s="99">
        <v>0</v>
      </c>
      <c r="AT408" s="99">
        <v>2</v>
      </c>
      <c r="AU408" s="99">
        <v>0</v>
      </c>
      <c r="AV408" s="99">
        <v>0</v>
      </c>
      <c r="AW408" s="99">
        <v>2</v>
      </c>
      <c r="AX408" s="99">
        <v>0</v>
      </c>
      <c r="AY408" s="99">
        <v>2</v>
      </c>
      <c r="AZ408" s="99">
        <v>2</v>
      </c>
      <c r="BA408" s="99">
        <v>2</v>
      </c>
      <c r="BB408" s="99">
        <v>2</v>
      </c>
      <c r="BC408" s="99">
        <v>0</v>
      </c>
      <c r="BD408" s="99">
        <v>2</v>
      </c>
      <c r="BE408" s="99">
        <v>0</v>
      </c>
      <c r="BF408" s="99">
        <v>0</v>
      </c>
      <c r="BG408" s="99">
        <v>0</v>
      </c>
      <c r="BH408" s="99">
        <v>0</v>
      </c>
      <c r="BI408" s="99">
        <v>2</v>
      </c>
      <c r="BJ408" s="99">
        <v>0</v>
      </c>
      <c r="BK408" s="99">
        <v>2</v>
      </c>
      <c r="BL408" s="99">
        <v>0</v>
      </c>
      <c r="BM408" s="99">
        <v>2</v>
      </c>
      <c r="BN408" s="99">
        <v>2</v>
      </c>
      <c r="BO408" s="99">
        <v>2</v>
      </c>
      <c r="BP408" s="99">
        <v>0</v>
      </c>
      <c r="BQ408" s="99">
        <v>0</v>
      </c>
      <c r="BR408" s="99">
        <v>0</v>
      </c>
      <c r="BS408" s="99">
        <v>0</v>
      </c>
      <c r="BT408" s="99">
        <v>2</v>
      </c>
      <c r="BU408" s="99">
        <v>0</v>
      </c>
      <c r="BV408" s="99">
        <v>0</v>
      </c>
      <c r="BW408" s="99">
        <v>0</v>
      </c>
      <c r="BX408" s="99">
        <v>2</v>
      </c>
      <c r="BY408" s="99">
        <v>2</v>
      </c>
      <c r="BZ408" s="99">
        <v>2</v>
      </c>
      <c r="CA408" s="99">
        <v>0</v>
      </c>
      <c r="CB408" s="99">
        <v>0</v>
      </c>
      <c r="CC408" s="99">
        <v>0</v>
      </c>
      <c r="CD408" s="99">
        <v>2</v>
      </c>
      <c r="CE408" s="99">
        <v>0</v>
      </c>
      <c r="CF408" s="99">
        <v>0</v>
      </c>
    </row>
    <row r="409" spans="1:84" x14ac:dyDescent="0.3">
      <c r="A409" s="99">
        <v>932</v>
      </c>
      <c r="B409" s="315">
        <v>932</v>
      </c>
      <c r="C409" s="99" t="s">
        <v>1777</v>
      </c>
      <c r="D409" s="99" t="s">
        <v>921</v>
      </c>
      <c r="F409" s="99">
        <v>2</v>
      </c>
      <c r="G409" s="99">
        <v>2</v>
      </c>
      <c r="H409" s="99">
        <v>0</v>
      </c>
      <c r="I409" s="99">
        <v>0</v>
      </c>
      <c r="J409" s="99">
        <v>0</v>
      </c>
      <c r="K409" s="99">
        <v>0</v>
      </c>
      <c r="L409" s="99">
        <v>0</v>
      </c>
      <c r="M409" s="99">
        <v>2</v>
      </c>
      <c r="N409" s="99">
        <v>2</v>
      </c>
      <c r="O409" s="99">
        <v>0</v>
      </c>
      <c r="P409" s="99">
        <v>0</v>
      </c>
      <c r="Q409" s="99">
        <v>0</v>
      </c>
      <c r="R409" s="99">
        <v>1</v>
      </c>
      <c r="S409" s="99">
        <v>0</v>
      </c>
      <c r="T409" s="99">
        <v>0</v>
      </c>
      <c r="U409" s="99">
        <v>2</v>
      </c>
      <c r="V409" s="99">
        <v>0</v>
      </c>
      <c r="W409" s="99">
        <v>0</v>
      </c>
      <c r="X409" s="99">
        <v>0</v>
      </c>
      <c r="Y409" s="99">
        <v>0</v>
      </c>
      <c r="Z409" s="99">
        <v>0</v>
      </c>
      <c r="AA409" s="99">
        <v>2</v>
      </c>
      <c r="AB409" s="99">
        <v>0</v>
      </c>
      <c r="AC409" s="99">
        <v>2</v>
      </c>
      <c r="AD409" s="99">
        <v>0</v>
      </c>
      <c r="AE409" s="99">
        <v>0</v>
      </c>
      <c r="AF409" s="99">
        <v>0</v>
      </c>
      <c r="AG409" s="99">
        <v>0</v>
      </c>
      <c r="AH409" s="99">
        <v>0</v>
      </c>
      <c r="AI409" s="99">
        <v>0</v>
      </c>
      <c r="AJ409" s="99">
        <v>1</v>
      </c>
      <c r="AK409" s="99">
        <v>0</v>
      </c>
      <c r="AL409" s="99">
        <v>2</v>
      </c>
      <c r="AM409" s="99">
        <v>2</v>
      </c>
      <c r="AN409" s="99">
        <v>0</v>
      </c>
      <c r="AO409" s="99">
        <v>2</v>
      </c>
      <c r="AP409" s="99">
        <v>0</v>
      </c>
      <c r="AQ409" s="99">
        <v>0</v>
      </c>
      <c r="AR409" s="99">
        <v>0</v>
      </c>
      <c r="AS409" s="99">
        <v>0</v>
      </c>
      <c r="AT409" s="99">
        <v>2</v>
      </c>
      <c r="AU409" s="99">
        <v>0</v>
      </c>
      <c r="AV409" s="99">
        <v>0</v>
      </c>
      <c r="AW409" s="99">
        <v>2</v>
      </c>
      <c r="AX409" s="99">
        <v>0</v>
      </c>
      <c r="AY409" s="99">
        <v>2</v>
      </c>
      <c r="AZ409" s="99">
        <v>2</v>
      </c>
      <c r="BA409" s="99">
        <v>2</v>
      </c>
      <c r="BB409" s="99">
        <v>2</v>
      </c>
      <c r="BC409" s="99">
        <v>0</v>
      </c>
      <c r="BD409" s="99">
        <v>2</v>
      </c>
      <c r="BE409" s="99">
        <v>0</v>
      </c>
      <c r="BF409" s="99">
        <v>0</v>
      </c>
      <c r="BG409" s="99">
        <v>0</v>
      </c>
      <c r="BH409" s="99">
        <v>0</v>
      </c>
      <c r="BI409" s="99">
        <v>2</v>
      </c>
      <c r="BJ409" s="99">
        <v>0</v>
      </c>
      <c r="BK409" s="99">
        <v>2</v>
      </c>
      <c r="BL409" s="99">
        <v>0</v>
      </c>
      <c r="BM409" s="99">
        <v>2</v>
      </c>
      <c r="BN409" s="99">
        <v>2</v>
      </c>
      <c r="BO409" s="99">
        <v>2</v>
      </c>
      <c r="BP409" s="99">
        <v>0</v>
      </c>
      <c r="BQ409" s="99">
        <v>0</v>
      </c>
      <c r="BR409" s="99">
        <v>0</v>
      </c>
      <c r="BS409" s="99">
        <v>0</v>
      </c>
      <c r="BT409" s="99">
        <v>2</v>
      </c>
      <c r="BU409" s="99">
        <v>0</v>
      </c>
      <c r="BV409" s="99">
        <v>0</v>
      </c>
      <c r="BW409" s="99">
        <v>0</v>
      </c>
      <c r="BX409" s="99">
        <v>2</v>
      </c>
      <c r="BY409" s="99">
        <v>2</v>
      </c>
      <c r="BZ409" s="99">
        <v>2</v>
      </c>
      <c r="CA409" s="99">
        <v>0</v>
      </c>
      <c r="CB409" s="99">
        <v>0</v>
      </c>
      <c r="CC409" s="99">
        <v>0</v>
      </c>
      <c r="CD409" s="99">
        <v>2</v>
      </c>
      <c r="CE409" s="99">
        <v>0</v>
      </c>
      <c r="CF409" s="99">
        <v>0</v>
      </c>
    </row>
    <row r="410" spans="1:84" x14ac:dyDescent="0.3">
      <c r="F410" s="1131">
        <v>6453305</v>
      </c>
      <c r="G410" s="1131">
        <v>781668</v>
      </c>
      <c r="H410" s="1131">
        <v>120820</v>
      </c>
      <c r="I410" s="1131">
        <v>1053244</v>
      </c>
      <c r="J410" s="1131">
        <v>900434</v>
      </c>
      <c r="K410" s="1131">
        <v>232700</v>
      </c>
      <c r="L410" s="1131">
        <v>50677</v>
      </c>
      <c r="M410" s="1131">
        <v>2252312</v>
      </c>
      <c r="N410" s="1131">
        <v>14305814</v>
      </c>
      <c r="O410" s="1131">
        <v>75894101</v>
      </c>
      <c r="P410" s="1131">
        <v>90992</v>
      </c>
      <c r="Q410" s="1131">
        <v>935492</v>
      </c>
      <c r="R410" s="1131">
        <v>117233</v>
      </c>
      <c r="S410" s="1131">
        <v>17070649</v>
      </c>
      <c r="T410" s="1131">
        <v>54614</v>
      </c>
      <c r="U410" s="1131">
        <v>4053593</v>
      </c>
      <c r="V410" s="99">
        <v>0</v>
      </c>
      <c r="W410" s="1131">
        <v>1112546</v>
      </c>
      <c r="X410" s="1131">
        <v>8076573</v>
      </c>
      <c r="Y410" s="1131">
        <v>247548</v>
      </c>
      <c r="Z410" s="99">
        <v>0</v>
      </c>
      <c r="AA410" s="1131">
        <v>3368206</v>
      </c>
      <c r="AB410" s="1131">
        <v>80099474</v>
      </c>
      <c r="AC410" s="1131">
        <v>69317</v>
      </c>
      <c r="AD410" s="1131">
        <v>903991</v>
      </c>
      <c r="AE410" s="1131">
        <v>8252148</v>
      </c>
      <c r="AF410" s="1131">
        <v>986315</v>
      </c>
      <c r="AG410" s="1131">
        <v>101615200</v>
      </c>
      <c r="AH410" s="1131">
        <v>14511748</v>
      </c>
      <c r="AI410" s="1131">
        <v>59827</v>
      </c>
      <c r="AJ410" s="1131">
        <v>259336</v>
      </c>
      <c r="AK410" s="1131">
        <v>6491857</v>
      </c>
      <c r="AL410" s="1131">
        <v>159809</v>
      </c>
      <c r="AM410" s="1131">
        <v>217184</v>
      </c>
      <c r="AN410" s="99">
        <v>0</v>
      </c>
      <c r="AO410" s="1131">
        <v>433728</v>
      </c>
      <c r="AP410" s="1131">
        <v>15962043</v>
      </c>
      <c r="AQ410" s="1131">
        <v>50742</v>
      </c>
      <c r="AR410" s="1131">
        <v>9577658</v>
      </c>
      <c r="AS410" s="1131">
        <v>425238</v>
      </c>
      <c r="AT410" s="1131">
        <v>51535</v>
      </c>
      <c r="AU410" s="99">
        <v>0</v>
      </c>
      <c r="AV410" s="1131">
        <v>50524</v>
      </c>
      <c r="AW410" s="1131">
        <v>268271205</v>
      </c>
      <c r="AX410" s="1131">
        <v>181515498</v>
      </c>
      <c r="AY410" s="1131">
        <v>1007284</v>
      </c>
      <c r="AZ410" s="1131">
        <v>240652</v>
      </c>
      <c r="BA410" s="1131">
        <v>300621</v>
      </c>
      <c r="BB410" s="1131">
        <v>300107</v>
      </c>
      <c r="BC410" s="99">
        <v>0</v>
      </c>
      <c r="BD410" s="1131">
        <v>4623391</v>
      </c>
      <c r="BE410" s="1131">
        <v>581616</v>
      </c>
      <c r="BF410" s="1131">
        <v>53311</v>
      </c>
      <c r="BG410" s="1131">
        <v>243694</v>
      </c>
      <c r="BH410" s="1131">
        <v>15435336</v>
      </c>
      <c r="BI410" s="1131">
        <v>50253</v>
      </c>
      <c r="BJ410" s="1131">
        <v>15759691</v>
      </c>
      <c r="BK410" s="1131">
        <v>5014650</v>
      </c>
      <c r="BL410" s="1131">
        <v>63296</v>
      </c>
      <c r="BM410" s="1131">
        <v>50632</v>
      </c>
      <c r="BN410" s="1131">
        <v>2533089</v>
      </c>
      <c r="BO410" s="1131">
        <v>28664857</v>
      </c>
      <c r="BP410" s="99">
        <v>0</v>
      </c>
      <c r="BQ410" s="1131">
        <v>70762735</v>
      </c>
      <c r="BR410" s="1131">
        <v>241910411</v>
      </c>
      <c r="BS410" s="1131">
        <v>4223350</v>
      </c>
      <c r="BT410" s="1131">
        <v>8195347</v>
      </c>
      <c r="BU410" s="1131">
        <v>80984</v>
      </c>
      <c r="BV410" s="1131">
        <v>17046199</v>
      </c>
      <c r="BW410" s="1131">
        <v>846697</v>
      </c>
      <c r="BX410" s="1131">
        <v>2139259</v>
      </c>
      <c r="BY410" s="1131">
        <v>4861837</v>
      </c>
      <c r="BZ410" s="1131">
        <v>50267</v>
      </c>
      <c r="CA410" s="1131">
        <v>70911477</v>
      </c>
      <c r="CB410" s="99">
        <v>0</v>
      </c>
      <c r="CC410" s="1131">
        <v>1501457</v>
      </c>
      <c r="CD410" s="1131">
        <v>326200</v>
      </c>
      <c r="CE410" s="1131">
        <v>352221</v>
      </c>
      <c r="CF410" s="1131">
        <v>22049099</v>
      </c>
    </row>
    <row r="412" spans="1:84" x14ac:dyDescent="0.3">
      <c r="D412" s="99" t="s">
        <v>1700</v>
      </c>
      <c r="F412" s="1131">
        <v>69610527</v>
      </c>
      <c r="G412" s="1131">
        <v>83078493</v>
      </c>
      <c r="H412" s="1131">
        <v>10944473</v>
      </c>
      <c r="I412" s="1131">
        <v>63949918</v>
      </c>
      <c r="J412" s="1131">
        <v>42413480</v>
      </c>
      <c r="K412" s="1131">
        <v>8372228</v>
      </c>
      <c r="L412" s="1131">
        <v>1534808</v>
      </c>
      <c r="M412" s="1131">
        <v>30223356</v>
      </c>
      <c r="N412" s="1131">
        <v>395585530</v>
      </c>
      <c r="O412" s="1131">
        <v>4114934565</v>
      </c>
      <c r="P412" s="1131">
        <v>41554413</v>
      </c>
      <c r="Q412" s="1131">
        <v>145782706</v>
      </c>
      <c r="R412" s="1131">
        <v>14450472</v>
      </c>
      <c r="S412" s="1131">
        <v>595602529</v>
      </c>
      <c r="T412" s="1131">
        <v>2125616</v>
      </c>
      <c r="U412" s="1131">
        <v>44828426</v>
      </c>
      <c r="V412" s="99">
        <v>0</v>
      </c>
      <c r="W412" s="1131">
        <v>31927585</v>
      </c>
      <c r="X412" s="1131">
        <v>264797911</v>
      </c>
      <c r="Y412" s="1131">
        <v>28614786</v>
      </c>
      <c r="Z412" s="99">
        <v>0</v>
      </c>
      <c r="AA412" s="1131">
        <v>84103000</v>
      </c>
      <c r="AB412" s="1131">
        <v>1798734356</v>
      </c>
      <c r="AC412" s="1131">
        <v>66063505</v>
      </c>
      <c r="AD412" s="1131">
        <v>29874956</v>
      </c>
      <c r="AE412" s="1131">
        <v>943728871</v>
      </c>
      <c r="AF412" s="1131">
        <v>13900237</v>
      </c>
      <c r="AG412" s="99">
        <v>0</v>
      </c>
      <c r="AH412" s="1131">
        <v>4524755966</v>
      </c>
      <c r="AI412" s="1131">
        <v>8964753</v>
      </c>
      <c r="AJ412" s="1131">
        <v>12065962</v>
      </c>
      <c r="AK412" s="1131">
        <v>241806759</v>
      </c>
      <c r="AL412" s="1131">
        <v>23762580</v>
      </c>
      <c r="AM412" s="1131">
        <v>5283315</v>
      </c>
      <c r="AN412" s="99">
        <v>0</v>
      </c>
      <c r="AO412" s="1131">
        <v>40506485</v>
      </c>
      <c r="AP412" s="1131">
        <v>553764362</v>
      </c>
      <c r="AQ412" s="1131">
        <v>542653</v>
      </c>
      <c r="AR412" s="1131">
        <v>264877525</v>
      </c>
      <c r="AS412" s="1131">
        <v>44513574</v>
      </c>
      <c r="AT412" s="1131">
        <v>3466444</v>
      </c>
      <c r="AU412" s="99">
        <v>0</v>
      </c>
      <c r="AV412" s="1131">
        <v>25984198</v>
      </c>
      <c r="AW412" s="1131">
        <v>11806603726</v>
      </c>
      <c r="AX412" s="1131">
        <v>5979177190</v>
      </c>
      <c r="AY412" s="1131">
        <v>64672781</v>
      </c>
      <c r="AZ412" s="1131">
        <v>20100996</v>
      </c>
      <c r="BA412" s="1131">
        <v>18179538</v>
      </c>
      <c r="BB412" s="1131">
        <v>16167102</v>
      </c>
      <c r="BC412" s="99">
        <v>0</v>
      </c>
      <c r="BD412" s="1131">
        <v>197744381</v>
      </c>
      <c r="BE412" s="1131">
        <v>27958273</v>
      </c>
      <c r="BF412" s="1131">
        <v>3638079</v>
      </c>
      <c r="BG412" s="1131">
        <v>6804897</v>
      </c>
      <c r="BH412" s="1131">
        <v>581740096</v>
      </c>
      <c r="BI412" s="1131">
        <v>896273</v>
      </c>
      <c r="BJ412" s="1131">
        <v>480977708</v>
      </c>
      <c r="BK412" s="1131">
        <v>80742029</v>
      </c>
      <c r="BL412" s="1131">
        <v>8210865</v>
      </c>
      <c r="BM412" s="1131">
        <v>4866669</v>
      </c>
      <c r="BN412" s="1131">
        <v>964888663</v>
      </c>
      <c r="BO412" s="1131">
        <v>980668916</v>
      </c>
      <c r="BP412" s="99">
        <v>0</v>
      </c>
      <c r="BQ412" s="1131">
        <v>2237830855</v>
      </c>
      <c r="BR412" s="1131">
        <v>7318356282</v>
      </c>
      <c r="BS412" s="1131">
        <v>35994572</v>
      </c>
      <c r="BT412" s="1131">
        <v>359353089</v>
      </c>
      <c r="BU412" s="1131">
        <v>36725974</v>
      </c>
      <c r="BV412" s="1131">
        <v>671083803</v>
      </c>
      <c r="BW412" s="1131">
        <v>29738748</v>
      </c>
      <c r="BX412" s="1131">
        <v>24299019</v>
      </c>
      <c r="BY412" s="1131">
        <v>218931199</v>
      </c>
      <c r="BZ412" s="1131">
        <v>46330912</v>
      </c>
      <c r="CA412" s="1131">
        <v>2019765350</v>
      </c>
      <c r="CB412" s="99">
        <v>0</v>
      </c>
      <c r="CC412" s="1131">
        <v>247753658</v>
      </c>
      <c r="CD412" s="1131">
        <v>18642973</v>
      </c>
      <c r="CE412" s="1131">
        <v>52600848</v>
      </c>
      <c r="CF412" s="1131">
        <v>1501467662</v>
      </c>
    </row>
    <row r="414" spans="1:84" x14ac:dyDescent="0.3">
      <c r="E414" s="99">
        <v>576</v>
      </c>
      <c r="F414" s="1155">
        <f>F226</f>
        <v>0</v>
      </c>
      <c r="G414" s="1155">
        <f t="shared" ref="G414:BR414" si="6">G226</f>
        <v>0</v>
      </c>
      <c r="H414" s="1155">
        <f t="shared" si="6"/>
        <v>0</v>
      </c>
      <c r="I414" s="1155">
        <f t="shared" si="6"/>
        <v>40582</v>
      </c>
      <c r="J414" s="1155">
        <f t="shared" si="6"/>
        <v>110687</v>
      </c>
      <c r="K414" s="1155">
        <f t="shared" si="6"/>
        <v>0</v>
      </c>
      <c r="L414" s="1155">
        <f t="shared" si="6"/>
        <v>0</v>
      </c>
      <c r="M414" s="1155">
        <f t="shared" si="6"/>
        <v>0</v>
      </c>
      <c r="N414" s="1155">
        <f t="shared" si="6"/>
        <v>91124</v>
      </c>
      <c r="O414" s="1155">
        <f t="shared" si="6"/>
        <v>0</v>
      </c>
      <c r="P414" s="1155">
        <f t="shared" si="6"/>
        <v>0</v>
      </c>
      <c r="Q414" s="1155">
        <f t="shared" si="6"/>
        <v>0</v>
      </c>
      <c r="R414" s="1155">
        <f t="shared" si="6"/>
        <v>0</v>
      </c>
      <c r="S414" s="1155">
        <f t="shared" si="6"/>
        <v>0</v>
      </c>
      <c r="T414" s="1155">
        <f t="shared" si="6"/>
        <v>0</v>
      </c>
      <c r="U414" s="1155">
        <f t="shared" si="6"/>
        <v>0</v>
      </c>
      <c r="V414" s="1155">
        <f t="shared" si="6"/>
        <v>0</v>
      </c>
      <c r="W414" s="1155">
        <f t="shared" si="6"/>
        <v>0</v>
      </c>
      <c r="X414" s="1155">
        <f t="shared" si="6"/>
        <v>0</v>
      </c>
      <c r="Y414" s="1155">
        <f t="shared" si="6"/>
        <v>0</v>
      </c>
      <c r="Z414" s="1155">
        <f t="shared" si="6"/>
        <v>0</v>
      </c>
      <c r="AA414" s="1155">
        <f t="shared" si="6"/>
        <v>165902</v>
      </c>
      <c r="AB414" s="1155">
        <f t="shared" si="6"/>
        <v>0</v>
      </c>
      <c r="AC414" s="1155">
        <f t="shared" si="6"/>
        <v>0</v>
      </c>
      <c r="AD414" s="1155">
        <f t="shared" si="6"/>
        <v>0</v>
      </c>
      <c r="AE414" s="1155">
        <f t="shared" si="6"/>
        <v>0</v>
      </c>
      <c r="AF414" s="1155">
        <f t="shared" si="6"/>
        <v>0</v>
      </c>
      <c r="AG414" s="1155">
        <f t="shared" si="6"/>
        <v>0</v>
      </c>
      <c r="AH414" s="1155">
        <f t="shared" si="6"/>
        <v>1572845</v>
      </c>
      <c r="AI414" s="1155">
        <f t="shared" si="6"/>
        <v>386</v>
      </c>
      <c r="AJ414" s="1155">
        <f t="shared" si="6"/>
        <v>0</v>
      </c>
      <c r="AK414" s="1155">
        <f t="shared" si="6"/>
        <v>0</v>
      </c>
      <c r="AL414" s="1155">
        <f t="shared" si="6"/>
        <v>0</v>
      </c>
      <c r="AM414" s="1155">
        <f t="shared" si="6"/>
        <v>0</v>
      </c>
      <c r="AN414" s="1155">
        <f t="shared" si="6"/>
        <v>0</v>
      </c>
      <c r="AO414" s="1155">
        <f t="shared" si="6"/>
        <v>0</v>
      </c>
      <c r="AP414" s="1155">
        <f t="shared" si="6"/>
        <v>13157</v>
      </c>
      <c r="AQ414" s="1155">
        <f t="shared" si="6"/>
        <v>0</v>
      </c>
      <c r="AR414" s="1155">
        <f t="shared" si="6"/>
        <v>0</v>
      </c>
      <c r="AS414" s="1155">
        <f t="shared" si="6"/>
        <v>0</v>
      </c>
      <c r="AT414" s="1155">
        <f t="shared" si="6"/>
        <v>0</v>
      </c>
      <c r="AU414" s="1155">
        <f t="shared" si="6"/>
        <v>0</v>
      </c>
      <c r="AV414" s="1155">
        <f t="shared" si="6"/>
        <v>0</v>
      </c>
      <c r="AW414" s="1155">
        <f t="shared" si="6"/>
        <v>8683681</v>
      </c>
      <c r="AX414" s="1155">
        <f t="shared" si="6"/>
        <v>0</v>
      </c>
      <c r="AY414" s="1155">
        <f t="shared" si="6"/>
        <v>0</v>
      </c>
      <c r="AZ414" s="1155">
        <f t="shared" si="6"/>
        <v>0</v>
      </c>
      <c r="BA414" s="1155">
        <f t="shared" si="6"/>
        <v>7390</v>
      </c>
      <c r="BB414" s="1155">
        <f t="shared" si="6"/>
        <v>0</v>
      </c>
      <c r="BC414" s="1155">
        <f t="shared" si="6"/>
        <v>0</v>
      </c>
      <c r="BD414" s="1155">
        <f t="shared" si="6"/>
        <v>0</v>
      </c>
      <c r="BE414" s="1155">
        <f t="shared" si="6"/>
        <v>0</v>
      </c>
      <c r="BF414" s="1155">
        <f t="shared" si="6"/>
        <v>0</v>
      </c>
      <c r="BG414" s="1155">
        <f t="shared" si="6"/>
        <v>0</v>
      </c>
      <c r="BH414" s="1155">
        <f t="shared" si="6"/>
        <v>0</v>
      </c>
      <c r="BI414" s="1155">
        <f t="shared" si="6"/>
        <v>0</v>
      </c>
      <c r="BJ414" s="1155">
        <f t="shared" si="6"/>
        <v>0</v>
      </c>
      <c r="BK414" s="1155">
        <f t="shared" si="6"/>
        <v>0</v>
      </c>
      <c r="BL414" s="1155">
        <f t="shared" si="6"/>
        <v>0</v>
      </c>
      <c r="BM414" s="1155">
        <f t="shared" si="6"/>
        <v>0</v>
      </c>
      <c r="BN414" s="1155">
        <f t="shared" si="6"/>
        <v>0</v>
      </c>
      <c r="BO414" s="1155">
        <f t="shared" si="6"/>
        <v>0</v>
      </c>
      <c r="BP414" s="1155">
        <f t="shared" si="6"/>
        <v>0</v>
      </c>
      <c r="BQ414" s="1155">
        <f t="shared" si="6"/>
        <v>0</v>
      </c>
      <c r="BR414" s="1155">
        <f t="shared" si="6"/>
        <v>13025761</v>
      </c>
      <c r="BS414" s="1155">
        <f t="shared" ref="BS414:CF414" si="7">BS226</f>
        <v>0</v>
      </c>
      <c r="BT414" s="1155">
        <f t="shared" si="7"/>
        <v>0</v>
      </c>
      <c r="BU414" s="1155">
        <f t="shared" si="7"/>
        <v>0</v>
      </c>
      <c r="BV414" s="1155">
        <f t="shared" si="7"/>
        <v>0</v>
      </c>
      <c r="BW414" s="1155">
        <f t="shared" si="7"/>
        <v>0</v>
      </c>
      <c r="BX414" s="1155">
        <f t="shared" si="7"/>
        <v>0</v>
      </c>
      <c r="BY414" s="1155">
        <f t="shared" si="7"/>
        <v>0</v>
      </c>
      <c r="BZ414" s="1155">
        <f t="shared" si="7"/>
        <v>0</v>
      </c>
      <c r="CA414" s="1155">
        <f t="shared" si="7"/>
        <v>7000000</v>
      </c>
      <c r="CB414" s="1155">
        <f t="shared" si="7"/>
        <v>0</v>
      </c>
      <c r="CC414" s="1155">
        <f t="shared" si="7"/>
        <v>0</v>
      </c>
      <c r="CD414" s="1155">
        <f t="shared" si="7"/>
        <v>0</v>
      </c>
      <c r="CE414" s="1155">
        <f t="shared" si="7"/>
        <v>0</v>
      </c>
      <c r="CF414" s="1155">
        <f t="shared" si="7"/>
        <v>0</v>
      </c>
    </row>
    <row r="415" spans="1:84" x14ac:dyDescent="0.3">
      <c r="E415" s="99">
        <v>576</v>
      </c>
      <c r="F415" s="1155">
        <f>F226</f>
        <v>0</v>
      </c>
      <c r="G415" s="1155">
        <f t="shared" ref="G415:BR415" si="8">G226</f>
        <v>0</v>
      </c>
      <c r="H415" s="1155">
        <f t="shared" si="8"/>
        <v>0</v>
      </c>
      <c r="I415" s="1155">
        <f t="shared" si="8"/>
        <v>40582</v>
      </c>
      <c r="J415" s="1155">
        <f t="shared" si="8"/>
        <v>110687</v>
      </c>
      <c r="K415" s="1155">
        <f t="shared" si="8"/>
        <v>0</v>
      </c>
      <c r="L415" s="1155">
        <f t="shared" si="8"/>
        <v>0</v>
      </c>
      <c r="M415" s="1155">
        <f t="shared" si="8"/>
        <v>0</v>
      </c>
      <c r="N415" s="1155">
        <f t="shared" si="8"/>
        <v>91124</v>
      </c>
      <c r="O415" s="1155">
        <f t="shared" si="8"/>
        <v>0</v>
      </c>
      <c r="P415" s="1155">
        <f t="shared" si="8"/>
        <v>0</v>
      </c>
      <c r="Q415" s="1155">
        <f t="shared" si="8"/>
        <v>0</v>
      </c>
      <c r="R415" s="1155">
        <f t="shared" si="8"/>
        <v>0</v>
      </c>
      <c r="S415" s="1155">
        <f t="shared" si="8"/>
        <v>0</v>
      </c>
      <c r="T415" s="1155">
        <f t="shared" si="8"/>
        <v>0</v>
      </c>
      <c r="U415" s="1155">
        <f t="shared" si="8"/>
        <v>0</v>
      </c>
      <c r="V415" s="1155">
        <f t="shared" si="8"/>
        <v>0</v>
      </c>
      <c r="W415" s="1155">
        <f t="shared" si="8"/>
        <v>0</v>
      </c>
      <c r="X415" s="1155">
        <f t="shared" si="8"/>
        <v>0</v>
      </c>
      <c r="Y415" s="1155">
        <f t="shared" si="8"/>
        <v>0</v>
      </c>
      <c r="Z415" s="1155">
        <f t="shared" si="8"/>
        <v>0</v>
      </c>
      <c r="AA415" s="1155">
        <f t="shared" si="8"/>
        <v>165902</v>
      </c>
      <c r="AB415" s="1155">
        <f t="shared" si="8"/>
        <v>0</v>
      </c>
      <c r="AC415" s="1155">
        <f t="shared" si="8"/>
        <v>0</v>
      </c>
      <c r="AD415" s="1155">
        <f t="shared" si="8"/>
        <v>0</v>
      </c>
      <c r="AE415" s="1155">
        <f t="shared" si="8"/>
        <v>0</v>
      </c>
      <c r="AF415" s="1155">
        <f t="shared" si="8"/>
        <v>0</v>
      </c>
      <c r="AG415" s="1155">
        <f t="shared" si="8"/>
        <v>0</v>
      </c>
      <c r="AH415" s="1155">
        <f t="shared" si="8"/>
        <v>1572845</v>
      </c>
      <c r="AI415" s="1155">
        <f t="shared" si="8"/>
        <v>386</v>
      </c>
      <c r="AJ415" s="1155">
        <f t="shared" si="8"/>
        <v>0</v>
      </c>
      <c r="AK415" s="1155">
        <f t="shared" si="8"/>
        <v>0</v>
      </c>
      <c r="AL415" s="1155">
        <f t="shared" si="8"/>
        <v>0</v>
      </c>
      <c r="AM415" s="1155">
        <f t="shared" si="8"/>
        <v>0</v>
      </c>
      <c r="AN415" s="1155">
        <f t="shared" si="8"/>
        <v>0</v>
      </c>
      <c r="AO415" s="1155">
        <f t="shared" si="8"/>
        <v>0</v>
      </c>
      <c r="AP415" s="1155">
        <f t="shared" si="8"/>
        <v>13157</v>
      </c>
      <c r="AQ415" s="1155">
        <f t="shared" si="8"/>
        <v>0</v>
      </c>
      <c r="AR415" s="1155">
        <f t="shared" si="8"/>
        <v>0</v>
      </c>
      <c r="AS415" s="1155">
        <f t="shared" si="8"/>
        <v>0</v>
      </c>
      <c r="AT415" s="1155">
        <f t="shared" si="8"/>
        <v>0</v>
      </c>
      <c r="AU415" s="1155">
        <f t="shared" si="8"/>
        <v>0</v>
      </c>
      <c r="AV415" s="1155">
        <f t="shared" si="8"/>
        <v>0</v>
      </c>
      <c r="AW415" s="1155">
        <f t="shared" si="8"/>
        <v>8683681</v>
      </c>
      <c r="AX415" s="1155">
        <f t="shared" si="8"/>
        <v>0</v>
      </c>
      <c r="AY415" s="1155">
        <f t="shared" si="8"/>
        <v>0</v>
      </c>
      <c r="AZ415" s="1155">
        <f t="shared" si="8"/>
        <v>0</v>
      </c>
      <c r="BA415" s="1155">
        <f t="shared" si="8"/>
        <v>7390</v>
      </c>
      <c r="BB415" s="1155">
        <f t="shared" si="8"/>
        <v>0</v>
      </c>
      <c r="BC415" s="1155">
        <f t="shared" si="8"/>
        <v>0</v>
      </c>
      <c r="BD415" s="1155">
        <f t="shared" si="8"/>
        <v>0</v>
      </c>
      <c r="BE415" s="1155">
        <f t="shared" si="8"/>
        <v>0</v>
      </c>
      <c r="BF415" s="1155">
        <f t="shared" si="8"/>
        <v>0</v>
      </c>
      <c r="BG415" s="1155">
        <f t="shared" si="8"/>
        <v>0</v>
      </c>
      <c r="BH415" s="1155">
        <f t="shared" si="8"/>
        <v>0</v>
      </c>
      <c r="BI415" s="1155">
        <f t="shared" si="8"/>
        <v>0</v>
      </c>
      <c r="BJ415" s="1155">
        <f t="shared" si="8"/>
        <v>0</v>
      </c>
      <c r="BK415" s="1155">
        <f t="shared" si="8"/>
        <v>0</v>
      </c>
      <c r="BL415" s="1155">
        <f t="shared" si="8"/>
        <v>0</v>
      </c>
      <c r="BM415" s="1155">
        <f t="shared" si="8"/>
        <v>0</v>
      </c>
      <c r="BN415" s="1155">
        <f t="shared" si="8"/>
        <v>0</v>
      </c>
      <c r="BO415" s="1155">
        <f t="shared" si="8"/>
        <v>0</v>
      </c>
      <c r="BP415" s="1155">
        <f t="shared" si="8"/>
        <v>0</v>
      </c>
      <c r="BQ415" s="1155">
        <f t="shared" si="8"/>
        <v>0</v>
      </c>
      <c r="BR415" s="1155">
        <f t="shared" si="8"/>
        <v>13025761</v>
      </c>
      <c r="BS415" s="1155">
        <f t="shared" ref="BS415:CF415" si="9">BS226</f>
        <v>0</v>
      </c>
      <c r="BT415" s="1155">
        <f t="shared" si="9"/>
        <v>0</v>
      </c>
      <c r="BU415" s="1155">
        <f t="shared" si="9"/>
        <v>0</v>
      </c>
      <c r="BV415" s="1155">
        <f t="shared" si="9"/>
        <v>0</v>
      </c>
      <c r="BW415" s="1155">
        <f t="shared" si="9"/>
        <v>0</v>
      </c>
      <c r="BX415" s="1155">
        <f t="shared" si="9"/>
        <v>0</v>
      </c>
      <c r="BY415" s="1155">
        <f t="shared" si="9"/>
        <v>0</v>
      </c>
      <c r="BZ415" s="1155">
        <f t="shared" si="9"/>
        <v>0</v>
      </c>
      <c r="CA415" s="1155">
        <f t="shared" si="9"/>
        <v>7000000</v>
      </c>
      <c r="CB415" s="1155">
        <f t="shared" si="9"/>
        <v>0</v>
      </c>
      <c r="CC415" s="1155">
        <f t="shared" si="9"/>
        <v>0</v>
      </c>
      <c r="CD415" s="1155">
        <f t="shared" si="9"/>
        <v>0</v>
      </c>
      <c r="CE415" s="1155">
        <f t="shared" si="9"/>
        <v>0</v>
      </c>
      <c r="CF415" s="1155">
        <f t="shared" si="9"/>
        <v>0</v>
      </c>
    </row>
    <row r="417" spans="6:84" x14ac:dyDescent="0.3">
      <c r="F417" s="1155">
        <f>F412-F414-F415</f>
        <v>69610527</v>
      </c>
      <c r="G417" s="1155">
        <f t="shared" ref="G417:BR417" si="10">G412-G414-G415</f>
        <v>83078493</v>
      </c>
      <c r="H417" s="1155">
        <f t="shared" si="10"/>
        <v>10944473</v>
      </c>
      <c r="I417" s="1155">
        <f t="shared" si="10"/>
        <v>63868754</v>
      </c>
      <c r="J417" s="1155">
        <f t="shared" si="10"/>
        <v>42192106</v>
      </c>
      <c r="K417" s="1155">
        <f t="shared" si="10"/>
        <v>8372228</v>
      </c>
      <c r="L417" s="1155">
        <f t="shared" si="10"/>
        <v>1534808</v>
      </c>
      <c r="M417" s="1155">
        <f t="shared" si="10"/>
        <v>30223356</v>
      </c>
      <c r="N417" s="1155">
        <f t="shared" si="10"/>
        <v>395403282</v>
      </c>
      <c r="O417" s="1155">
        <f t="shared" si="10"/>
        <v>4114934565</v>
      </c>
      <c r="P417" s="1155">
        <f t="shared" si="10"/>
        <v>41554413</v>
      </c>
      <c r="Q417" s="1155">
        <f t="shared" si="10"/>
        <v>145782706</v>
      </c>
      <c r="R417" s="1155">
        <f t="shared" si="10"/>
        <v>14450472</v>
      </c>
      <c r="S417" s="1155">
        <f t="shared" si="10"/>
        <v>595602529</v>
      </c>
      <c r="T417" s="1155">
        <f t="shared" si="10"/>
        <v>2125616</v>
      </c>
      <c r="U417" s="1155">
        <f t="shared" si="10"/>
        <v>44828426</v>
      </c>
      <c r="V417" s="1155">
        <f t="shared" si="10"/>
        <v>0</v>
      </c>
      <c r="W417" s="1155">
        <f t="shared" si="10"/>
        <v>31927585</v>
      </c>
      <c r="X417" s="1155">
        <f t="shared" si="10"/>
        <v>264797911</v>
      </c>
      <c r="Y417" s="1155">
        <f t="shared" si="10"/>
        <v>28614786</v>
      </c>
      <c r="Z417" s="1155">
        <f t="shared" si="10"/>
        <v>0</v>
      </c>
      <c r="AA417" s="1155">
        <f t="shared" si="10"/>
        <v>83771196</v>
      </c>
      <c r="AB417" s="1155">
        <f t="shared" si="10"/>
        <v>1798734356</v>
      </c>
      <c r="AC417" s="1155">
        <f t="shared" si="10"/>
        <v>66063505</v>
      </c>
      <c r="AD417" s="1155">
        <f t="shared" si="10"/>
        <v>29874956</v>
      </c>
      <c r="AE417" s="1155">
        <f t="shared" si="10"/>
        <v>943728871</v>
      </c>
      <c r="AF417" s="1155">
        <f t="shared" si="10"/>
        <v>13900237</v>
      </c>
      <c r="AG417" s="1155">
        <f t="shared" si="10"/>
        <v>0</v>
      </c>
      <c r="AH417" s="1155">
        <f t="shared" si="10"/>
        <v>4521610276</v>
      </c>
      <c r="AI417" s="1155">
        <f t="shared" si="10"/>
        <v>8963981</v>
      </c>
      <c r="AJ417" s="1155">
        <f t="shared" si="10"/>
        <v>12065962</v>
      </c>
      <c r="AK417" s="1155">
        <f t="shared" si="10"/>
        <v>241806759</v>
      </c>
      <c r="AL417" s="1155">
        <f t="shared" si="10"/>
        <v>23762580</v>
      </c>
      <c r="AM417" s="1155">
        <f t="shared" si="10"/>
        <v>5283315</v>
      </c>
      <c r="AN417" s="1155">
        <f t="shared" si="10"/>
        <v>0</v>
      </c>
      <c r="AO417" s="1155">
        <f t="shared" si="10"/>
        <v>40506485</v>
      </c>
      <c r="AP417" s="1155">
        <f t="shared" si="10"/>
        <v>553738048</v>
      </c>
      <c r="AQ417" s="1155">
        <f t="shared" si="10"/>
        <v>542653</v>
      </c>
      <c r="AR417" s="1155">
        <f t="shared" si="10"/>
        <v>264877525</v>
      </c>
      <c r="AS417" s="1155">
        <f t="shared" si="10"/>
        <v>44513574</v>
      </c>
      <c r="AT417" s="1155">
        <f t="shared" si="10"/>
        <v>3466444</v>
      </c>
      <c r="AU417" s="1155">
        <f t="shared" si="10"/>
        <v>0</v>
      </c>
      <c r="AV417" s="1155">
        <f t="shared" si="10"/>
        <v>25984198</v>
      </c>
      <c r="AW417" s="1155">
        <f t="shared" si="10"/>
        <v>11789236364</v>
      </c>
      <c r="AX417" s="1155">
        <f t="shared" si="10"/>
        <v>5979177190</v>
      </c>
      <c r="AY417" s="1155">
        <f t="shared" si="10"/>
        <v>64672781</v>
      </c>
      <c r="AZ417" s="1155">
        <f t="shared" si="10"/>
        <v>20100996</v>
      </c>
      <c r="BA417" s="1155">
        <f t="shared" si="10"/>
        <v>18164758</v>
      </c>
      <c r="BB417" s="1155">
        <f t="shared" si="10"/>
        <v>16167102</v>
      </c>
      <c r="BC417" s="1155">
        <f t="shared" si="10"/>
        <v>0</v>
      </c>
      <c r="BD417" s="1155">
        <f t="shared" si="10"/>
        <v>197744381</v>
      </c>
      <c r="BE417" s="1155">
        <f t="shared" si="10"/>
        <v>27958273</v>
      </c>
      <c r="BF417" s="1155">
        <f t="shared" si="10"/>
        <v>3638079</v>
      </c>
      <c r="BG417" s="1155">
        <f t="shared" si="10"/>
        <v>6804897</v>
      </c>
      <c r="BH417" s="1155">
        <f t="shared" si="10"/>
        <v>581740096</v>
      </c>
      <c r="BI417" s="1155">
        <f t="shared" si="10"/>
        <v>896273</v>
      </c>
      <c r="BJ417" s="1155">
        <f t="shared" si="10"/>
        <v>480977708</v>
      </c>
      <c r="BK417" s="1155">
        <f t="shared" si="10"/>
        <v>80742029</v>
      </c>
      <c r="BL417" s="1155">
        <f t="shared" si="10"/>
        <v>8210865</v>
      </c>
      <c r="BM417" s="1155">
        <f t="shared" si="10"/>
        <v>4866669</v>
      </c>
      <c r="BN417" s="1155">
        <f t="shared" si="10"/>
        <v>964888663</v>
      </c>
      <c r="BO417" s="1155">
        <f t="shared" si="10"/>
        <v>980668916</v>
      </c>
      <c r="BP417" s="1155">
        <f t="shared" si="10"/>
        <v>0</v>
      </c>
      <c r="BQ417" s="1155">
        <f t="shared" si="10"/>
        <v>2237830855</v>
      </c>
      <c r="BR417" s="1155">
        <f t="shared" si="10"/>
        <v>7292304760</v>
      </c>
      <c r="BS417" s="1155">
        <f t="shared" ref="BS417:CF417" si="11">BS412-BS414-BS415</f>
        <v>35994572</v>
      </c>
      <c r="BT417" s="1155">
        <f t="shared" si="11"/>
        <v>359353089</v>
      </c>
      <c r="BU417" s="1155">
        <f t="shared" si="11"/>
        <v>36725974</v>
      </c>
      <c r="BV417" s="1155">
        <f t="shared" si="11"/>
        <v>671083803</v>
      </c>
      <c r="BW417" s="1155">
        <f t="shared" si="11"/>
        <v>29738748</v>
      </c>
      <c r="BX417" s="1155">
        <f t="shared" si="11"/>
        <v>24299019</v>
      </c>
      <c r="BY417" s="1155">
        <f t="shared" si="11"/>
        <v>218931199</v>
      </c>
      <c r="BZ417" s="1155">
        <f t="shared" si="11"/>
        <v>46330912</v>
      </c>
      <c r="CA417" s="1155">
        <f t="shared" si="11"/>
        <v>2005765350</v>
      </c>
      <c r="CB417" s="1155">
        <f t="shared" si="11"/>
        <v>0</v>
      </c>
      <c r="CC417" s="1155">
        <f t="shared" si="11"/>
        <v>247753658</v>
      </c>
      <c r="CD417" s="1155">
        <f t="shared" si="11"/>
        <v>18642973</v>
      </c>
      <c r="CE417" s="1155">
        <f t="shared" si="11"/>
        <v>52600848</v>
      </c>
      <c r="CF417" s="1155">
        <f t="shared" si="11"/>
        <v>1501467662</v>
      </c>
    </row>
  </sheetData>
  <sheetProtection algorithmName="SHA-512" hashValue="vA9Wi92Z7r/SXpi5UvyKkPcnxvrWQwRV7y/y7ObmsoRwWNc996eOYRaJ53PvV2Y/lhJ76JieWT+BrmM/ovp0YA==" saltValue="rU0+7pl1Ykg7onqw9x7ccw==" spinCount="100000" sheet="1" objects="1" scenarios="1"/>
  <printOptions headings="1" gridLines="1"/>
  <pageMargins left="0.25" right="0.25"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sheetPr codeName="Sheet12"/>
  <dimension ref="A1:CE305"/>
  <sheetViews>
    <sheetView zoomScale="120" zoomScaleNormal="120" workbookViewId="0">
      <selection activeCell="D2" sqref="D2"/>
    </sheetView>
  </sheetViews>
  <sheetFormatPr defaultColWidth="9.109375" defaultRowHeight="14.4" x14ac:dyDescent="0.3"/>
  <cols>
    <col min="1" max="1" width="9.109375" style="300"/>
    <col min="2" max="2" width="11.6640625" style="300" customWidth="1"/>
    <col min="3" max="3" width="32.5546875" style="300" customWidth="1"/>
    <col min="4" max="4" width="24.6640625" style="300" customWidth="1"/>
    <col min="5" max="6" width="16.88671875" style="300" bestFit="1" customWidth="1"/>
    <col min="7" max="7" width="15.6640625" style="300" bestFit="1" customWidth="1"/>
    <col min="8" max="8" width="16.88671875" style="300" bestFit="1" customWidth="1"/>
    <col min="9" max="9" width="14.5546875" style="300" bestFit="1" customWidth="1"/>
    <col min="10" max="10" width="15.6640625" style="300" bestFit="1" customWidth="1"/>
    <col min="11" max="11" width="16.88671875" style="300" bestFit="1" customWidth="1"/>
    <col min="12" max="12" width="15.6640625" style="300" bestFit="1" customWidth="1"/>
    <col min="13" max="13" width="18.6640625" style="300" bestFit="1" customWidth="1"/>
    <col min="14" max="14" width="12.6640625" style="300" bestFit="1" customWidth="1"/>
    <col min="15" max="15" width="16.88671875" style="300" bestFit="1" customWidth="1"/>
    <col min="16" max="16" width="15.6640625" style="300" bestFit="1" customWidth="1"/>
    <col min="17" max="17" width="16.88671875" style="300" bestFit="1" customWidth="1"/>
    <col min="18" max="18" width="18.6640625" style="300" bestFit="1" customWidth="1"/>
    <col min="19" max="19" width="20.44140625" style="300" customWidth="1"/>
    <col min="20" max="20" width="15.6640625" style="300" bestFit="1" customWidth="1"/>
    <col min="21" max="21" width="16.88671875" style="300" bestFit="1" customWidth="1"/>
    <col min="22" max="22" width="15.5546875" style="300" customWidth="1"/>
    <col min="23" max="23" width="15.6640625" style="300" bestFit="1" customWidth="1"/>
    <col min="24" max="24" width="14.5546875" style="300" bestFit="1" customWidth="1"/>
    <col min="25" max="25" width="16.88671875" style="300" bestFit="1" customWidth="1"/>
    <col min="26" max="28" width="15.6640625" style="300" bestFit="1" customWidth="1"/>
    <col min="29" max="29" width="16.88671875" style="300" bestFit="1" customWidth="1"/>
    <col min="30" max="31" width="15.6640625" style="300" bestFit="1" customWidth="1"/>
    <col min="32" max="33" width="14.5546875" style="300" bestFit="1" customWidth="1"/>
    <col min="34" max="35" width="16.88671875" style="300" bestFit="1" customWidth="1"/>
    <col min="36" max="36" width="15.6640625" style="300" bestFit="1" customWidth="1"/>
    <col min="37" max="37" width="16.88671875" style="300" bestFit="1" customWidth="1"/>
    <col min="38" max="38" width="17.44140625" style="300" customWidth="1"/>
    <col min="39" max="39" width="14.5546875" style="300" bestFit="1" customWidth="1"/>
    <col min="40" max="40" width="16.88671875" style="300" bestFit="1" customWidth="1"/>
    <col min="41" max="41" width="15.6640625" style="300" bestFit="1" customWidth="1"/>
    <col min="42" max="42" width="16.88671875" style="300" bestFit="1" customWidth="1"/>
    <col min="43" max="43" width="14.5546875" style="300" bestFit="1" customWidth="1"/>
    <col min="44" max="44" width="17.6640625" style="300" customWidth="1"/>
    <col min="45" max="47" width="15.6640625" style="300" bestFit="1" customWidth="1"/>
    <col min="48" max="48" width="16.5546875" style="300" customWidth="1"/>
    <col min="49" max="49" width="16.88671875" style="300" bestFit="1" customWidth="1"/>
    <col min="50" max="50" width="15.6640625" style="300" bestFit="1" customWidth="1"/>
    <col min="51" max="51" width="16.88671875" style="300" bestFit="1" customWidth="1"/>
    <col min="52" max="53" width="14.5546875" style="300" bestFit="1" customWidth="1"/>
    <col min="54" max="55" width="15.6640625" style="300" bestFit="1" customWidth="1"/>
    <col min="56" max="56" width="14.5546875" style="300" bestFit="1" customWidth="1"/>
    <col min="57" max="57" width="15.6640625" style="300" bestFit="1" customWidth="1"/>
    <col min="58" max="58" width="16.88671875" style="300" bestFit="1" customWidth="1"/>
    <col min="59" max="60" width="15.6640625" style="300" bestFit="1" customWidth="1"/>
    <col min="61" max="61" width="16.88671875" style="300" bestFit="1" customWidth="1"/>
    <col min="62" max="63" width="15.6640625" style="300" bestFit="1" customWidth="1"/>
    <col min="64" max="64" width="14.5546875" style="300" bestFit="1" customWidth="1"/>
    <col min="65" max="67" width="15.6640625" style="300" bestFit="1" customWidth="1"/>
    <col min="68" max="68" width="16.88671875" style="300" bestFit="1" customWidth="1"/>
    <col min="69" max="69" width="18.6640625" style="300" bestFit="1" customWidth="1"/>
    <col min="70" max="71" width="16.88671875" style="300" bestFit="1" customWidth="1"/>
    <col min="72" max="16384" width="9.109375" style="300"/>
  </cols>
  <sheetData>
    <row r="1" spans="1:83" x14ac:dyDescent="0.3">
      <c r="A1" s="271" t="s">
        <v>703</v>
      </c>
      <c r="B1" s="271" t="s">
        <v>567</v>
      </c>
      <c r="C1" s="271"/>
      <c r="D1" s="271" t="s">
        <v>567</v>
      </c>
      <c r="E1" s="271" t="s">
        <v>957</v>
      </c>
      <c r="F1" s="271" t="s">
        <v>958</v>
      </c>
      <c r="G1" s="271" t="s">
        <v>1701</v>
      </c>
      <c r="H1" s="271" t="s">
        <v>1702</v>
      </c>
      <c r="I1" s="271" t="s">
        <v>1703</v>
      </c>
      <c r="J1" s="271" t="s">
        <v>1704</v>
      </c>
      <c r="K1" s="271" t="s">
        <v>1705</v>
      </c>
      <c r="L1" s="271" t="s">
        <v>1706</v>
      </c>
      <c r="M1" s="271" t="s">
        <v>1707</v>
      </c>
      <c r="N1" s="271" t="s">
        <v>1708</v>
      </c>
      <c r="O1" s="271" t="s">
        <v>1709</v>
      </c>
      <c r="P1" s="271" t="s">
        <v>1710</v>
      </c>
      <c r="Q1" s="271" t="s">
        <v>959</v>
      </c>
      <c r="R1" s="271" t="s">
        <v>1711</v>
      </c>
      <c r="S1" s="271" t="s">
        <v>1712</v>
      </c>
      <c r="T1" s="271" t="s">
        <v>1713</v>
      </c>
      <c r="U1" s="271" t="s">
        <v>961</v>
      </c>
      <c r="V1" s="271" t="s">
        <v>1714</v>
      </c>
      <c r="W1" s="271" t="s">
        <v>1715</v>
      </c>
      <c r="X1" s="271" t="s">
        <v>1716</v>
      </c>
      <c r="Y1" s="271" t="s">
        <v>962</v>
      </c>
      <c r="Z1" s="271" t="s">
        <v>963</v>
      </c>
      <c r="AA1" s="271" t="s">
        <v>1717</v>
      </c>
      <c r="AB1" s="271" t="s">
        <v>1718</v>
      </c>
      <c r="AC1" s="271" t="s">
        <v>1719</v>
      </c>
      <c r="AD1" s="271" t="s">
        <v>1720</v>
      </c>
      <c r="AE1" s="271" t="s">
        <v>1721</v>
      </c>
      <c r="AF1" s="271" t="s">
        <v>761</v>
      </c>
      <c r="AG1" s="271" t="s">
        <v>1722</v>
      </c>
      <c r="AH1" s="271" t="s">
        <v>1723</v>
      </c>
      <c r="AI1" s="271" t="s">
        <v>1609</v>
      </c>
      <c r="AJ1" s="271" t="s">
        <v>1724</v>
      </c>
      <c r="AK1" s="271" t="s">
        <v>964</v>
      </c>
      <c r="AL1" s="271" t="s">
        <v>1725</v>
      </c>
      <c r="AM1" s="271" t="s">
        <v>965</v>
      </c>
      <c r="AN1" s="271" t="s">
        <v>1726</v>
      </c>
      <c r="AO1" s="271" t="s">
        <v>1727</v>
      </c>
      <c r="AP1" s="271" t="s">
        <v>1728</v>
      </c>
      <c r="AQ1" s="271" t="s">
        <v>1729</v>
      </c>
      <c r="AR1" s="271" t="s">
        <v>1730</v>
      </c>
      <c r="AS1" s="271" t="s">
        <v>1731</v>
      </c>
      <c r="AT1" s="271" t="s">
        <v>1610</v>
      </c>
      <c r="AU1" s="271" t="s">
        <v>966</v>
      </c>
      <c r="AV1" s="271" t="s">
        <v>775</v>
      </c>
      <c r="AW1" s="271" t="s">
        <v>776</v>
      </c>
      <c r="AX1" s="271" t="s">
        <v>1732</v>
      </c>
      <c r="AY1" s="271" t="s">
        <v>1733</v>
      </c>
      <c r="AZ1" s="271" t="s">
        <v>967</v>
      </c>
      <c r="BA1" s="271" t="s">
        <v>968</v>
      </c>
      <c r="BB1" s="271" t="s">
        <v>969</v>
      </c>
      <c r="BC1" s="271" t="s">
        <v>970</v>
      </c>
      <c r="BD1" s="271" t="s">
        <v>1734</v>
      </c>
      <c r="BE1" s="271" t="s">
        <v>1735</v>
      </c>
      <c r="BF1" s="271" t="s">
        <v>1736</v>
      </c>
      <c r="BG1" s="271" t="s">
        <v>1737</v>
      </c>
      <c r="BH1" s="271" t="s">
        <v>1611</v>
      </c>
      <c r="BI1" s="271" t="s">
        <v>1738</v>
      </c>
      <c r="BJ1" s="271" t="s">
        <v>1612</v>
      </c>
      <c r="BK1" s="271" t="s">
        <v>1739</v>
      </c>
      <c r="BL1" s="271" t="s">
        <v>1740</v>
      </c>
      <c r="BM1" s="271" t="s">
        <v>762</v>
      </c>
      <c r="BN1" s="271" t="s">
        <v>1741</v>
      </c>
      <c r="BO1" s="271" t="s">
        <v>1613</v>
      </c>
      <c r="BP1" s="271" t="s">
        <v>1742</v>
      </c>
      <c r="BQ1" s="271" t="s">
        <v>777</v>
      </c>
      <c r="BR1" s="271" t="s">
        <v>1743</v>
      </c>
      <c r="BS1" s="271" t="s">
        <v>1744</v>
      </c>
      <c r="BT1" s="300" t="s">
        <v>1745</v>
      </c>
      <c r="BU1" s="300" t="s">
        <v>1746</v>
      </c>
      <c r="BV1" s="300" t="s">
        <v>1747</v>
      </c>
      <c r="BW1" s="300" t="s">
        <v>971</v>
      </c>
      <c r="BX1" s="300" t="s">
        <v>1748</v>
      </c>
      <c r="BY1" s="300" t="s">
        <v>972</v>
      </c>
      <c r="BZ1" s="300" t="s">
        <v>1749</v>
      </c>
      <c r="CA1" s="300" t="s">
        <v>973</v>
      </c>
      <c r="CB1" s="300" t="s">
        <v>1750</v>
      </c>
      <c r="CC1" s="300" t="s">
        <v>1751</v>
      </c>
      <c r="CD1" s="300" t="s">
        <v>1752</v>
      </c>
      <c r="CE1" s="300" t="s">
        <v>1753</v>
      </c>
    </row>
    <row r="2" spans="1:83" x14ac:dyDescent="0.3">
      <c r="A2" s="271" t="s">
        <v>1694</v>
      </c>
      <c r="B2" s="271"/>
      <c r="C2" s="271"/>
      <c r="D2" s="271" t="s">
        <v>297</v>
      </c>
      <c r="E2" s="271">
        <v>50129</v>
      </c>
      <c r="F2" s="271">
        <v>50130</v>
      </c>
      <c r="G2" s="271">
        <v>50560</v>
      </c>
      <c r="H2" s="271">
        <v>50131</v>
      </c>
      <c r="I2" s="271">
        <v>50132</v>
      </c>
      <c r="J2" s="271">
        <v>50133</v>
      </c>
      <c r="K2" s="271">
        <v>50134</v>
      </c>
      <c r="L2" s="271">
        <v>50473</v>
      </c>
      <c r="M2" s="271">
        <v>50135</v>
      </c>
      <c r="N2" s="271">
        <v>50136</v>
      </c>
      <c r="O2" s="271">
        <v>50514</v>
      </c>
      <c r="P2" s="271">
        <v>50515</v>
      </c>
      <c r="Q2" s="271">
        <v>50570</v>
      </c>
      <c r="R2" s="271">
        <v>50137</v>
      </c>
      <c r="S2" s="271">
        <v>50549</v>
      </c>
      <c r="T2" s="271">
        <v>50138</v>
      </c>
      <c r="U2" s="271">
        <v>50139</v>
      </c>
      <c r="V2" s="271">
        <v>50474</v>
      </c>
      <c r="W2" s="271">
        <v>50140</v>
      </c>
      <c r="X2" s="271">
        <v>50141</v>
      </c>
      <c r="Y2" s="271">
        <v>50142</v>
      </c>
      <c r="Z2" s="271">
        <v>50143</v>
      </c>
      <c r="AA2" s="271">
        <v>50144</v>
      </c>
      <c r="AB2" s="271">
        <v>50492</v>
      </c>
      <c r="AC2" s="271">
        <v>50145</v>
      </c>
      <c r="AD2" s="271">
        <v>50146</v>
      </c>
      <c r="AE2" s="271">
        <v>50147</v>
      </c>
      <c r="AF2" s="271">
        <v>50148</v>
      </c>
      <c r="AG2" s="271">
        <v>50149</v>
      </c>
      <c r="AH2" s="271">
        <v>50150</v>
      </c>
      <c r="AI2" s="271">
        <v>50151</v>
      </c>
      <c r="AJ2" s="271">
        <v>50152</v>
      </c>
      <c r="AK2" s="271">
        <v>50153</v>
      </c>
      <c r="AL2" s="271">
        <v>50475</v>
      </c>
      <c r="AM2" s="271">
        <v>50154</v>
      </c>
      <c r="AN2" s="271">
        <v>50155</v>
      </c>
      <c r="AO2" s="271">
        <v>50156</v>
      </c>
      <c r="AP2" s="271">
        <v>50516</v>
      </c>
      <c r="AQ2" s="271">
        <v>50157</v>
      </c>
      <c r="AR2" s="271">
        <v>50158</v>
      </c>
      <c r="AS2" s="271">
        <v>50545</v>
      </c>
      <c r="AT2" s="271">
        <v>50517</v>
      </c>
      <c r="AU2" s="271">
        <v>50448</v>
      </c>
      <c r="AV2" s="271">
        <v>50159</v>
      </c>
      <c r="AW2" s="271">
        <v>50160</v>
      </c>
      <c r="AX2" s="271">
        <v>50161</v>
      </c>
      <c r="AY2" s="271">
        <v>50162</v>
      </c>
      <c r="AZ2" s="271">
        <v>50163</v>
      </c>
      <c r="BA2" s="271">
        <v>50165</v>
      </c>
      <c r="BB2" s="271">
        <v>50166</v>
      </c>
      <c r="BC2" s="271">
        <v>50167</v>
      </c>
      <c r="BD2" s="271">
        <v>50168</v>
      </c>
      <c r="BE2" s="271">
        <v>50169</v>
      </c>
      <c r="BF2" s="271">
        <v>50170</v>
      </c>
      <c r="BG2" s="271">
        <v>50451</v>
      </c>
      <c r="BH2" s="271">
        <v>50171</v>
      </c>
      <c r="BI2" s="271">
        <v>50172</v>
      </c>
      <c r="BJ2" s="271">
        <v>50440</v>
      </c>
      <c r="BK2" s="271">
        <v>50173</v>
      </c>
      <c r="BL2" s="271">
        <v>50547</v>
      </c>
      <c r="BM2" s="271">
        <v>50175</v>
      </c>
      <c r="BN2" s="271">
        <v>50176</v>
      </c>
      <c r="BO2" s="271">
        <v>50177</v>
      </c>
      <c r="BP2" s="271">
        <v>50178</v>
      </c>
      <c r="BQ2" s="271">
        <v>50180</v>
      </c>
      <c r="BR2" s="271">
        <v>50447</v>
      </c>
      <c r="BS2" s="271">
        <v>50179</v>
      </c>
      <c r="BT2" s="300">
        <v>50462</v>
      </c>
      <c r="BU2" s="300">
        <v>50181</v>
      </c>
      <c r="BV2" s="300">
        <v>50182</v>
      </c>
      <c r="BW2" s="300">
        <v>50183</v>
      </c>
      <c r="BX2" s="300">
        <v>50446</v>
      </c>
      <c r="BY2" s="300">
        <v>50184</v>
      </c>
      <c r="BZ2" s="300">
        <v>50185</v>
      </c>
      <c r="CA2" s="300">
        <v>50186</v>
      </c>
      <c r="CB2" s="300">
        <v>50187</v>
      </c>
      <c r="CC2" s="300">
        <v>50188</v>
      </c>
      <c r="CD2" s="300">
        <v>50189</v>
      </c>
      <c r="CE2" s="300">
        <v>50190</v>
      </c>
    </row>
    <row r="3" spans="1:83" x14ac:dyDescent="0.3">
      <c r="A3" s="271">
        <v>4</v>
      </c>
      <c r="B3" s="271">
        <v>4</v>
      </c>
      <c r="C3" s="271" t="s">
        <v>617</v>
      </c>
      <c r="D3" s="271" t="s">
        <v>298</v>
      </c>
      <c r="E3" s="1113">
        <v>2329</v>
      </c>
      <c r="F3" s="1113">
        <v>47264</v>
      </c>
      <c r="G3" s="1113">
        <v>18156</v>
      </c>
      <c r="H3" s="1113">
        <v>44129</v>
      </c>
      <c r="I3" s="1113">
        <v>125584</v>
      </c>
      <c r="J3" s="1113">
        <v>7226</v>
      </c>
      <c r="K3" s="1113">
        <v>467</v>
      </c>
      <c r="L3" s="1113">
        <v>998</v>
      </c>
      <c r="M3" s="1113">
        <v>180345</v>
      </c>
      <c r="N3" s="271">
        <v>10814147</v>
      </c>
      <c r="O3" s="1113">
        <v>29152</v>
      </c>
      <c r="P3" s="1113">
        <v>106267</v>
      </c>
      <c r="Q3" s="1113">
        <v>3281</v>
      </c>
      <c r="R3" s="1113">
        <v>823933</v>
      </c>
      <c r="S3" s="271">
        <v>0</v>
      </c>
      <c r="T3" s="1113">
        <v>4004</v>
      </c>
      <c r="U3" s="1113">
        <v>7509</v>
      </c>
      <c r="V3" s="1113">
        <v>30562</v>
      </c>
      <c r="W3" s="1113">
        <v>236305</v>
      </c>
      <c r="X3" s="1113">
        <v>23279</v>
      </c>
      <c r="Y3" s="1113">
        <v>25673</v>
      </c>
      <c r="Z3" s="1113">
        <v>173040</v>
      </c>
      <c r="AA3" s="1113">
        <v>1740501</v>
      </c>
      <c r="AB3" s="1113">
        <v>2766</v>
      </c>
      <c r="AC3" s="1113">
        <v>14107</v>
      </c>
      <c r="AD3" s="1113">
        <v>1258418</v>
      </c>
      <c r="AE3" s="1113">
        <v>16938</v>
      </c>
      <c r="AF3" s="1113">
        <v>0</v>
      </c>
      <c r="AG3" s="271">
        <v>3216598</v>
      </c>
      <c r="AH3" s="1113">
        <v>12398</v>
      </c>
      <c r="AI3" s="1113">
        <v>7112</v>
      </c>
      <c r="AJ3" s="1113">
        <v>536269</v>
      </c>
      <c r="AK3" s="1113">
        <v>6057</v>
      </c>
      <c r="AL3" s="271">
        <v>2046</v>
      </c>
      <c r="AM3" s="271">
        <v>0</v>
      </c>
      <c r="AN3" s="1113">
        <v>0</v>
      </c>
      <c r="AO3" s="1113">
        <v>470646</v>
      </c>
      <c r="AP3" s="1113">
        <v>1400</v>
      </c>
      <c r="AQ3" s="1113">
        <v>149181</v>
      </c>
      <c r="AR3" s="1113">
        <v>185543</v>
      </c>
      <c r="AS3" s="1113">
        <v>976</v>
      </c>
      <c r="AT3" s="1113">
        <v>71898</v>
      </c>
      <c r="AU3" s="1113">
        <v>16840</v>
      </c>
      <c r="AV3" s="271">
        <v>9274248</v>
      </c>
      <c r="AW3" s="1113">
        <v>3078401</v>
      </c>
      <c r="AX3" s="1113">
        <v>32693</v>
      </c>
      <c r="AY3" s="1113">
        <v>3053</v>
      </c>
      <c r="AZ3" s="271">
        <v>23021</v>
      </c>
      <c r="BA3" s="1113">
        <v>119</v>
      </c>
      <c r="BB3" s="1113">
        <v>0</v>
      </c>
      <c r="BC3" s="1113">
        <v>153919</v>
      </c>
      <c r="BD3" s="1113">
        <v>3027</v>
      </c>
      <c r="BE3" s="1113">
        <v>3010</v>
      </c>
      <c r="BF3" s="1113">
        <v>3688</v>
      </c>
      <c r="BG3" s="1113">
        <v>497581</v>
      </c>
      <c r="BH3" s="1113">
        <v>0</v>
      </c>
      <c r="BI3" s="1113">
        <v>552409</v>
      </c>
      <c r="BJ3" s="1113">
        <v>61537</v>
      </c>
      <c r="BK3" s="1113">
        <v>9812</v>
      </c>
      <c r="BL3" s="1113">
        <v>784</v>
      </c>
      <c r="BM3" s="1113">
        <v>548835</v>
      </c>
      <c r="BN3" s="1113">
        <v>535362</v>
      </c>
      <c r="BO3" s="1113">
        <v>36060</v>
      </c>
      <c r="BP3" s="1113">
        <v>2930111</v>
      </c>
      <c r="BQ3" s="1113">
        <v>5333972</v>
      </c>
      <c r="BR3" s="1113">
        <v>5792</v>
      </c>
      <c r="BS3" s="1113">
        <v>225540</v>
      </c>
      <c r="BT3" s="300">
        <v>28720</v>
      </c>
      <c r="BU3" s="300">
        <v>377273</v>
      </c>
      <c r="BV3" s="300">
        <v>3348</v>
      </c>
      <c r="BW3" s="300">
        <v>22453</v>
      </c>
      <c r="BX3" s="300">
        <v>62454</v>
      </c>
      <c r="BY3" s="300">
        <v>0</v>
      </c>
      <c r="BZ3" s="300">
        <v>2944443</v>
      </c>
      <c r="CA3" s="300">
        <v>181073</v>
      </c>
      <c r="CB3" s="300">
        <v>425750</v>
      </c>
      <c r="CC3" s="300">
        <v>14026</v>
      </c>
      <c r="CD3" s="300">
        <v>118274</v>
      </c>
      <c r="CE3" s="300">
        <v>3504187</v>
      </c>
    </row>
    <row r="4" spans="1:83" x14ac:dyDescent="0.3">
      <c r="A4" s="271">
        <v>5</v>
      </c>
      <c r="B4" s="271">
        <v>5</v>
      </c>
      <c r="C4" s="271" t="s">
        <v>120</v>
      </c>
      <c r="D4" s="271" t="s">
        <v>299</v>
      </c>
      <c r="E4" s="271">
        <v>131301</v>
      </c>
      <c r="F4" s="271">
        <v>0</v>
      </c>
      <c r="G4" s="271">
        <v>14</v>
      </c>
      <c r="H4" s="1113">
        <v>0</v>
      </c>
      <c r="I4" s="271">
        <v>0</v>
      </c>
      <c r="J4" s="1113">
        <v>0</v>
      </c>
      <c r="K4" s="271">
        <v>0</v>
      </c>
      <c r="L4" s="271">
        <v>0</v>
      </c>
      <c r="M4" s="1113">
        <v>0</v>
      </c>
      <c r="N4" s="271">
        <v>0</v>
      </c>
      <c r="O4" s="1113">
        <v>0</v>
      </c>
      <c r="P4" s="271">
        <v>0</v>
      </c>
      <c r="Q4" s="1113">
        <v>0</v>
      </c>
      <c r="R4" s="1113">
        <v>6227</v>
      </c>
      <c r="S4" s="271">
        <v>0</v>
      </c>
      <c r="T4" s="271">
        <v>0</v>
      </c>
      <c r="U4" s="271">
        <v>0</v>
      </c>
      <c r="V4" s="271">
        <v>272</v>
      </c>
      <c r="W4" s="271">
        <v>2587</v>
      </c>
      <c r="X4" s="271">
        <v>0</v>
      </c>
      <c r="Y4" s="271">
        <v>0</v>
      </c>
      <c r="Z4" s="271">
        <v>0</v>
      </c>
      <c r="AA4" s="271">
        <v>42014</v>
      </c>
      <c r="AB4" s="271">
        <v>0</v>
      </c>
      <c r="AC4" s="271">
        <v>0</v>
      </c>
      <c r="AD4" s="271">
        <v>19150</v>
      </c>
      <c r="AE4" s="271">
        <v>698</v>
      </c>
      <c r="AF4" s="271">
        <v>0</v>
      </c>
      <c r="AG4" s="271">
        <v>15288</v>
      </c>
      <c r="AH4" s="1113">
        <v>0</v>
      </c>
      <c r="AI4" s="1113">
        <v>0</v>
      </c>
      <c r="AJ4" s="271">
        <v>2340</v>
      </c>
      <c r="AK4" s="271">
        <v>0</v>
      </c>
      <c r="AL4" s="271">
        <v>0</v>
      </c>
      <c r="AM4" s="271">
        <v>0</v>
      </c>
      <c r="AN4" s="271">
        <v>263</v>
      </c>
      <c r="AO4" s="271">
        <v>344048</v>
      </c>
      <c r="AP4" s="271">
        <v>0</v>
      </c>
      <c r="AQ4" s="271">
        <v>2226</v>
      </c>
      <c r="AR4" s="271">
        <v>0</v>
      </c>
      <c r="AS4" s="1113">
        <v>0</v>
      </c>
      <c r="AT4" s="271">
        <v>0</v>
      </c>
      <c r="AU4" s="271">
        <v>0</v>
      </c>
      <c r="AV4" s="271">
        <v>27403</v>
      </c>
      <c r="AW4" s="271">
        <v>84</v>
      </c>
      <c r="AX4" s="271">
        <v>0</v>
      </c>
      <c r="AY4" s="1113">
        <v>0</v>
      </c>
      <c r="AZ4" s="271">
        <v>0</v>
      </c>
      <c r="BA4" s="271">
        <v>0</v>
      </c>
      <c r="BB4" s="271">
        <v>0</v>
      </c>
      <c r="BC4" s="271">
        <v>7457</v>
      </c>
      <c r="BD4" s="271">
        <v>0</v>
      </c>
      <c r="BE4" s="271">
        <v>0</v>
      </c>
      <c r="BF4" s="271">
        <v>0</v>
      </c>
      <c r="BG4" s="271">
        <v>4190</v>
      </c>
      <c r="BH4" s="271">
        <v>4044</v>
      </c>
      <c r="BI4" s="271">
        <v>6074</v>
      </c>
      <c r="BJ4" s="271">
        <v>0</v>
      </c>
      <c r="BK4" s="1113">
        <v>0</v>
      </c>
      <c r="BL4" s="271">
        <v>0</v>
      </c>
      <c r="BM4" s="271">
        <v>25695</v>
      </c>
      <c r="BN4" s="271">
        <v>8224</v>
      </c>
      <c r="BO4" s="1113">
        <v>290</v>
      </c>
      <c r="BP4" s="271">
        <v>7724</v>
      </c>
      <c r="BQ4" s="271">
        <v>10346</v>
      </c>
      <c r="BR4" s="271">
        <v>0</v>
      </c>
      <c r="BS4" s="271">
        <v>0</v>
      </c>
      <c r="BT4" s="300">
        <v>0</v>
      </c>
      <c r="BU4" s="300">
        <v>0</v>
      </c>
      <c r="BV4" s="300">
        <v>0</v>
      </c>
      <c r="BW4" s="300">
        <v>0</v>
      </c>
      <c r="BX4" s="300">
        <v>18010</v>
      </c>
      <c r="BY4" s="300">
        <v>0</v>
      </c>
      <c r="BZ4" s="300">
        <v>12680</v>
      </c>
      <c r="CA4" s="300">
        <v>0</v>
      </c>
      <c r="CB4" s="300">
        <v>0</v>
      </c>
      <c r="CC4" s="300">
        <v>2993</v>
      </c>
      <c r="CD4" s="300">
        <v>0</v>
      </c>
      <c r="CE4" s="300">
        <v>209934</v>
      </c>
    </row>
    <row r="5" spans="1:83" x14ac:dyDescent="0.3">
      <c r="A5" s="271">
        <v>6</v>
      </c>
      <c r="B5" s="271">
        <v>6</v>
      </c>
      <c r="C5" s="271" t="s">
        <v>265</v>
      </c>
      <c r="D5" s="271" t="s">
        <v>300</v>
      </c>
      <c r="E5" s="271">
        <v>0</v>
      </c>
      <c r="F5" s="271">
        <v>0</v>
      </c>
      <c r="G5" s="271">
        <v>0</v>
      </c>
      <c r="H5" s="271">
        <v>0</v>
      </c>
      <c r="I5" s="271">
        <v>0</v>
      </c>
      <c r="J5" s="271">
        <v>0</v>
      </c>
      <c r="K5" s="271">
        <v>0</v>
      </c>
      <c r="L5" s="271">
        <v>0</v>
      </c>
      <c r="M5" s="1113">
        <v>0</v>
      </c>
      <c r="N5" s="271">
        <v>1498879</v>
      </c>
      <c r="O5" s="1113">
        <v>0</v>
      </c>
      <c r="P5" s="271">
        <v>0</v>
      </c>
      <c r="Q5" s="271">
        <v>0</v>
      </c>
      <c r="R5" s="1113">
        <v>0</v>
      </c>
      <c r="S5" s="271">
        <v>0</v>
      </c>
      <c r="T5" s="271">
        <v>0</v>
      </c>
      <c r="U5" s="271">
        <v>0</v>
      </c>
      <c r="V5" s="271">
        <v>0</v>
      </c>
      <c r="W5" s="271">
        <v>0</v>
      </c>
      <c r="X5" s="271">
        <v>0</v>
      </c>
      <c r="Y5" s="1113">
        <v>21536</v>
      </c>
      <c r="Z5" s="271">
        <v>0</v>
      </c>
      <c r="AA5" s="271">
        <v>0</v>
      </c>
      <c r="AB5" s="271">
        <v>0</v>
      </c>
      <c r="AC5" s="1113">
        <v>0</v>
      </c>
      <c r="AD5" s="271">
        <v>802590</v>
      </c>
      <c r="AE5" s="271">
        <v>0</v>
      </c>
      <c r="AF5" s="271">
        <v>0</v>
      </c>
      <c r="AG5" s="271">
        <v>682208</v>
      </c>
      <c r="AH5" s="271">
        <v>0</v>
      </c>
      <c r="AI5" s="271">
        <v>0</v>
      </c>
      <c r="AJ5" s="271">
        <v>0</v>
      </c>
      <c r="AK5" s="271">
        <v>0</v>
      </c>
      <c r="AL5" s="271">
        <v>0</v>
      </c>
      <c r="AM5" s="271">
        <v>0</v>
      </c>
      <c r="AN5" s="271">
        <v>0</v>
      </c>
      <c r="AO5" s="271">
        <v>0</v>
      </c>
      <c r="AP5" s="271">
        <v>0</v>
      </c>
      <c r="AQ5" s="271">
        <v>0</v>
      </c>
      <c r="AR5" s="271">
        <v>0</v>
      </c>
      <c r="AS5" s="271">
        <v>0</v>
      </c>
      <c r="AT5" s="1113">
        <v>0</v>
      </c>
      <c r="AU5" s="271">
        <v>0</v>
      </c>
      <c r="AV5" s="271">
        <v>3689130</v>
      </c>
      <c r="AW5" s="271">
        <v>647996</v>
      </c>
      <c r="AX5" s="271">
        <v>0</v>
      </c>
      <c r="AY5" s="271">
        <v>0</v>
      </c>
      <c r="AZ5" s="271">
        <v>0</v>
      </c>
      <c r="BA5" s="271">
        <v>0</v>
      </c>
      <c r="BB5" s="271">
        <v>0</v>
      </c>
      <c r="BC5" s="271">
        <v>0</v>
      </c>
      <c r="BD5" s="271">
        <v>0</v>
      </c>
      <c r="BE5" s="271">
        <v>0</v>
      </c>
      <c r="BF5" s="271">
        <v>0</v>
      </c>
      <c r="BG5" s="271">
        <v>271051</v>
      </c>
      <c r="BH5" s="271">
        <v>0</v>
      </c>
      <c r="BI5" s="271">
        <v>647714</v>
      </c>
      <c r="BJ5" s="271">
        <v>0</v>
      </c>
      <c r="BK5" s="271">
        <v>0</v>
      </c>
      <c r="BL5" s="271">
        <v>0</v>
      </c>
      <c r="BM5" s="271">
        <v>0</v>
      </c>
      <c r="BN5" s="271">
        <v>0</v>
      </c>
      <c r="BO5" s="271">
        <v>0</v>
      </c>
      <c r="BP5" s="271">
        <v>1825436</v>
      </c>
      <c r="BQ5" s="271">
        <v>3146748</v>
      </c>
      <c r="BR5" s="271">
        <v>0</v>
      </c>
      <c r="BS5" s="271">
        <v>0</v>
      </c>
      <c r="BT5" s="300">
        <v>0</v>
      </c>
      <c r="BU5" s="300">
        <v>318143</v>
      </c>
      <c r="BV5" s="300">
        <v>0</v>
      </c>
      <c r="BW5" s="300">
        <v>0</v>
      </c>
      <c r="BX5" s="300">
        <v>0</v>
      </c>
      <c r="BY5" s="300">
        <v>0</v>
      </c>
      <c r="BZ5" s="300">
        <v>572161</v>
      </c>
      <c r="CA5" s="300">
        <v>0</v>
      </c>
      <c r="CB5" s="300">
        <v>34931</v>
      </c>
      <c r="CC5" s="300">
        <v>0</v>
      </c>
      <c r="CD5" s="300">
        <v>0</v>
      </c>
      <c r="CE5" s="300">
        <v>1783992</v>
      </c>
    </row>
    <row r="6" spans="1:83" x14ac:dyDescent="0.3">
      <c r="A6" s="271">
        <v>7</v>
      </c>
      <c r="B6" s="271">
        <v>7</v>
      </c>
      <c r="C6" s="271" t="s">
        <v>202</v>
      </c>
      <c r="D6" s="271" t="s">
        <v>301</v>
      </c>
      <c r="E6" s="1113">
        <v>0</v>
      </c>
      <c r="F6" s="271">
        <v>0</v>
      </c>
      <c r="G6" s="271">
        <v>860</v>
      </c>
      <c r="H6" s="1113">
        <v>0</v>
      </c>
      <c r="I6" s="271">
        <v>3866</v>
      </c>
      <c r="J6" s="271">
        <v>0</v>
      </c>
      <c r="K6" s="271">
        <v>2929</v>
      </c>
      <c r="L6" s="271">
        <v>6253</v>
      </c>
      <c r="M6" s="1113">
        <v>21086</v>
      </c>
      <c r="N6" s="271">
        <v>273969</v>
      </c>
      <c r="O6" s="1113">
        <v>6398</v>
      </c>
      <c r="P6" s="271">
        <v>27134</v>
      </c>
      <c r="Q6" s="1113">
        <v>0</v>
      </c>
      <c r="R6" s="1113">
        <v>0</v>
      </c>
      <c r="S6" s="271">
        <v>0</v>
      </c>
      <c r="T6" s="271">
        <v>7233</v>
      </c>
      <c r="U6" s="271">
        <v>0</v>
      </c>
      <c r="V6" s="271">
        <v>0</v>
      </c>
      <c r="W6" s="271">
        <v>0</v>
      </c>
      <c r="X6" s="271">
        <v>6695</v>
      </c>
      <c r="Y6" s="1113">
        <v>0</v>
      </c>
      <c r="Z6" s="271">
        <v>0</v>
      </c>
      <c r="AA6" s="271">
        <v>0</v>
      </c>
      <c r="AB6" s="271">
        <v>0</v>
      </c>
      <c r="AC6" s="1113">
        <v>0</v>
      </c>
      <c r="AD6" s="271">
        <v>111008</v>
      </c>
      <c r="AE6" s="271">
        <v>0</v>
      </c>
      <c r="AF6" s="271">
        <v>0</v>
      </c>
      <c r="AG6" s="271">
        <v>644336</v>
      </c>
      <c r="AH6" s="1113">
        <v>7782</v>
      </c>
      <c r="AI6" s="1113">
        <v>0</v>
      </c>
      <c r="AJ6" s="271">
        <v>70346</v>
      </c>
      <c r="AK6" s="1113">
        <v>0</v>
      </c>
      <c r="AL6" s="271">
        <v>0</v>
      </c>
      <c r="AM6" s="271">
        <v>0</v>
      </c>
      <c r="AN6" s="271">
        <v>0</v>
      </c>
      <c r="AO6" s="271">
        <v>0</v>
      </c>
      <c r="AP6" s="271">
        <v>0</v>
      </c>
      <c r="AQ6" s="271">
        <v>0</v>
      </c>
      <c r="AR6" s="271">
        <v>0</v>
      </c>
      <c r="AS6" s="271">
        <v>0</v>
      </c>
      <c r="AT6" s="1113">
        <v>2041</v>
      </c>
      <c r="AU6" s="271">
        <v>0</v>
      </c>
      <c r="AV6" s="271">
        <v>1588976</v>
      </c>
      <c r="AW6" s="1113">
        <v>68016</v>
      </c>
      <c r="AX6" s="271">
        <v>0</v>
      </c>
      <c r="AY6" s="1113">
        <v>0</v>
      </c>
      <c r="AZ6" s="271">
        <v>0</v>
      </c>
      <c r="BA6" s="271">
        <v>0</v>
      </c>
      <c r="BB6" s="271">
        <v>0</v>
      </c>
      <c r="BC6" s="1113">
        <v>0</v>
      </c>
      <c r="BD6" s="271">
        <v>9942</v>
      </c>
      <c r="BE6" s="271">
        <v>0</v>
      </c>
      <c r="BF6" s="271">
        <v>0</v>
      </c>
      <c r="BG6" s="271">
        <v>129407</v>
      </c>
      <c r="BH6" s="271">
        <v>0</v>
      </c>
      <c r="BI6" s="1113">
        <v>11952</v>
      </c>
      <c r="BJ6" s="271">
        <v>0</v>
      </c>
      <c r="BK6" s="1113">
        <v>0</v>
      </c>
      <c r="BL6" s="1113">
        <v>0</v>
      </c>
      <c r="BM6" s="271">
        <v>0</v>
      </c>
      <c r="BN6" s="271">
        <v>72783</v>
      </c>
      <c r="BO6" s="271">
        <v>0</v>
      </c>
      <c r="BP6" s="271">
        <v>2757181</v>
      </c>
      <c r="BQ6" s="271">
        <v>101903</v>
      </c>
      <c r="BR6" s="271">
        <v>0</v>
      </c>
      <c r="BS6" s="271">
        <v>34610</v>
      </c>
      <c r="BT6" s="300">
        <v>0</v>
      </c>
      <c r="BU6" s="300">
        <v>0</v>
      </c>
      <c r="BV6" s="300">
        <v>0</v>
      </c>
      <c r="BW6" s="300">
        <v>0</v>
      </c>
      <c r="BX6" s="300">
        <v>0</v>
      </c>
      <c r="BY6" s="300">
        <v>0</v>
      </c>
      <c r="BZ6" s="300">
        <v>110795</v>
      </c>
      <c r="CA6" s="300">
        <v>0</v>
      </c>
      <c r="CB6" s="300">
        <v>33209</v>
      </c>
      <c r="CC6" s="300">
        <v>9118</v>
      </c>
      <c r="CD6" s="300">
        <v>7927</v>
      </c>
      <c r="CE6" s="300">
        <v>82533</v>
      </c>
    </row>
    <row r="7" spans="1:83" x14ac:dyDescent="0.3">
      <c r="A7" s="271">
        <v>9</v>
      </c>
      <c r="B7" s="271">
        <v>9</v>
      </c>
      <c r="C7" s="271" t="s">
        <v>204</v>
      </c>
      <c r="D7" s="271" t="s">
        <v>302</v>
      </c>
      <c r="E7" s="1113">
        <v>558672</v>
      </c>
      <c r="F7" s="1113">
        <v>1136556</v>
      </c>
      <c r="G7" s="1113">
        <v>448594</v>
      </c>
      <c r="H7" s="1113">
        <v>1031798</v>
      </c>
      <c r="I7" s="1113">
        <v>732873</v>
      </c>
      <c r="J7" s="1113">
        <v>186323</v>
      </c>
      <c r="K7" s="1113">
        <v>132851</v>
      </c>
      <c r="L7" s="1113">
        <v>668793</v>
      </c>
      <c r="M7" s="1113">
        <v>3046860</v>
      </c>
      <c r="N7" s="1113">
        <v>75936690</v>
      </c>
      <c r="O7" s="1113">
        <v>2861609</v>
      </c>
      <c r="P7" s="1113">
        <v>5216533</v>
      </c>
      <c r="Q7" s="1113">
        <v>204588</v>
      </c>
      <c r="R7" s="1113">
        <v>5469635</v>
      </c>
      <c r="S7" s="271">
        <v>140415</v>
      </c>
      <c r="T7" s="1113">
        <v>554776</v>
      </c>
      <c r="U7" s="1113">
        <v>656597</v>
      </c>
      <c r="V7" s="1113">
        <v>1100153</v>
      </c>
      <c r="W7" s="1113">
        <v>3819464</v>
      </c>
      <c r="X7" s="1113">
        <v>1213939</v>
      </c>
      <c r="Y7" s="1113">
        <v>576180</v>
      </c>
      <c r="Z7" s="1113">
        <v>214372</v>
      </c>
      <c r="AA7" s="1113">
        <v>25011710</v>
      </c>
      <c r="AB7" s="1113">
        <v>7360630</v>
      </c>
      <c r="AC7" s="1113">
        <v>813840</v>
      </c>
      <c r="AD7" s="1113">
        <v>28429702</v>
      </c>
      <c r="AE7" s="1113">
        <v>510782</v>
      </c>
      <c r="AF7" s="1113">
        <v>0</v>
      </c>
      <c r="AG7" s="1113">
        <v>33207609</v>
      </c>
      <c r="AH7" s="1113">
        <v>881430</v>
      </c>
      <c r="AI7" s="1113">
        <v>328001</v>
      </c>
      <c r="AJ7" s="1113">
        <v>2760392</v>
      </c>
      <c r="AK7" s="1113">
        <v>872188</v>
      </c>
      <c r="AL7" s="271">
        <v>142231</v>
      </c>
      <c r="AM7" s="1113">
        <v>0</v>
      </c>
      <c r="AN7" s="1113">
        <v>681839</v>
      </c>
      <c r="AO7" s="1113">
        <v>11045267</v>
      </c>
      <c r="AP7" s="1113">
        <v>50734</v>
      </c>
      <c r="AQ7" s="1113">
        <v>3180114</v>
      </c>
      <c r="AR7" s="1113">
        <v>2187774</v>
      </c>
      <c r="AS7" s="1113">
        <v>202703</v>
      </c>
      <c r="AT7" s="1113">
        <v>1115623</v>
      </c>
      <c r="AU7" s="1113">
        <v>658676</v>
      </c>
      <c r="AV7" s="271">
        <v>70865071</v>
      </c>
      <c r="AW7" s="1113">
        <v>23953440</v>
      </c>
      <c r="AX7" s="1113">
        <v>808557</v>
      </c>
      <c r="AY7" s="1113">
        <v>330054</v>
      </c>
      <c r="AZ7" s="1113">
        <v>326163</v>
      </c>
      <c r="BA7" s="1113">
        <v>188012</v>
      </c>
      <c r="BB7" s="1113">
        <v>0</v>
      </c>
      <c r="BC7" s="1113">
        <v>3085670</v>
      </c>
      <c r="BD7" s="1113">
        <v>1160336</v>
      </c>
      <c r="BE7" s="1113">
        <v>247269</v>
      </c>
      <c r="BF7" s="1113">
        <v>131639</v>
      </c>
      <c r="BG7" s="1113">
        <v>5738273</v>
      </c>
      <c r="BH7" s="1113">
        <v>82958</v>
      </c>
      <c r="BI7" s="1113">
        <v>11327569</v>
      </c>
      <c r="BJ7" s="1113">
        <v>1176095</v>
      </c>
      <c r="BK7" s="1113">
        <v>491098</v>
      </c>
      <c r="BL7" s="1113">
        <v>496527</v>
      </c>
      <c r="BM7" s="1113">
        <v>12272744</v>
      </c>
      <c r="BN7" s="1113">
        <v>7372526</v>
      </c>
      <c r="BO7" s="1113">
        <v>2027305</v>
      </c>
      <c r="BP7" s="1113">
        <v>38294105</v>
      </c>
      <c r="BQ7" s="1113">
        <v>27541986</v>
      </c>
      <c r="BR7" s="1113">
        <v>249569</v>
      </c>
      <c r="BS7" s="1113">
        <v>4128764</v>
      </c>
      <c r="BT7" s="300">
        <v>2683094</v>
      </c>
      <c r="BU7" s="300">
        <v>7955027</v>
      </c>
      <c r="BV7" s="300">
        <v>315605</v>
      </c>
      <c r="BW7" s="300">
        <v>1087840</v>
      </c>
      <c r="BX7" s="300">
        <v>2610160</v>
      </c>
      <c r="BY7" s="300">
        <v>0</v>
      </c>
      <c r="BZ7" s="300">
        <v>17479963</v>
      </c>
      <c r="CA7" s="300">
        <v>189855</v>
      </c>
      <c r="CB7" s="300">
        <v>7691673</v>
      </c>
      <c r="CC7" s="300">
        <v>481796</v>
      </c>
      <c r="CD7" s="300">
        <v>1849385</v>
      </c>
      <c r="CE7" s="300">
        <v>56311465</v>
      </c>
    </row>
    <row r="8" spans="1:83" x14ac:dyDescent="0.3">
      <c r="A8" s="271">
        <v>11</v>
      </c>
      <c r="B8" s="271">
        <v>11</v>
      </c>
      <c r="C8" s="271" t="s">
        <v>203</v>
      </c>
      <c r="D8" s="271" t="s">
        <v>303</v>
      </c>
      <c r="E8" s="1113">
        <v>0</v>
      </c>
      <c r="F8" s="271">
        <v>68235</v>
      </c>
      <c r="G8" s="1113">
        <v>0</v>
      </c>
      <c r="H8" s="1113">
        <v>18118</v>
      </c>
      <c r="I8" s="1113">
        <v>165000</v>
      </c>
      <c r="J8" s="1113">
        <v>9829</v>
      </c>
      <c r="K8" s="1113">
        <v>25317</v>
      </c>
      <c r="L8" s="1113">
        <v>202684</v>
      </c>
      <c r="M8" s="271">
        <v>515841</v>
      </c>
      <c r="N8" s="271">
        <v>0</v>
      </c>
      <c r="O8" s="1113">
        <v>0</v>
      </c>
      <c r="P8" s="271">
        <v>565226</v>
      </c>
      <c r="Q8" s="1113">
        <v>18218</v>
      </c>
      <c r="R8" s="271">
        <v>355299</v>
      </c>
      <c r="S8" s="271">
        <v>3228</v>
      </c>
      <c r="T8" s="1113">
        <v>59067</v>
      </c>
      <c r="U8" s="1113">
        <v>0</v>
      </c>
      <c r="V8" s="1113">
        <v>123000</v>
      </c>
      <c r="W8" s="1113">
        <v>645637</v>
      </c>
      <c r="X8" s="271">
        <v>20789</v>
      </c>
      <c r="Y8" s="1113">
        <v>13674</v>
      </c>
      <c r="Z8" s="1113">
        <v>81418</v>
      </c>
      <c r="AA8" s="1113">
        <v>1755094</v>
      </c>
      <c r="AB8" s="1113">
        <v>0</v>
      </c>
      <c r="AC8" s="271">
        <v>16890</v>
      </c>
      <c r="AD8" s="271">
        <v>117777</v>
      </c>
      <c r="AE8" s="271">
        <v>7523</v>
      </c>
      <c r="AF8" s="1113">
        <v>0</v>
      </c>
      <c r="AG8" s="1113">
        <v>1537056</v>
      </c>
      <c r="AH8" s="1113">
        <v>41500</v>
      </c>
      <c r="AI8" s="271">
        <v>30347</v>
      </c>
      <c r="AJ8" s="1113">
        <v>93472</v>
      </c>
      <c r="AK8" s="1113">
        <v>54496</v>
      </c>
      <c r="AL8" s="271">
        <v>20447</v>
      </c>
      <c r="AM8" s="271">
        <v>0</v>
      </c>
      <c r="AN8" s="271">
        <v>105449</v>
      </c>
      <c r="AO8" s="1113">
        <v>0</v>
      </c>
      <c r="AP8" s="1113">
        <v>0</v>
      </c>
      <c r="AQ8" s="1113">
        <v>0</v>
      </c>
      <c r="AR8" s="1113">
        <v>52377</v>
      </c>
      <c r="AS8" s="271">
        <v>0</v>
      </c>
      <c r="AT8" s="271">
        <v>146834</v>
      </c>
      <c r="AU8" s="1113">
        <v>172096</v>
      </c>
      <c r="AV8" s="271">
        <v>0</v>
      </c>
      <c r="AW8" s="1113">
        <v>702296</v>
      </c>
      <c r="AX8" s="1113">
        <v>0</v>
      </c>
      <c r="AY8" s="271">
        <v>13891</v>
      </c>
      <c r="AZ8" s="1113">
        <v>30362</v>
      </c>
      <c r="BA8" s="1113">
        <v>23673</v>
      </c>
      <c r="BB8" s="1113">
        <v>0</v>
      </c>
      <c r="BC8" s="1113">
        <v>44431</v>
      </c>
      <c r="BD8" s="1113">
        <v>0</v>
      </c>
      <c r="BE8" s="1113">
        <v>37579</v>
      </c>
      <c r="BF8" s="1113">
        <v>13654</v>
      </c>
      <c r="BG8" s="1113">
        <v>156861</v>
      </c>
      <c r="BH8" s="1113">
        <v>20370</v>
      </c>
      <c r="BI8" s="1113">
        <v>785677</v>
      </c>
      <c r="BJ8" s="1113">
        <v>433953</v>
      </c>
      <c r="BK8" s="1113">
        <v>84063</v>
      </c>
      <c r="BL8" s="1113">
        <v>0</v>
      </c>
      <c r="BM8" s="271">
        <v>1036622</v>
      </c>
      <c r="BN8" s="271">
        <v>0</v>
      </c>
      <c r="BO8" s="1113">
        <v>257967</v>
      </c>
      <c r="BP8" s="1113">
        <v>0</v>
      </c>
      <c r="BQ8" s="271">
        <v>0</v>
      </c>
      <c r="BR8" s="1113">
        <v>6383</v>
      </c>
      <c r="BS8" s="1113">
        <v>112145</v>
      </c>
      <c r="BT8" s="300">
        <v>0</v>
      </c>
      <c r="BU8" s="300">
        <v>75919</v>
      </c>
      <c r="BV8" s="300">
        <v>67992</v>
      </c>
      <c r="BW8" s="300">
        <v>136238</v>
      </c>
      <c r="BX8" s="300">
        <v>0</v>
      </c>
      <c r="BY8" s="300">
        <v>0</v>
      </c>
      <c r="BZ8" s="300">
        <v>1159519</v>
      </c>
      <c r="CA8" s="300">
        <v>16572</v>
      </c>
      <c r="CB8" s="300">
        <v>29194</v>
      </c>
      <c r="CC8" s="300">
        <v>56555</v>
      </c>
      <c r="CD8" s="300">
        <v>226867</v>
      </c>
      <c r="CE8" s="300">
        <v>3098380</v>
      </c>
    </row>
    <row r="9" spans="1:83" x14ac:dyDescent="0.3">
      <c r="A9" s="271"/>
      <c r="B9" s="271">
        <v>12</v>
      </c>
      <c r="C9" s="271" t="s">
        <v>618</v>
      </c>
      <c r="D9" s="271" t="s">
        <v>304</v>
      </c>
      <c r="E9" s="271"/>
      <c r="F9" s="271"/>
      <c r="G9" s="271"/>
      <c r="H9" s="271"/>
      <c r="I9" s="271"/>
      <c r="J9" s="271"/>
      <c r="K9" s="271"/>
      <c r="L9" s="271"/>
      <c r="M9" s="271"/>
      <c r="N9" s="271"/>
      <c r="O9" s="271"/>
      <c r="P9" s="271"/>
      <c r="Q9" s="271"/>
      <c r="R9" s="271"/>
      <c r="S9" s="271"/>
      <c r="T9" s="271"/>
      <c r="U9" s="271"/>
      <c r="V9" s="271"/>
      <c r="W9" s="271"/>
      <c r="X9" s="271"/>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1"/>
      <c r="BG9" s="271"/>
      <c r="BH9" s="271"/>
      <c r="BI9" s="271"/>
      <c r="BJ9" s="271"/>
      <c r="BK9" s="271"/>
      <c r="BL9" s="271"/>
      <c r="BM9" s="271"/>
      <c r="BN9" s="271"/>
      <c r="BO9" s="271"/>
      <c r="BP9" s="271"/>
      <c r="BQ9" s="271"/>
      <c r="BR9" s="271"/>
      <c r="BS9" s="271"/>
    </row>
    <row r="10" spans="1:83" x14ac:dyDescent="0.3">
      <c r="A10" s="271"/>
      <c r="B10" s="271">
        <v>13</v>
      </c>
      <c r="C10" s="271" t="s">
        <v>619</v>
      </c>
      <c r="D10" s="271" t="s">
        <v>305</v>
      </c>
      <c r="E10" s="271"/>
      <c r="F10" s="271"/>
      <c r="G10" s="271"/>
      <c r="H10" s="271"/>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1"/>
      <c r="BG10" s="271"/>
      <c r="BH10" s="271"/>
      <c r="BI10" s="271"/>
      <c r="BJ10" s="271"/>
      <c r="BK10" s="271"/>
      <c r="BL10" s="271"/>
      <c r="BM10" s="271"/>
      <c r="BN10" s="271"/>
      <c r="BO10" s="271"/>
      <c r="BP10" s="271"/>
      <c r="BQ10" s="271"/>
      <c r="BR10" s="271"/>
      <c r="BS10" s="271"/>
    </row>
    <row r="11" spans="1:83" x14ac:dyDescent="0.3">
      <c r="A11" s="271"/>
      <c r="B11" s="271">
        <v>14</v>
      </c>
      <c r="C11" s="271" t="s">
        <v>306</v>
      </c>
      <c r="D11" s="271" t="s">
        <v>307</v>
      </c>
      <c r="E11" s="271"/>
      <c r="F11" s="271"/>
      <c r="G11" s="271"/>
      <c r="H11" s="271"/>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271"/>
      <c r="BO11" s="271"/>
      <c r="BP11" s="271"/>
      <c r="BQ11" s="271"/>
      <c r="BR11" s="271"/>
      <c r="BS11" s="271"/>
    </row>
    <row r="12" spans="1:83" x14ac:dyDescent="0.3">
      <c r="A12" s="271">
        <v>16</v>
      </c>
      <c r="B12" s="271">
        <v>16</v>
      </c>
      <c r="C12" s="271" t="s">
        <v>206</v>
      </c>
      <c r="D12" s="271" t="s">
        <v>308</v>
      </c>
      <c r="E12" s="1113">
        <v>2671405</v>
      </c>
      <c r="F12" s="1113">
        <v>2655777</v>
      </c>
      <c r="G12" s="1113">
        <v>305730</v>
      </c>
      <c r="H12" s="1113">
        <v>833021</v>
      </c>
      <c r="I12" s="1113">
        <v>684778</v>
      </c>
      <c r="J12" s="1113">
        <v>147438</v>
      </c>
      <c r="K12" s="1113">
        <v>52427</v>
      </c>
      <c r="L12" s="1113">
        <v>98666</v>
      </c>
      <c r="M12" s="1113">
        <v>4612103</v>
      </c>
      <c r="N12" s="1113">
        <v>166076748</v>
      </c>
      <c r="O12" s="1113">
        <v>1736177</v>
      </c>
      <c r="P12" s="1113">
        <v>7128071</v>
      </c>
      <c r="Q12" s="1113">
        <v>162551</v>
      </c>
      <c r="R12" s="1113">
        <v>10825055</v>
      </c>
      <c r="S12" s="271">
        <v>90136</v>
      </c>
      <c r="T12" s="1113">
        <v>329587</v>
      </c>
      <c r="U12" s="1113">
        <v>1944367</v>
      </c>
      <c r="V12" s="1113">
        <v>1090885</v>
      </c>
      <c r="W12" s="1113">
        <v>4909151</v>
      </c>
      <c r="X12" s="1113">
        <v>1689667</v>
      </c>
      <c r="Y12" s="1113">
        <v>662844</v>
      </c>
      <c r="Z12" s="1113">
        <v>1055135</v>
      </c>
      <c r="AA12" s="1113">
        <v>31140710</v>
      </c>
      <c r="AB12" s="1113">
        <v>1140995</v>
      </c>
      <c r="AC12" s="1113">
        <v>667297</v>
      </c>
      <c r="AD12" s="1113">
        <v>34260442</v>
      </c>
      <c r="AE12" s="1113">
        <v>730666</v>
      </c>
      <c r="AF12" s="1113">
        <v>0</v>
      </c>
      <c r="AG12" s="1113">
        <v>65267725</v>
      </c>
      <c r="AH12" s="1113">
        <v>173565</v>
      </c>
      <c r="AI12" s="1113">
        <v>260156</v>
      </c>
      <c r="AJ12" s="1113">
        <v>6147119</v>
      </c>
      <c r="AK12" s="1113">
        <v>943580</v>
      </c>
      <c r="AL12" s="271">
        <v>72080</v>
      </c>
      <c r="AM12" s="1113">
        <v>0</v>
      </c>
      <c r="AN12" s="1113">
        <v>177652</v>
      </c>
      <c r="AO12" s="1113">
        <v>13332249</v>
      </c>
      <c r="AP12" s="1113">
        <v>45218</v>
      </c>
      <c r="AQ12" s="1113">
        <v>4112550</v>
      </c>
      <c r="AR12" s="1113">
        <v>2690690</v>
      </c>
      <c r="AS12" s="1113">
        <v>68462</v>
      </c>
      <c r="AT12" s="1113">
        <v>1093797</v>
      </c>
      <c r="AU12" s="1113">
        <v>300393</v>
      </c>
      <c r="AV12" s="271">
        <v>280656950</v>
      </c>
      <c r="AW12" s="1113">
        <v>78120767</v>
      </c>
      <c r="AX12" s="1113">
        <v>1627056</v>
      </c>
      <c r="AY12" s="1113">
        <v>276396</v>
      </c>
      <c r="AZ12" s="1113">
        <v>311288</v>
      </c>
      <c r="BA12" s="1113">
        <v>239566</v>
      </c>
      <c r="BB12" s="1113">
        <v>0</v>
      </c>
      <c r="BC12" s="1113">
        <v>5436308</v>
      </c>
      <c r="BD12" s="1113">
        <v>257606</v>
      </c>
      <c r="BE12" s="1113">
        <v>118437</v>
      </c>
      <c r="BF12" s="1113">
        <v>49950</v>
      </c>
      <c r="BG12" s="1113">
        <v>14200392</v>
      </c>
      <c r="BH12" s="1113">
        <v>18480</v>
      </c>
      <c r="BI12" s="1113">
        <v>13177068</v>
      </c>
      <c r="BJ12" s="1113">
        <v>2134962</v>
      </c>
      <c r="BK12" s="1113">
        <v>212830</v>
      </c>
      <c r="BL12" s="1113">
        <v>80498</v>
      </c>
      <c r="BM12" s="1113">
        <v>15621335</v>
      </c>
      <c r="BN12" s="1113">
        <v>15497757</v>
      </c>
      <c r="BO12" s="1113">
        <v>1661624</v>
      </c>
      <c r="BP12" s="1113">
        <v>51738994</v>
      </c>
      <c r="BQ12" s="1113">
        <v>112004073</v>
      </c>
      <c r="BR12" s="1113">
        <v>329850</v>
      </c>
      <c r="BS12" s="1113">
        <v>5879574</v>
      </c>
      <c r="BT12" s="300">
        <v>1009739</v>
      </c>
      <c r="BU12" s="300">
        <v>10079224</v>
      </c>
      <c r="BV12" s="300">
        <v>169955</v>
      </c>
      <c r="BW12" s="300">
        <v>581085</v>
      </c>
      <c r="BX12" s="300">
        <v>3730631</v>
      </c>
      <c r="BY12" s="300">
        <v>0</v>
      </c>
      <c r="BZ12" s="300">
        <v>45097450</v>
      </c>
      <c r="CA12" s="300">
        <v>305202</v>
      </c>
      <c r="CB12" s="300">
        <v>13481015</v>
      </c>
      <c r="CC12" s="300">
        <v>517151</v>
      </c>
      <c r="CD12" s="300">
        <v>3192382</v>
      </c>
      <c r="CE12" s="300">
        <v>43506243</v>
      </c>
    </row>
    <row r="13" spans="1:83" x14ac:dyDescent="0.3">
      <c r="A13" s="271">
        <v>17</v>
      </c>
      <c r="B13" s="271">
        <v>17</v>
      </c>
      <c r="C13" s="271" t="s">
        <v>209</v>
      </c>
      <c r="D13" s="271" t="s">
        <v>309</v>
      </c>
      <c r="E13" s="271">
        <v>0</v>
      </c>
      <c r="F13" s="1113">
        <v>0</v>
      </c>
      <c r="G13" s="1113">
        <v>0</v>
      </c>
      <c r="H13" s="1113">
        <v>0</v>
      </c>
      <c r="I13" s="271">
        <v>0</v>
      </c>
      <c r="J13" s="271">
        <v>0</v>
      </c>
      <c r="K13" s="271">
        <v>0</v>
      </c>
      <c r="L13" s="1113">
        <v>0</v>
      </c>
      <c r="M13" s="1113">
        <v>550393</v>
      </c>
      <c r="N13" s="271">
        <v>2422442</v>
      </c>
      <c r="O13" s="271">
        <v>150273</v>
      </c>
      <c r="P13" s="1113">
        <v>0</v>
      </c>
      <c r="Q13" s="271">
        <v>0</v>
      </c>
      <c r="R13" s="1113">
        <v>2646485</v>
      </c>
      <c r="S13" s="271">
        <v>0</v>
      </c>
      <c r="T13" s="271">
        <v>0</v>
      </c>
      <c r="U13" s="1113">
        <v>0</v>
      </c>
      <c r="V13" s="271">
        <v>16145</v>
      </c>
      <c r="W13" s="271">
        <v>0</v>
      </c>
      <c r="X13" s="271">
        <v>0</v>
      </c>
      <c r="Y13" s="1113">
        <v>0</v>
      </c>
      <c r="Z13" s="271">
        <v>4871</v>
      </c>
      <c r="AA13" s="271">
        <v>389700</v>
      </c>
      <c r="AB13" s="271">
        <v>0</v>
      </c>
      <c r="AC13" s="1113">
        <v>0</v>
      </c>
      <c r="AD13" s="271">
        <v>0</v>
      </c>
      <c r="AE13" s="271">
        <v>0</v>
      </c>
      <c r="AF13" s="271">
        <v>0</v>
      </c>
      <c r="AG13" s="271">
        <v>2040000</v>
      </c>
      <c r="AH13" s="1113">
        <v>0</v>
      </c>
      <c r="AI13" s="271">
        <v>0</v>
      </c>
      <c r="AJ13" s="271">
        <v>2700</v>
      </c>
      <c r="AK13" s="271">
        <v>0</v>
      </c>
      <c r="AL13" s="271">
        <v>0</v>
      </c>
      <c r="AM13" s="271">
        <v>0</v>
      </c>
      <c r="AN13" s="271">
        <v>0</v>
      </c>
      <c r="AO13" s="271">
        <v>0</v>
      </c>
      <c r="AP13" s="1113">
        <v>0</v>
      </c>
      <c r="AQ13" s="271">
        <v>0</v>
      </c>
      <c r="AR13" s="271">
        <v>0</v>
      </c>
      <c r="AS13" s="271">
        <v>0</v>
      </c>
      <c r="AT13" s="271">
        <v>0</v>
      </c>
      <c r="AU13" s="1113">
        <v>0</v>
      </c>
      <c r="AV13" s="271">
        <v>6746800</v>
      </c>
      <c r="AW13" s="271">
        <v>6717814</v>
      </c>
      <c r="AX13" s="271">
        <v>9000</v>
      </c>
      <c r="AY13" s="1113">
        <v>0</v>
      </c>
      <c r="AZ13" s="271">
        <v>0</v>
      </c>
      <c r="BA13" s="271">
        <v>0</v>
      </c>
      <c r="BB13" s="271">
        <v>0</v>
      </c>
      <c r="BC13" s="271">
        <v>0</v>
      </c>
      <c r="BD13" s="271">
        <v>0</v>
      </c>
      <c r="BE13" s="271">
        <v>0</v>
      </c>
      <c r="BF13" s="1113">
        <v>0</v>
      </c>
      <c r="BG13" s="271">
        <v>870652</v>
      </c>
      <c r="BH13" s="1113">
        <v>0</v>
      </c>
      <c r="BI13" s="271">
        <v>0</v>
      </c>
      <c r="BJ13" s="1113">
        <v>0</v>
      </c>
      <c r="BK13" s="271">
        <v>0</v>
      </c>
      <c r="BL13" s="271">
        <v>0</v>
      </c>
      <c r="BM13" s="271">
        <v>511486</v>
      </c>
      <c r="BN13" s="271">
        <v>53500</v>
      </c>
      <c r="BO13" s="271">
        <v>84000</v>
      </c>
      <c r="BP13" s="271">
        <v>1882433</v>
      </c>
      <c r="BQ13" s="1113">
        <v>2057139</v>
      </c>
      <c r="BR13" s="271">
        <v>12500</v>
      </c>
      <c r="BS13" s="1113">
        <v>0</v>
      </c>
      <c r="BT13" s="300">
        <v>0</v>
      </c>
      <c r="BU13" s="300">
        <v>0</v>
      </c>
      <c r="BV13" s="300">
        <v>0</v>
      </c>
      <c r="BW13" s="300">
        <v>0</v>
      </c>
      <c r="BX13" s="300">
        <v>61000</v>
      </c>
      <c r="BY13" s="300">
        <v>0</v>
      </c>
      <c r="BZ13" s="300">
        <v>4993844</v>
      </c>
      <c r="CA13" s="300">
        <v>0</v>
      </c>
      <c r="CB13" s="300">
        <v>0</v>
      </c>
      <c r="CC13" s="300">
        <v>0</v>
      </c>
      <c r="CD13" s="300">
        <v>0</v>
      </c>
      <c r="CE13" s="300">
        <v>0</v>
      </c>
    </row>
    <row r="14" spans="1:83" x14ac:dyDescent="0.3">
      <c r="A14" s="271"/>
      <c r="B14" s="271">
        <v>19</v>
      </c>
      <c r="C14" s="271" t="s">
        <v>620</v>
      </c>
      <c r="D14" s="271" t="s">
        <v>310</v>
      </c>
      <c r="E14" s="271"/>
      <c r="F14" s="271"/>
      <c r="G14" s="271"/>
      <c r="H14" s="271"/>
      <c r="I14" s="271"/>
      <c r="J14" s="271"/>
      <c r="K14" s="271"/>
      <c r="L14" s="271"/>
      <c r="M14" s="271"/>
      <c r="N14" s="271"/>
      <c r="O14" s="271"/>
      <c r="P14" s="271"/>
      <c r="Q14" s="271"/>
      <c r="R14" s="271"/>
      <c r="S14" s="271"/>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row>
    <row r="15" spans="1:83" x14ac:dyDescent="0.3">
      <c r="A15" s="271">
        <v>20</v>
      </c>
      <c r="B15" s="271">
        <v>20</v>
      </c>
      <c r="C15" s="271" t="s">
        <v>210</v>
      </c>
      <c r="D15" s="271" t="s">
        <v>311</v>
      </c>
      <c r="E15" s="271">
        <v>50</v>
      </c>
      <c r="F15" s="271">
        <v>0</v>
      </c>
      <c r="G15" s="271">
        <v>0</v>
      </c>
      <c r="H15" s="1113">
        <v>0</v>
      </c>
      <c r="I15" s="271">
        <v>0</v>
      </c>
      <c r="J15" s="271">
        <v>0</v>
      </c>
      <c r="K15" s="271">
        <v>0</v>
      </c>
      <c r="L15" s="271">
        <v>0</v>
      </c>
      <c r="M15" s="1113">
        <v>0</v>
      </c>
      <c r="N15" s="271">
        <v>15457677</v>
      </c>
      <c r="O15" s="271">
        <v>360712</v>
      </c>
      <c r="P15" s="1113">
        <v>506767</v>
      </c>
      <c r="Q15" s="1113">
        <v>0</v>
      </c>
      <c r="R15" s="1113">
        <v>0</v>
      </c>
      <c r="S15" s="271">
        <v>0</v>
      </c>
      <c r="T15" s="271">
        <v>0</v>
      </c>
      <c r="U15" s="271">
        <v>0</v>
      </c>
      <c r="V15" s="271">
        <v>157300</v>
      </c>
      <c r="W15" s="271">
        <v>0</v>
      </c>
      <c r="X15" s="271">
        <v>0</v>
      </c>
      <c r="Y15" s="1113">
        <v>0</v>
      </c>
      <c r="Z15" s="271">
        <v>7760</v>
      </c>
      <c r="AA15" s="271">
        <v>5363427</v>
      </c>
      <c r="AB15" s="271">
        <v>0</v>
      </c>
      <c r="AC15" s="1113">
        <v>0</v>
      </c>
      <c r="AD15" s="1113">
        <v>1031464</v>
      </c>
      <c r="AE15" s="271">
        <v>0</v>
      </c>
      <c r="AF15" s="271">
        <v>0</v>
      </c>
      <c r="AG15" s="271">
        <v>5644264</v>
      </c>
      <c r="AH15" s="1113">
        <v>0</v>
      </c>
      <c r="AI15" s="1113">
        <v>0</v>
      </c>
      <c r="AJ15" s="271">
        <v>0</v>
      </c>
      <c r="AK15" s="1113">
        <v>4000</v>
      </c>
      <c r="AL15" s="271">
        <v>0</v>
      </c>
      <c r="AM15" s="271">
        <v>0</v>
      </c>
      <c r="AN15" s="1113">
        <v>0</v>
      </c>
      <c r="AO15" s="271">
        <v>0</v>
      </c>
      <c r="AP15" s="271">
        <v>0</v>
      </c>
      <c r="AQ15" s="271">
        <v>117358</v>
      </c>
      <c r="AR15" s="271">
        <v>0</v>
      </c>
      <c r="AS15" s="271">
        <v>750</v>
      </c>
      <c r="AT15" s="1113">
        <v>0</v>
      </c>
      <c r="AU15" s="1113">
        <v>0</v>
      </c>
      <c r="AV15" s="271">
        <v>36495366</v>
      </c>
      <c r="AW15" s="1113">
        <v>12366880</v>
      </c>
      <c r="AX15" s="271">
        <v>580</v>
      </c>
      <c r="AY15" s="1113">
        <v>0</v>
      </c>
      <c r="AZ15" s="271">
        <v>0</v>
      </c>
      <c r="BA15" s="271">
        <v>0</v>
      </c>
      <c r="BB15" s="271">
        <v>0</v>
      </c>
      <c r="BC15" s="1113">
        <v>0</v>
      </c>
      <c r="BD15" s="271">
        <v>0</v>
      </c>
      <c r="BE15" s="271">
        <v>0</v>
      </c>
      <c r="BF15" s="271">
        <v>0</v>
      </c>
      <c r="BG15" s="271">
        <v>3242557</v>
      </c>
      <c r="BH15" s="271">
        <v>0</v>
      </c>
      <c r="BI15" s="1113">
        <v>284332</v>
      </c>
      <c r="BJ15" s="271">
        <v>0</v>
      </c>
      <c r="BK15" s="271">
        <v>0</v>
      </c>
      <c r="BL15" s="271">
        <v>0</v>
      </c>
      <c r="BM15" s="1113">
        <v>1155666</v>
      </c>
      <c r="BN15" s="1113">
        <v>951974</v>
      </c>
      <c r="BO15" s="271">
        <v>0</v>
      </c>
      <c r="BP15" s="271">
        <v>5356067</v>
      </c>
      <c r="BQ15" s="1113">
        <v>4584571</v>
      </c>
      <c r="BR15" s="271">
        <v>0</v>
      </c>
      <c r="BS15" s="1113">
        <v>374398</v>
      </c>
      <c r="BT15" s="300">
        <v>0</v>
      </c>
      <c r="BU15" s="300">
        <v>219416</v>
      </c>
      <c r="BV15" s="300">
        <v>0</v>
      </c>
      <c r="BW15" s="300">
        <v>16272</v>
      </c>
      <c r="BX15" s="300">
        <v>806743</v>
      </c>
      <c r="BY15" s="300">
        <v>0</v>
      </c>
      <c r="BZ15" s="300">
        <v>10637448</v>
      </c>
      <c r="CA15" s="300">
        <v>0</v>
      </c>
      <c r="CB15" s="300">
        <v>0</v>
      </c>
      <c r="CC15" s="300">
        <v>79300</v>
      </c>
      <c r="CD15" s="300">
        <v>0</v>
      </c>
      <c r="CE15" s="300">
        <v>765141</v>
      </c>
    </row>
    <row r="16" spans="1:83" x14ac:dyDescent="0.3">
      <c r="A16" s="271"/>
      <c r="B16" s="271">
        <v>21</v>
      </c>
      <c r="C16" s="271" t="s">
        <v>621</v>
      </c>
      <c r="D16" s="271" t="s">
        <v>312</v>
      </c>
      <c r="E16" s="271"/>
      <c r="F16" s="271"/>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row>
    <row r="17" spans="1:83" x14ac:dyDescent="0.3">
      <c r="A17" s="271">
        <v>22</v>
      </c>
      <c r="B17" s="271">
        <v>22</v>
      </c>
      <c r="C17" s="271" t="s">
        <v>212</v>
      </c>
      <c r="D17" s="271" t="s">
        <v>313</v>
      </c>
      <c r="E17" s="1113">
        <v>0</v>
      </c>
      <c r="F17" s="271">
        <v>0</v>
      </c>
      <c r="G17" s="271">
        <v>0</v>
      </c>
      <c r="H17" s="271">
        <v>0</v>
      </c>
      <c r="I17" s="271">
        <v>0</v>
      </c>
      <c r="J17" s="271">
        <v>231548</v>
      </c>
      <c r="K17" s="1113">
        <v>0</v>
      </c>
      <c r="L17" s="271">
        <v>0</v>
      </c>
      <c r="M17" s="1113">
        <v>0</v>
      </c>
      <c r="N17" s="1113">
        <v>306689</v>
      </c>
      <c r="O17" s="1113">
        <v>0</v>
      </c>
      <c r="P17" s="271">
        <v>16870</v>
      </c>
      <c r="Q17" s="1113">
        <v>0</v>
      </c>
      <c r="R17" s="1113">
        <v>38475</v>
      </c>
      <c r="S17" s="271">
        <v>0</v>
      </c>
      <c r="T17" s="271">
        <v>0</v>
      </c>
      <c r="U17" s="1113">
        <v>9763</v>
      </c>
      <c r="V17" s="271">
        <v>580899</v>
      </c>
      <c r="W17" s="271">
        <v>235000</v>
      </c>
      <c r="X17" s="271">
        <v>60700</v>
      </c>
      <c r="Y17" s="271">
        <v>0</v>
      </c>
      <c r="Z17" s="271">
        <v>74000</v>
      </c>
      <c r="AA17" s="271">
        <v>0</v>
      </c>
      <c r="AB17" s="271">
        <v>0</v>
      </c>
      <c r="AC17" s="271">
        <v>0</v>
      </c>
      <c r="AD17" s="1113">
        <v>29748</v>
      </c>
      <c r="AE17" s="271">
        <v>0</v>
      </c>
      <c r="AF17" s="271">
        <v>0</v>
      </c>
      <c r="AG17" s="271">
        <v>0</v>
      </c>
      <c r="AH17" s="271">
        <v>0</v>
      </c>
      <c r="AI17" s="1113">
        <v>0</v>
      </c>
      <c r="AJ17" s="1113">
        <v>5809</v>
      </c>
      <c r="AK17" s="271">
        <v>0</v>
      </c>
      <c r="AL17" s="271">
        <v>0</v>
      </c>
      <c r="AM17" s="271">
        <v>0</v>
      </c>
      <c r="AN17" s="1113">
        <v>0</v>
      </c>
      <c r="AO17" s="271">
        <v>0</v>
      </c>
      <c r="AP17" s="271">
        <v>0</v>
      </c>
      <c r="AQ17" s="271">
        <v>0</v>
      </c>
      <c r="AR17" s="1113">
        <v>0</v>
      </c>
      <c r="AS17" s="1113">
        <v>0</v>
      </c>
      <c r="AT17" s="1113">
        <v>0</v>
      </c>
      <c r="AU17" s="271">
        <v>0</v>
      </c>
      <c r="AV17" s="271">
        <v>0</v>
      </c>
      <c r="AW17" s="1113">
        <v>0</v>
      </c>
      <c r="AX17" s="271">
        <v>1720</v>
      </c>
      <c r="AY17" s="1113">
        <v>0</v>
      </c>
      <c r="AZ17" s="271">
        <v>736</v>
      </c>
      <c r="BA17" s="271">
        <v>0</v>
      </c>
      <c r="BB17" s="271">
        <v>0</v>
      </c>
      <c r="BC17" s="271">
        <v>-6500</v>
      </c>
      <c r="BD17" s="271">
        <v>18079</v>
      </c>
      <c r="BE17" s="271">
        <v>0</v>
      </c>
      <c r="BF17" s="271">
        <v>0</v>
      </c>
      <c r="BG17" s="271">
        <v>3460</v>
      </c>
      <c r="BH17" s="271">
        <v>0</v>
      </c>
      <c r="BI17" s="271">
        <v>0</v>
      </c>
      <c r="BJ17" s="271">
        <v>0</v>
      </c>
      <c r="BK17" s="1113">
        <v>11550</v>
      </c>
      <c r="BL17" s="271">
        <v>0</v>
      </c>
      <c r="BM17" s="271">
        <v>0</v>
      </c>
      <c r="BN17" s="271">
        <v>66987</v>
      </c>
      <c r="BO17" s="1113">
        <v>0</v>
      </c>
      <c r="BP17" s="1113">
        <v>0</v>
      </c>
      <c r="BQ17" s="271">
        <v>0</v>
      </c>
      <c r="BR17" s="271">
        <v>0</v>
      </c>
      <c r="BS17" s="1113">
        <v>0</v>
      </c>
      <c r="BT17" s="300">
        <v>0</v>
      </c>
      <c r="BU17" s="300">
        <v>0</v>
      </c>
      <c r="BV17" s="300">
        <v>0</v>
      </c>
      <c r="BW17" s="300">
        <v>0</v>
      </c>
      <c r="BX17" s="300">
        <v>16746</v>
      </c>
      <c r="BY17" s="300">
        <v>0</v>
      </c>
      <c r="BZ17" s="300">
        <v>21607</v>
      </c>
      <c r="CA17" s="300">
        <v>0</v>
      </c>
      <c r="CB17" s="300">
        <v>658</v>
      </c>
      <c r="CC17" s="300">
        <v>124000</v>
      </c>
      <c r="CD17" s="300">
        <v>14938</v>
      </c>
      <c r="CE17" s="300">
        <v>0</v>
      </c>
    </row>
    <row r="18" spans="1:83" x14ac:dyDescent="0.3">
      <c r="A18" s="271">
        <v>23</v>
      </c>
      <c r="B18" s="271">
        <v>23</v>
      </c>
      <c r="C18" s="271" t="s">
        <v>215</v>
      </c>
      <c r="D18" s="271" t="s">
        <v>314</v>
      </c>
      <c r="E18" s="1113">
        <v>19018</v>
      </c>
      <c r="F18" s="1113">
        <v>280348</v>
      </c>
      <c r="G18" s="1113">
        <v>-65751</v>
      </c>
      <c r="H18" s="1113">
        <v>-32649</v>
      </c>
      <c r="I18" s="1113">
        <v>64736</v>
      </c>
      <c r="J18" s="1113">
        <v>-29035</v>
      </c>
      <c r="K18" s="1113">
        <v>-5899</v>
      </c>
      <c r="L18" s="1113">
        <v>28983</v>
      </c>
      <c r="M18" s="1113">
        <v>327846</v>
      </c>
      <c r="N18" s="1113">
        <v>6768212</v>
      </c>
      <c r="O18" s="1113">
        <v>-120817</v>
      </c>
      <c r="P18" s="1113">
        <v>-196852</v>
      </c>
      <c r="Q18" s="1113">
        <v>22130</v>
      </c>
      <c r="R18" s="1113">
        <v>-3112778</v>
      </c>
      <c r="S18" s="271">
        <v>21453</v>
      </c>
      <c r="T18" s="1113">
        <v>64046</v>
      </c>
      <c r="U18" s="1113">
        <v>105515</v>
      </c>
      <c r="V18" s="1113">
        <v>-44544</v>
      </c>
      <c r="W18" s="1113">
        <v>795572</v>
      </c>
      <c r="X18" s="1113">
        <v>-366672</v>
      </c>
      <c r="Y18" s="1113">
        <v>-42364</v>
      </c>
      <c r="Z18" s="1113">
        <v>-16367</v>
      </c>
      <c r="AA18" s="1113">
        <v>1608028</v>
      </c>
      <c r="AB18" s="1113">
        <v>123878</v>
      </c>
      <c r="AC18" s="1113">
        <v>84393</v>
      </c>
      <c r="AD18" s="1113">
        <v>-2164486</v>
      </c>
      <c r="AE18" s="1113">
        <v>13130</v>
      </c>
      <c r="AF18" s="1113">
        <v>0</v>
      </c>
      <c r="AG18" s="1113">
        <v>2409030</v>
      </c>
      <c r="AH18" s="1113">
        <v>51826</v>
      </c>
      <c r="AI18" s="1113">
        <v>56570</v>
      </c>
      <c r="AJ18" s="1113">
        <v>-506796</v>
      </c>
      <c r="AK18" s="1113">
        <v>185519</v>
      </c>
      <c r="AL18" s="271">
        <v>18515</v>
      </c>
      <c r="AM18" s="1113">
        <v>0</v>
      </c>
      <c r="AN18" s="1113">
        <v>58113</v>
      </c>
      <c r="AO18" s="1113">
        <v>877086</v>
      </c>
      <c r="AP18" s="1113">
        <v>-19968</v>
      </c>
      <c r="AQ18" s="1113">
        <v>-200085</v>
      </c>
      <c r="AR18" s="1113">
        <v>143697</v>
      </c>
      <c r="AS18" s="1113">
        <v>14337</v>
      </c>
      <c r="AT18" s="1113">
        <v>192823</v>
      </c>
      <c r="AU18" s="1113">
        <v>138779</v>
      </c>
      <c r="AV18" s="271">
        <v>2165201</v>
      </c>
      <c r="AW18" s="1113">
        <v>1054653</v>
      </c>
      <c r="AX18" s="1113">
        <v>2608</v>
      </c>
      <c r="AY18" s="1113">
        <v>-4958</v>
      </c>
      <c r="AZ18" s="1113">
        <v>15213</v>
      </c>
      <c r="BA18" s="1113">
        <v>41442</v>
      </c>
      <c r="BB18" s="1113">
        <v>0</v>
      </c>
      <c r="BC18" s="1113">
        <v>202679</v>
      </c>
      <c r="BD18" s="1113">
        <v>28904</v>
      </c>
      <c r="BE18" s="271">
        <v>22247</v>
      </c>
      <c r="BF18" s="1113">
        <v>2903</v>
      </c>
      <c r="BG18" s="1113">
        <v>-192815</v>
      </c>
      <c r="BH18" s="271">
        <v>3499</v>
      </c>
      <c r="BI18" s="1113">
        <v>176732</v>
      </c>
      <c r="BJ18" s="1113">
        <v>-230523</v>
      </c>
      <c r="BK18" s="1113">
        <v>24234</v>
      </c>
      <c r="BL18" s="1113">
        <v>8311</v>
      </c>
      <c r="BM18" s="1113">
        <v>387179</v>
      </c>
      <c r="BN18" s="1113">
        <v>-170516</v>
      </c>
      <c r="BO18" s="1113">
        <v>38608</v>
      </c>
      <c r="BP18" s="1113">
        <v>515436</v>
      </c>
      <c r="BQ18" s="1113">
        <v>6834275</v>
      </c>
      <c r="BR18" s="1113">
        <v>-20485</v>
      </c>
      <c r="BS18" s="1113">
        <v>-133021</v>
      </c>
      <c r="BT18" s="300">
        <v>-457479</v>
      </c>
      <c r="BU18" s="300">
        <v>509932</v>
      </c>
      <c r="BV18" s="300">
        <v>23248</v>
      </c>
      <c r="BW18" s="300">
        <v>-3606</v>
      </c>
      <c r="BX18" s="300">
        <v>439490</v>
      </c>
      <c r="BY18" s="300">
        <v>0</v>
      </c>
      <c r="BZ18" s="300">
        <v>2598775</v>
      </c>
      <c r="CA18" s="300">
        <v>37598</v>
      </c>
      <c r="CB18" s="300">
        <v>-526642</v>
      </c>
      <c r="CC18" s="300">
        <v>-10915</v>
      </c>
      <c r="CD18" s="300">
        <v>55329</v>
      </c>
      <c r="CE18" s="300">
        <v>4151828</v>
      </c>
    </row>
    <row r="19" spans="1:83" x14ac:dyDescent="0.3">
      <c r="A19" s="271"/>
      <c r="B19" s="271">
        <v>31</v>
      </c>
      <c r="C19" s="271" t="s">
        <v>622</v>
      </c>
      <c r="D19" s="271" t="s">
        <v>315</v>
      </c>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row>
    <row r="20" spans="1:83" x14ac:dyDescent="0.3">
      <c r="A20" s="271"/>
      <c r="B20" s="271">
        <v>32</v>
      </c>
      <c r="C20" s="271" t="s">
        <v>316</v>
      </c>
      <c r="D20" s="271" t="s">
        <v>317</v>
      </c>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row>
    <row r="21" spans="1:83" x14ac:dyDescent="0.3">
      <c r="A21" s="271"/>
      <c r="B21" s="271">
        <v>33</v>
      </c>
      <c r="C21" s="271" t="s">
        <v>318</v>
      </c>
      <c r="D21" s="271" t="s">
        <v>319</v>
      </c>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row>
    <row r="22" spans="1:83" x14ac:dyDescent="0.3">
      <c r="A22" s="271"/>
      <c r="B22" s="271">
        <v>34</v>
      </c>
      <c r="C22" s="271" t="s">
        <v>320</v>
      </c>
      <c r="D22" s="271" t="s">
        <v>321</v>
      </c>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Q22" s="271"/>
      <c r="BR22" s="271"/>
      <c r="BS22" s="271"/>
    </row>
    <row r="23" spans="1:83" x14ac:dyDescent="0.3">
      <c r="A23" s="271"/>
      <c r="B23" s="271">
        <v>35</v>
      </c>
      <c r="C23" s="271" t="s">
        <v>623</v>
      </c>
      <c r="D23" s="271" t="s">
        <v>322</v>
      </c>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row>
    <row r="24" spans="1:83" x14ac:dyDescent="0.3">
      <c r="A24" s="271"/>
      <c r="B24" s="271">
        <v>36</v>
      </c>
      <c r="C24" s="271" t="s">
        <v>624</v>
      </c>
      <c r="D24" s="271" t="s">
        <v>323</v>
      </c>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row>
    <row r="25" spans="1:83" x14ac:dyDescent="0.3">
      <c r="A25" s="271"/>
      <c r="B25" s="271">
        <v>37</v>
      </c>
      <c r="C25" s="271" t="s">
        <v>324</v>
      </c>
      <c r="D25" s="271" t="s">
        <v>325</v>
      </c>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row>
    <row r="26" spans="1:83" x14ac:dyDescent="0.3">
      <c r="A26" s="271"/>
      <c r="B26" s="271">
        <v>38</v>
      </c>
      <c r="C26" s="271" t="s">
        <v>625</v>
      </c>
      <c r="D26" s="271" t="s">
        <v>326</v>
      </c>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271"/>
      <c r="AN26" s="271"/>
      <c r="AO26" s="271"/>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c r="BM26" s="271"/>
      <c r="BN26" s="271"/>
      <c r="BO26" s="271"/>
      <c r="BP26" s="271"/>
      <c r="BQ26" s="271"/>
      <c r="BR26" s="271"/>
      <c r="BS26" s="271"/>
    </row>
    <row r="27" spans="1:83" x14ac:dyDescent="0.3">
      <c r="A27" s="271"/>
      <c r="B27" s="271">
        <v>39</v>
      </c>
      <c r="C27" s="271" t="s">
        <v>327</v>
      </c>
      <c r="D27" s="271" t="s">
        <v>328</v>
      </c>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s="271"/>
      <c r="AG27" s="271"/>
      <c r="AH27" s="271"/>
      <c r="AI27" s="271"/>
      <c r="AJ27" s="271"/>
      <c r="AK27" s="271"/>
      <c r="AL27" s="271"/>
      <c r="AM27" s="271"/>
      <c r="AN27" s="271"/>
      <c r="AO27" s="271"/>
      <c r="AP27" s="271"/>
      <c r="AQ27" s="271"/>
      <c r="AR27" s="271"/>
      <c r="AS27" s="271"/>
      <c r="AT27" s="271"/>
      <c r="AU27" s="271"/>
      <c r="AV27" s="271"/>
      <c r="AW27" s="271"/>
      <c r="AX27" s="271"/>
      <c r="AY27" s="271"/>
      <c r="AZ27" s="271"/>
      <c r="BA27" s="271"/>
      <c r="BB27" s="271"/>
      <c r="BC27" s="271"/>
      <c r="BD27" s="271"/>
      <c r="BE27" s="271"/>
      <c r="BF27" s="271"/>
      <c r="BG27" s="271"/>
      <c r="BH27" s="271"/>
      <c r="BI27" s="271"/>
      <c r="BJ27" s="271"/>
      <c r="BK27" s="271"/>
      <c r="BL27" s="271"/>
      <c r="BM27" s="271"/>
      <c r="BN27" s="271"/>
      <c r="BO27" s="271"/>
      <c r="BP27" s="271"/>
      <c r="BQ27" s="271"/>
      <c r="BR27" s="271"/>
      <c r="BS27" s="271"/>
    </row>
    <row r="28" spans="1:83" x14ac:dyDescent="0.3">
      <c r="A28" s="271"/>
      <c r="B28" s="271">
        <v>40</v>
      </c>
      <c r="C28" s="271" t="s">
        <v>329</v>
      </c>
      <c r="D28" s="271" t="s">
        <v>330</v>
      </c>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1"/>
      <c r="AX28" s="271"/>
      <c r="AY28" s="271"/>
      <c r="AZ28" s="271"/>
      <c r="BA28" s="271"/>
      <c r="BB28" s="271"/>
      <c r="BC28" s="271"/>
      <c r="BD28" s="271"/>
      <c r="BE28" s="271"/>
      <c r="BF28" s="271"/>
      <c r="BG28" s="271"/>
      <c r="BH28" s="271"/>
      <c r="BI28" s="271"/>
      <c r="BJ28" s="271"/>
      <c r="BK28" s="271"/>
      <c r="BL28" s="271"/>
      <c r="BM28" s="271"/>
      <c r="BN28" s="271"/>
      <c r="BO28" s="271"/>
      <c r="BP28" s="271"/>
      <c r="BQ28" s="271"/>
      <c r="BR28" s="271"/>
      <c r="BS28" s="271"/>
    </row>
    <row r="29" spans="1:83" x14ac:dyDescent="0.3">
      <c r="A29" s="271"/>
      <c r="B29" s="271">
        <v>41</v>
      </c>
      <c r="C29" s="271" t="s">
        <v>331</v>
      </c>
      <c r="D29" s="271" t="s">
        <v>332</v>
      </c>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row>
    <row r="30" spans="1:83" x14ac:dyDescent="0.3">
      <c r="A30" s="271"/>
      <c r="B30" s="271">
        <v>43</v>
      </c>
      <c r="C30" s="271" t="s">
        <v>333</v>
      </c>
      <c r="D30" s="271" t="s">
        <v>334</v>
      </c>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row>
    <row r="31" spans="1:83" x14ac:dyDescent="0.3">
      <c r="A31" s="271">
        <v>44</v>
      </c>
      <c r="B31" s="271">
        <v>44</v>
      </c>
      <c r="C31" s="271" t="s">
        <v>626</v>
      </c>
      <c r="D31" s="271" t="s">
        <v>335</v>
      </c>
      <c r="E31" s="1113">
        <v>201742</v>
      </c>
      <c r="F31" s="1113">
        <v>386388</v>
      </c>
      <c r="G31" s="1113">
        <v>0</v>
      </c>
      <c r="H31" s="1113">
        <v>930722</v>
      </c>
      <c r="I31" s="271">
        <v>408219</v>
      </c>
      <c r="J31" s="1113">
        <v>128361</v>
      </c>
      <c r="K31" s="1113">
        <v>0</v>
      </c>
      <c r="L31" s="1113">
        <v>443160</v>
      </c>
      <c r="M31" s="1113">
        <v>3984191</v>
      </c>
      <c r="N31" s="271">
        <v>0</v>
      </c>
      <c r="O31" s="1113">
        <v>0</v>
      </c>
      <c r="P31" s="271">
        <v>0</v>
      </c>
      <c r="Q31" s="1113">
        <v>133110</v>
      </c>
      <c r="R31" s="1113">
        <v>5974041</v>
      </c>
      <c r="S31" s="271">
        <v>0</v>
      </c>
      <c r="T31" s="1113">
        <v>228431</v>
      </c>
      <c r="U31" s="1113">
        <v>1095486</v>
      </c>
      <c r="V31" s="1113">
        <v>837288</v>
      </c>
      <c r="W31" s="1113">
        <v>5674734</v>
      </c>
      <c r="X31" s="1113">
        <v>0</v>
      </c>
      <c r="Y31" s="1113">
        <v>423831</v>
      </c>
      <c r="Z31" s="271">
        <v>220403</v>
      </c>
      <c r="AA31" s="1113">
        <v>20166041</v>
      </c>
      <c r="AB31" s="1113">
        <v>15647</v>
      </c>
      <c r="AC31" s="1113">
        <v>513665</v>
      </c>
      <c r="AD31" s="1113">
        <v>0</v>
      </c>
      <c r="AE31" s="1113">
        <v>0</v>
      </c>
      <c r="AF31" s="271">
        <v>0</v>
      </c>
      <c r="AG31" s="271">
        <v>27848899</v>
      </c>
      <c r="AH31" s="1113">
        <v>704</v>
      </c>
      <c r="AI31" s="1113">
        <v>245601</v>
      </c>
      <c r="AJ31" s="1113">
        <v>2140007</v>
      </c>
      <c r="AK31" s="1113">
        <v>94641</v>
      </c>
      <c r="AL31" s="271">
        <v>92405</v>
      </c>
      <c r="AM31" s="271">
        <v>0</v>
      </c>
      <c r="AN31" s="1113">
        <v>328411</v>
      </c>
      <c r="AO31" s="1113">
        <v>11716758</v>
      </c>
      <c r="AP31" s="1113">
        <v>0</v>
      </c>
      <c r="AQ31" s="271">
        <v>2793535</v>
      </c>
      <c r="AR31" s="1113">
        <v>0</v>
      </c>
      <c r="AS31" s="1113">
        <v>0</v>
      </c>
      <c r="AT31" s="1113">
        <v>1964864</v>
      </c>
      <c r="AU31" s="1113">
        <v>398004</v>
      </c>
      <c r="AV31" s="271">
        <v>65756002</v>
      </c>
      <c r="AW31" s="1113">
        <v>21976275</v>
      </c>
      <c r="AX31" s="1113">
        <v>649725</v>
      </c>
      <c r="AY31" s="1113">
        <v>153611</v>
      </c>
      <c r="AZ31" s="1113">
        <v>216930</v>
      </c>
      <c r="BA31" s="271">
        <v>82524</v>
      </c>
      <c r="BB31" s="1113">
        <v>0</v>
      </c>
      <c r="BC31" s="1113">
        <v>3790125</v>
      </c>
      <c r="BD31" s="271">
        <v>530891</v>
      </c>
      <c r="BE31" s="1113">
        <v>0</v>
      </c>
      <c r="BF31" s="1113">
        <v>163731</v>
      </c>
      <c r="BG31" s="1113">
        <v>9872017</v>
      </c>
      <c r="BH31" s="1113">
        <v>0</v>
      </c>
      <c r="BI31" s="1113">
        <v>9666422</v>
      </c>
      <c r="BJ31" s="1113">
        <v>965677</v>
      </c>
      <c r="BK31" s="1113">
        <v>0</v>
      </c>
      <c r="BL31" s="271">
        <v>0</v>
      </c>
      <c r="BM31" s="1113">
        <v>28852497</v>
      </c>
      <c r="BN31" s="1113">
        <v>17896994</v>
      </c>
      <c r="BO31" s="1113">
        <v>747350</v>
      </c>
      <c r="BP31" s="1113">
        <v>39718042</v>
      </c>
      <c r="BQ31" s="1113">
        <v>63863266</v>
      </c>
      <c r="BR31" s="1113">
        <v>181502</v>
      </c>
      <c r="BS31" s="271">
        <v>2140590</v>
      </c>
      <c r="BT31" s="300">
        <v>0</v>
      </c>
      <c r="BU31" s="300">
        <v>19696984</v>
      </c>
      <c r="BV31" s="300">
        <v>290885</v>
      </c>
      <c r="BW31" s="300">
        <v>0</v>
      </c>
      <c r="BX31" s="300">
        <v>3464847</v>
      </c>
      <c r="BY31" s="300">
        <v>0</v>
      </c>
      <c r="BZ31" s="300">
        <v>38730228</v>
      </c>
      <c r="CA31" s="300">
        <v>478222</v>
      </c>
      <c r="CB31" s="300">
        <v>0</v>
      </c>
      <c r="CC31" s="300">
        <v>152840</v>
      </c>
      <c r="CD31" s="300">
        <v>0</v>
      </c>
      <c r="CE31" s="300">
        <v>0</v>
      </c>
    </row>
    <row r="32" spans="1:83" x14ac:dyDescent="0.3">
      <c r="A32" s="271">
        <v>45</v>
      </c>
      <c r="B32" s="271">
        <v>45</v>
      </c>
      <c r="C32" s="271" t="s">
        <v>627</v>
      </c>
      <c r="D32" s="271" t="s">
        <v>336</v>
      </c>
      <c r="E32" s="1113">
        <v>49185</v>
      </c>
      <c r="F32" s="1113">
        <v>175546</v>
      </c>
      <c r="G32" s="1113">
        <v>0</v>
      </c>
      <c r="H32" s="1113">
        <v>37502</v>
      </c>
      <c r="I32" s="271">
        <v>50889</v>
      </c>
      <c r="J32" s="1113">
        <v>22577</v>
      </c>
      <c r="K32" s="1113">
        <v>0</v>
      </c>
      <c r="L32" s="1113">
        <v>235900</v>
      </c>
      <c r="M32" s="1113">
        <v>1098660</v>
      </c>
      <c r="N32" s="271">
        <v>0</v>
      </c>
      <c r="O32" s="1113">
        <v>0</v>
      </c>
      <c r="P32" s="271">
        <v>0</v>
      </c>
      <c r="Q32" s="1113">
        <v>120536</v>
      </c>
      <c r="R32" s="1113">
        <v>437728</v>
      </c>
      <c r="S32" s="271">
        <v>0</v>
      </c>
      <c r="T32" s="1113">
        <v>33527</v>
      </c>
      <c r="U32" s="1113">
        <v>106811</v>
      </c>
      <c r="V32" s="1113">
        <v>25154</v>
      </c>
      <c r="W32" s="1113">
        <v>950597</v>
      </c>
      <c r="X32" s="1113">
        <v>0</v>
      </c>
      <c r="Y32" s="1113">
        <v>46719</v>
      </c>
      <c r="Z32" s="271">
        <v>386068</v>
      </c>
      <c r="AA32" s="1113">
        <v>3670882</v>
      </c>
      <c r="AB32" s="1113">
        <v>0</v>
      </c>
      <c r="AC32" s="1113">
        <v>17938</v>
      </c>
      <c r="AD32" s="1113">
        <v>0</v>
      </c>
      <c r="AE32" s="1113">
        <v>0</v>
      </c>
      <c r="AF32" s="271">
        <v>0</v>
      </c>
      <c r="AG32" s="271">
        <v>6762827</v>
      </c>
      <c r="AH32" s="1113">
        <v>0</v>
      </c>
      <c r="AI32" s="1113">
        <v>29921</v>
      </c>
      <c r="AJ32" s="1113">
        <v>87887</v>
      </c>
      <c r="AK32" s="1113">
        <v>471</v>
      </c>
      <c r="AL32" s="271">
        <v>87779</v>
      </c>
      <c r="AM32" s="271">
        <v>0</v>
      </c>
      <c r="AN32" s="1113">
        <v>113812</v>
      </c>
      <c r="AO32" s="271">
        <v>677784</v>
      </c>
      <c r="AP32" s="1113">
        <v>0</v>
      </c>
      <c r="AQ32" s="271">
        <v>232750</v>
      </c>
      <c r="AR32" s="1113">
        <v>0</v>
      </c>
      <c r="AS32" s="1113">
        <v>0</v>
      </c>
      <c r="AT32" s="1113">
        <v>498976</v>
      </c>
      <c r="AU32" s="1113">
        <v>230235</v>
      </c>
      <c r="AV32" s="271">
        <v>25927061</v>
      </c>
      <c r="AW32" s="1113">
        <v>8198465</v>
      </c>
      <c r="AX32" s="1113">
        <v>136761</v>
      </c>
      <c r="AY32" s="1113">
        <v>36910</v>
      </c>
      <c r="AZ32" s="271">
        <v>17214</v>
      </c>
      <c r="BA32" s="271">
        <v>14448</v>
      </c>
      <c r="BB32" s="271">
        <v>0</v>
      </c>
      <c r="BC32" s="1113">
        <v>260671</v>
      </c>
      <c r="BD32" s="271">
        <v>13822</v>
      </c>
      <c r="BE32" s="1113">
        <v>0</v>
      </c>
      <c r="BF32" s="1113">
        <v>40596</v>
      </c>
      <c r="BG32" s="1113">
        <v>1905492</v>
      </c>
      <c r="BH32" s="1113">
        <v>0</v>
      </c>
      <c r="BI32" s="1113">
        <v>609387</v>
      </c>
      <c r="BJ32" s="1113">
        <v>79106</v>
      </c>
      <c r="BK32" s="1113">
        <v>0</v>
      </c>
      <c r="BL32" s="271">
        <v>0</v>
      </c>
      <c r="BM32" s="271">
        <v>2703066</v>
      </c>
      <c r="BN32" s="1113">
        <v>4768853</v>
      </c>
      <c r="BO32" s="1113">
        <v>441909</v>
      </c>
      <c r="BP32" s="1113">
        <v>4359503</v>
      </c>
      <c r="BQ32" s="1113">
        <v>13484493</v>
      </c>
      <c r="BR32" s="1113">
        <v>17686</v>
      </c>
      <c r="BS32" s="271">
        <v>411980</v>
      </c>
      <c r="BT32" s="300">
        <v>0</v>
      </c>
      <c r="BU32" s="300">
        <v>1977971</v>
      </c>
      <c r="BV32" s="300">
        <v>17125</v>
      </c>
      <c r="BW32" s="300">
        <v>0</v>
      </c>
      <c r="BX32" s="300">
        <v>846140</v>
      </c>
      <c r="BY32" s="300">
        <v>0</v>
      </c>
      <c r="BZ32" s="300">
        <v>5933342</v>
      </c>
      <c r="CA32" s="300">
        <v>27217</v>
      </c>
      <c r="CB32" s="300">
        <v>0</v>
      </c>
      <c r="CC32" s="300">
        <v>52883</v>
      </c>
      <c r="CD32" s="300">
        <v>0</v>
      </c>
      <c r="CE32" s="300">
        <v>0</v>
      </c>
    </row>
    <row r="33" spans="1:83" x14ac:dyDescent="0.3">
      <c r="A33" s="271"/>
      <c r="B33" s="271">
        <v>46</v>
      </c>
      <c r="C33" s="271" t="s">
        <v>628</v>
      </c>
      <c r="D33" s="271" t="s">
        <v>337</v>
      </c>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c r="AF33" s="271"/>
      <c r="AG33" s="271"/>
      <c r="AH33" s="271"/>
      <c r="AI33" s="271"/>
      <c r="AJ33" s="271"/>
      <c r="AK33" s="271"/>
      <c r="AL33" s="271"/>
      <c r="AM33" s="271"/>
      <c r="AN33" s="271"/>
      <c r="AO33" s="271"/>
      <c r="AP33" s="271"/>
      <c r="AQ33" s="271"/>
      <c r="AR33" s="271"/>
      <c r="AS33" s="271"/>
      <c r="AT33" s="271"/>
      <c r="AU33" s="271"/>
      <c r="AV33" s="271"/>
      <c r="AW33" s="271"/>
      <c r="AX33" s="271"/>
      <c r="AY33" s="271"/>
      <c r="AZ33" s="271"/>
      <c r="BA33" s="271"/>
      <c r="BB33" s="271"/>
      <c r="BC33" s="271"/>
      <c r="BD33" s="271"/>
      <c r="BE33" s="271"/>
      <c r="BF33" s="271"/>
      <c r="BG33" s="271"/>
      <c r="BH33" s="271"/>
      <c r="BI33" s="271"/>
      <c r="BJ33" s="271"/>
      <c r="BK33" s="271"/>
      <c r="BL33" s="271"/>
      <c r="BM33" s="271"/>
      <c r="BN33" s="271"/>
      <c r="BO33" s="271"/>
      <c r="BP33" s="271"/>
      <c r="BQ33" s="271"/>
      <c r="BR33" s="271"/>
      <c r="BS33" s="271"/>
    </row>
    <row r="34" spans="1:83" x14ac:dyDescent="0.3">
      <c r="A34" s="271">
        <v>47</v>
      </c>
      <c r="B34" s="271">
        <v>47</v>
      </c>
      <c r="C34" s="271" t="s">
        <v>629</v>
      </c>
      <c r="D34" s="271" t="s">
        <v>338</v>
      </c>
      <c r="E34" s="271">
        <v>0</v>
      </c>
      <c r="F34" s="271">
        <v>0</v>
      </c>
      <c r="G34" s="271">
        <v>0</v>
      </c>
      <c r="H34" s="1113">
        <v>0</v>
      </c>
      <c r="I34" s="271">
        <v>0</v>
      </c>
      <c r="J34" s="271">
        <v>0</v>
      </c>
      <c r="K34" s="271">
        <v>0</v>
      </c>
      <c r="L34" s="271">
        <v>0</v>
      </c>
      <c r="M34" s="1113">
        <v>2244457</v>
      </c>
      <c r="N34" s="271">
        <v>0</v>
      </c>
      <c r="O34" s="271">
        <v>0</v>
      </c>
      <c r="P34" s="271">
        <v>0</v>
      </c>
      <c r="Q34" s="271">
        <v>0</v>
      </c>
      <c r="R34" s="271">
        <v>7246413</v>
      </c>
      <c r="S34" s="271">
        <v>0</v>
      </c>
      <c r="T34" s="271">
        <v>1027481</v>
      </c>
      <c r="U34" s="271">
        <v>0</v>
      </c>
      <c r="V34" s="271">
        <v>0</v>
      </c>
      <c r="W34" s="271">
        <v>0</v>
      </c>
      <c r="X34" s="271">
        <v>0</v>
      </c>
      <c r="Y34" s="1113">
        <v>0</v>
      </c>
      <c r="Z34" s="271">
        <v>574392</v>
      </c>
      <c r="AA34" s="271">
        <v>0</v>
      </c>
      <c r="AB34" s="271">
        <v>0</v>
      </c>
      <c r="AC34" s="271">
        <v>0</v>
      </c>
      <c r="AD34" s="271">
        <v>0</v>
      </c>
      <c r="AE34" s="271">
        <v>0</v>
      </c>
      <c r="AF34" s="271">
        <v>0</v>
      </c>
      <c r="AG34" s="271">
        <v>31882389</v>
      </c>
      <c r="AH34" s="271">
        <v>0</v>
      </c>
      <c r="AI34" s="271">
        <v>0</v>
      </c>
      <c r="AJ34" s="1113">
        <v>0</v>
      </c>
      <c r="AK34" s="271">
        <v>0</v>
      </c>
      <c r="AL34" s="271">
        <v>0</v>
      </c>
      <c r="AM34" s="271">
        <v>0</v>
      </c>
      <c r="AN34" s="1113">
        <v>0</v>
      </c>
      <c r="AO34" s="271">
        <v>0</v>
      </c>
      <c r="AP34" s="271">
        <v>0</v>
      </c>
      <c r="AQ34" s="271">
        <v>4864098</v>
      </c>
      <c r="AR34" s="271">
        <v>0</v>
      </c>
      <c r="AS34" s="271">
        <v>0</v>
      </c>
      <c r="AT34" s="271">
        <v>0</v>
      </c>
      <c r="AU34" s="271">
        <v>0</v>
      </c>
      <c r="AV34" s="271">
        <v>0</v>
      </c>
      <c r="AW34" s="271">
        <v>75414737</v>
      </c>
      <c r="AX34" s="271">
        <v>0</v>
      </c>
      <c r="AY34" s="271">
        <v>0</v>
      </c>
      <c r="AZ34" s="271">
        <v>0</v>
      </c>
      <c r="BA34" s="271">
        <v>0</v>
      </c>
      <c r="BB34" s="271">
        <v>0</v>
      </c>
      <c r="BC34" s="271">
        <v>0</v>
      </c>
      <c r="BD34" s="271">
        <v>0</v>
      </c>
      <c r="BE34" s="271">
        <v>0</v>
      </c>
      <c r="BF34" s="271">
        <v>0</v>
      </c>
      <c r="BG34" s="271">
        <v>0</v>
      </c>
      <c r="BH34" s="1113">
        <v>0</v>
      </c>
      <c r="BI34" s="271">
        <v>0</v>
      </c>
      <c r="BJ34" s="271">
        <v>0</v>
      </c>
      <c r="BK34" s="271">
        <v>0</v>
      </c>
      <c r="BL34" s="271">
        <v>0</v>
      </c>
      <c r="BM34" s="271">
        <v>0</v>
      </c>
      <c r="BN34" s="271">
        <v>0</v>
      </c>
      <c r="BO34" s="271">
        <v>1327782</v>
      </c>
      <c r="BP34" s="271">
        <v>0</v>
      </c>
      <c r="BQ34" s="271">
        <v>90209428</v>
      </c>
      <c r="BR34" s="271">
        <v>0</v>
      </c>
      <c r="BS34" s="271">
        <v>6496743</v>
      </c>
      <c r="BT34" s="300">
        <v>0</v>
      </c>
      <c r="BU34" s="300">
        <v>0</v>
      </c>
      <c r="BV34" s="300">
        <v>403007</v>
      </c>
      <c r="BW34" s="300">
        <v>0</v>
      </c>
      <c r="BX34" s="300">
        <v>0</v>
      </c>
      <c r="BY34" s="300">
        <v>0</v>
      </c>
      <c r="BZ34" s="300">
        <v>0</v>
      </c>
      <c r="CA34" s="300">
        <v>773934</v>
      </c>
      <c r="CB34" s="300">
        <v>0</v>
      </c>
      <c r="CC34" s="300">
        <v>0</v>
      </c>
      <c r="CD34" s="300">
        <v>0</v>
      </c>
      <c r="CE34" s="300">
        <v>4846519</v>
      </c>
    </row>
    <row r="35" spans="1:83" x14ac:dyDescent="0.3">
      <c r="A35" s="271">
        <v>48</v>
      </c>
      <c r="B35" s="271">
        <v>48</v>
      </c>
      <c r="C35" s="271" t="s">
        <v>123</v>
      </c>
      <c r="D35" s="271" t="s">
        <v>339</v>
      </c>
      <c r="E35" s="271">
        <v>0</v>
      </c>
      <c r="F35" s="271">
        <v>0</v>
      </c>
      <c r="G35" s="271">
        <v>0</v>
      </c>
      <c r="H35" s="1113">
        <v>0</v>
      </c>
      <c r="I35" s="271">
        <v>0</v>
      </c>
      <c r="J35" s="271">
        <v>0</v>
      </c>
      <c r="K35" s="271">
        <v>0</v>
      </c>
      <c r="L35" s="271">
        <v>0</v>
      </c>
      <c r="M35" s="1113">
        <v>762088</v>
      </c>
      <c r="N35" s="271">
        <v>0</v>
      </c>
      <c r="O35" s="271">
        <v>0</v>
      </c>
      <c r="P35" s="271">
        <v>0</v>
      </c>
      <c r="Q35" s="271">
        <v>0</v>
      </c>
      <c r="R35" s="271">
        <v>161900</v>
      </c>
      <c r="S35" s="271">
        <v>0</v>
      </c>
      <c r="T35" s="271">
        <v>94537</v>
      </c>
      <c r="U35" s="271">
        <v>0</v>
      </c>
      <c r="V35" s="271">
        <v>0</v>
      </c>
      <c r="W35" s="271">
        <v>0</v>
      </c>
      <c r="X35" s="271">
        <v>0</v>
      </c>
      <c r="Y35" s="1113">
        <v>0</v>
      </c>
      <c r="Z35" s="271">
        <v>18275</v>
      </c>
      <c r="AA35" s="271">
        <v>0</v>
      </c>
      <c r="AB35" s="271">
        <v>0</v>
      </c>
      <c r="AC35" s="271">
        <v>0</v>
      </c>
      <c r="AD35" s="271">
        <v>0</v>
      </c>
      <c r="AE35" s="271">
        <v>0</v>
      </c>
      <c r="AF35" s="271">
        <v>0</v>
      </c>
      <c r="AG35" s="271">
        <v>6218113</v>
      </c>
      <c r="AH35" s="271">
        <v>0</v>
      </c>
      <c r="AI35" s="271">
        <v>0</v>
      </c>
      <c r="AJ35" s="1113">
        <v>0</v>
      </c>
      <c r="AK35" s="271">
        <v>0</v>
      </c>
      <c r="AL35" s="271">
        <v>0</v>
      </c>
      <c r="AM35" s="271">
        <v>0</v>
      </c>
      <c r="AN35" s="1113">
        <v>0</v>
      </c>
      <c r="AO35" s="271">
        <v>0</v>
      </c>
      <c r="AP35" s="271">
        <v>0</v>
      </c>
      <c r="AQ35" s="271">
        <v>617666</v>
      </c>
      <c r="AR35" s="271">
        <v>0</v>
      </c>
      <c r="AS35" s="271">
        <v>0</v>
      </c>
      <c r="AT35" s="271">
        <v>0</v>
      </c>
      <c r="AU35" s="271">
        <v>0</v>
      </c>
      <c r="AV35" s="271">
        <v>0</v>
      </c>
      <c r="AW35" s="271">
        <v>17819410</v>
      </c>
      <c r="AX35" s="271">
        <v>0</v>
      </c>
      <c r="AY35" s="271">
        <v>0</v>
      </c>
      <c r="AZ35" s="271">
        <v>0</v>
      </c>
      <c r="BA35" s="271">
        <v>0</v>
      </c>
      <c r="BB35" s="271">
        <v>0</v>
      </c>
      <c r="BC35" s="271">
        <v>0</v>
      </c>
      <c r="BD35" s="271">
        <v>0</v>
      </c>
      <c r="BE35" s="271">
        <v>0</v>
      </c>
      <c r="BF35" s="271">
        <v>0</v>
      </c>
      <c r="BG35" s="271">
        <v>0</v>
      </c>
      <c r="BH35" s="1113">
        <v>0</v>
      </c>
      <c r="BI35" s="271">
        <v>0</v>
      </c>
      <c r="BJ35" s="271">
        <v>0</v>
      </c>
      <c r="BK35" s="271">
        <v>0</v>
      </c>
      <c r="BL35" s="271">
        <v>0</v>
      </c>
      <c r="BM35" s="271">
        <v>0</v>
      </c>
      <c r="BN35" s="271">
        <v>0</v>
      </c>
      <c r="BO35" s="271">
        <v>194609</v>
      </c>
      <c r="BP35" s="271">
        <v>0</v>
      </c>
      <c r="BQ35" s="271">
        <v>11121410</v>
      </c>
      <c r="BR35" s="271">
        <v>0</v>
      </c>
      <c r="BS35" s="271">
        <v>489393</v>
      </c>
      <c r="BT35" s="300">
        <v>0</v>
      </c>
      <c r="BU35" s="300">
        <v>0</v>
      </c>
      <c r="BV35" s="300">
        <v>36677</v>
      </c>
      <c r="BW35" s="300">
        <v>0</v>
      </c>
      <c r="BX35" s="300">
        <v>0</v>
      </c>
      <c r="BY35" s="300">
        <v>0</v>
      </c>
      <c r="BZ35" s="300">
        <v>0</v>
      </c>
      <c r="CA35" s="300">
        <v>49949</v>
      </c>
      <c r="CB35" s="300">
        <v>0</v>
      </c>
      <c r="CC35" s="300">
        <v>0</v>
      </c>
      <c r="CD35" s="300">
        <v>0</v>
      </c>
      <c r="CE35" s="300">
        <v>1943856</v>
      </c>
    </row>
    <row r="36" spans="1:83" x14ac:dyDescent="0.3">
      <c r="A36" s="271">
        <v>49</v>
      </c>
      <c r="B36" s="271">
        <v>49</v>
      </c>
      <c r="C36" s="271" t="s">
        <v>228</v>
      </c>
      <c r="D36" s="271" t="s">
        <v>340</v>
      </c>
      <c r="E36" s="1113">
        <v>153528</v>
      </c>
      <c r="F36" s="1113">
        <v>275751</v>
      </c>
      <c r="G36" s="1113">
        <v>0</v>
      </c>
      <c r="H36" s="1113">
        <v>378048</v>
      </c>
      <c r="I36" s="271">
        <v>200520</v>
      </c>
      <c r="J36" s="1113">
        <v>24050</v>
      </c>
      <c r="K36" s="1113">
        <v>0</v>
      </c>
      <c r="L36" s="1113">
        <v>79104</v>
      </c>
      <c r="M36" s="1113">
        <v>1192470</v>
      </c>
      <c r="N36" s="271">
        <v>0</v>
      </c>
      <c r="O36" s="1113">
        <v>0</v>
      </c>
      <c r="P36" s="271">
        <v>0</v>
      </c>
      <c r="Q36" s="1113">
        <v>94996</v>
      </c>
      <c r="R36" s="1113">
        <v>1307864</v>
      </c>
      <c r="S36" s="271">
        <v>0</v>
      </c>
      <c r="T36" s="1113">
        <v>76251</v>
      </c>
      <c r="U36" s="1113">
        <v>113956</v>
      </c>
      <c r="V36" s="1113">
        <v>58454</v>
      </c>
      <c r="W36" s="1113">
        <v>682873</v>
      </c>
      <c r="X36" s="1113">
        <v>0</v>
      </c>
      <c r="Y36" s="1113">
        <v>223549</v>
      </c>
      <c r="Z36" s="271">
        <v>276927</v>
      </c>
      <c r="AA36" s="1113">
        <v>3205101</v>
      </c>
      <c r="AB36" s="1113">
        <v>69505</v>
      </c>
      <c r="AC36" s="1113">
        <v>54113</v>
      </c>
      <c r="AD36" s="1113">
        <v>0</v>
      </c>
      <c r="AE36" s="1113">
        <v>0</v>
      </c>
      <c r="AF36" s="271">
        <v>0</v>
      </c>
      <c r="AG36" s="271">
        <v>4856577</v>
      </c>
      <c r="AH36" s="1113">
        <v>0</v>
      </c>
      <c r="AI36" s="1113">
        <v>46229</v>
      </c>
      <c r="AJ36" s="1113">
        <v>77047</v>
      </c>
      <c r="AK36" s="1113">
        <v>71782</v>
      </c>
      <c r="AL36" s="271">
        <v>5375</v>
      </c>
      <c r="AM36" s="271">
        <v>0</v>
      </c>
      <c r="AN36" s="1113">
        <v>180580</v>
      </c>
      <c r="AO36" s="1113">
        <v>982102</v>
      </c>
      <c r="AP36" s="1113">
        <v>0</v>
      </c>
      <c r="AQ36" s="271">
        <v>681182</v>
      </c>
      <c r="AR36" s="1113">
        <v>0</v>
      </c>
      <c r="AS36" s="1113">
        <v>0</v>
      </c>
      <c r="AT36" s="1113">
        <v>92357</v>
      </c>
      <c r="AU36" s="1113">
        <v>111778</v>
      </c>
      <c r="AV36" s="271">
        <v>29080866</v>
      </c>
      <c r="AW36" s="1113">
        <v>10103900</v>
      </c>
      <c r="AX36" s="1113">
        <v>151992</v>
      </c>
      <c r="AY36" s="1113">
        <v>161040</v>
      </c>
      <c r="AZ36" s="1113">
        <v>76471</v>
      </c>
      <c r="BA36" s="271">
        <v>95643</v>
      </c>
      <c r="BB36" s="271">
        <v>0</v>
      </c>
      <c r="BC36" s="1113">
        <v>653995</v>
      </c>
      <c r="BD36" s="271">
        <v>141442</v>
      </c>
      <c r="BE36" s="1113">
        <v>0</v>
      </c>
      <c r="BF36" s="1113">
        <v>40141</v>
      </c>
      <c r="BG36" s="1113">
        <v>1481117</v>
      </c>
      <c r="BH36" s="1113">
        <v>0</v>
      </c>
      <c r="BI36" s="1113">
        <v>1254754</v>
      </c>
      <c r="BJ36" s="1113">
        <v>192793</v>
      </c>
      <c r="BK36" s="1113">
        <v>0</v>
      </c>
      <c r="BL36" s="271">
        <v>0</v>
      </c>
      <c r="BM36" s="1113">
        <v>2221654</v>
      </c>
      <c r="BN36" s="1113">
        <v>3154772</v>
      </c>
      <c r="BO36" s="1113">
        <v>729060</v>
      </c>
      <c r="BP36" s="1113">
        <v>5034230</v>
      </c>
      <c r="BQ36" s="1113">
        <v>12617583</v>
      </c>
      <c r="BR36" s="1113">
        <v>91647</v>
      </c>
      <c r="BS36" s="271">
        <v>841062</v>
      </c>
      <c r="BT36" s="300">
        <v>0</v>
      </c>
      <c r="BU36" s="300">
        <v>1645208</v>
      </c>
      <c r="BV36" s="300">
        <v>137062</v>
      </c>
      <c r="BW36" s="300">
        <v>0</v>
      </c>
      <c r="BX36" s="300">
        <v>508004</v>
      </c>
      <c r="BY36" s="300">
        <v>0</v>
      </c>
      <c r="BZ36" s="300">
        <v>3948520</v>
      </c>
      <c r="CA36" s="300">
        <v>83915</v>
      </c>
      <c r="CB36" s="300">
        <v>0</v>
      </c>
      <c r="CC36" s="300">
        <v>72485</v>
      </c>
      <c r="CD36" s="300">
        <v>0</v>
      </c>
      <c r="CE36" s="300">
        <v>0</v>
      </c>
    </row>
    <row r="37" spans="1:83" x14ac:dyDescent="0.3">
      <c r="A37" s="271">
        <v>50</v>
      </c>
      <c r="B37" s="271">
        <v>50</v>
      </c>
      <c r="C37" s="271" t="s">
        <v>100</v>
      </c>
      <c r="D37" s="271" t="s">
        <v>341</v>
      </c>
      <c r="E37" s="1113">
        <v>345191</v>
      </c>
      <c r="F37" s="1113">
        <v>309082</v>
      </c>
      <c r="G37" s="1113">
        <v>0</v>
      </c>
      <c r="H37" s="1113">
        <v>47664</v>
      </c>
      <c r="I37" s="271">
        <v>-161143</v>
      </c>
      <c r="J37" s="1113">
        <v>-6653</v>
      </c>
      <c r="K37" s="1113">
        <v>0</v>
      </c>
      <c r="L37" s="1113">
        <v>247836</v>
      </c>
      <c r="M37" s="1113">
        <v>360719</v>
      </c>
      <c r="N37" s="271">
        <v>0</v>
      </c>
      <c r="O37" s="1113">
        <v>0</v>
      </c>
      <c r="P37" s="271">
        <v>0</v>
      </c>
      <c r="Q37" s="1113">
        <v>544122</v>
      </c>
      <c r="R37" s="1113">
        <v>338451</v>
      </c>
      <c r="S37" s="271">
        <v>0</v>
      </c>
      <c r="T37" s="1113">
        <v>674391</v>
      </c>
      <c r="U37" s="1113">
        <v>-37000</v>
      </c>
      <c r="V37" s="1113">
        <v>31224</v>
      </c>
      <c r="W37" s="1113">
        <v>838860</v>
      </c>
      <c r="X37" s="1113">
        <v>0</v>
      </c>
      <c r="Y37" s="1113">
        <v>-224959</v>
      </c>
      <c r="Z37" s="271">
        <v>88074</v>
      </c>
      <c r="AA37" s="1113">
        <v>8469810</v>
      </c>
      <c r="AB37" s="1113">
        <v>-78964</v>
      </c>
      <c r="AC37" s="1113">
        <v>96389</v>
      </c>
      <c r="AD37" s="1113">
        <v>0</v>
      </c>
      <c r="AE37" s="1113">
        <v>0</v>
      </c>
      <c r="AF37" s="271">
        <v>0</v>
      </c>
      <c r="AG37" s="271">
        <v>8234299</v>
      </c>
      <c r="AH37" s="1113">
        <v>-263</v>
      </c>
      <c r="AI37" s="1113">
        <v>-67442</v>
      </c>
      <c r="AJ37" s="1113">
        <v>166720</v>
      </c>
      <c r="AK37" s="1113">
        <v>-74102</v>
      </c>
      <c r="AL37" s="271">
        <v>-4551</v>
      </c>
      <c r="AM37" s="271">
        <v>0</v>
      </c>
      <c r="AN37" s="1113">
        <v>297189</v>
      </c>
      <c r="AO37" s="1113">
        <v>995677</v>
      </c>
      <c r="AP37" s="1113">
        <v>0</v>
      </c>
      <c r="AQ37" s="271">
        <v>-325700</v>
      </c>
      <c r="AR37" s="1113">
        <v>0</v>
      </c>
      <c r="AS37" s="1113">
        <v>0</v>
      </c>
      <c r="AT37" s="1113">
        <v>11542</v>
      </c>
      <c r="AU37" s="1113">
        <v>144777</v>
      </c>
      <c r="AV37" s="271">
        <v>19188289</v>
      </c>
      <c r="AW37" s="1113">
        <v>9036450</v>
      </c>
      <c r="AX37" s="1113">
        <v>-3840</v>
      </c>
      <c r="AY37" s="1113">
        <v>-163680</v>
      </c>
      <c r="AZ37" s="1113">
        <v>-13323</v>
      </c>
      <c r="BA37" s="271">
        <v>-117413</v>
      </c>
      <c r="BB37" s="271">
        <v>0</v>
      </c>
      <c r="BC37" s="1113">
        <v>62390</v>
      </c>
      <c r="BD37" s="271">
        <v>-123664</v>
      </c>
      <c r="BE37" s="1113">
        <v>0</v>
      </c>
      <c r="BF37" s="1113">
        <v>3757</v>
      </c>
      <c r="BG37" s="1113">
        <v>2516659</v>
      </c>
      <c r="BH37" s="1113">
        <v>0</v>
      </c>
      <c r="BI37" s="1113">
        <v>-28811</v>
      </c>
      <c r="BJ37" s="1113">
        <v>-416751</v>
      </c>
      <c r="BK37" s="1113">
        <v>0</v>
      </c>
      <c r="BL37" s="271">
        <v>0</v>
      </c>
      <c r="BM37" s="1113">
        <v>4620339</v>
      </c>
      <c r="BN37" s="1113">
        <v>1438958</v>
      </c>
      <c r="BO37" s="1113">
        <v>-391768</v>
      </c>
      <c r="BP37" s="1113">
        <v>6552216</v>
      </c>
      <c r="BQ37" s="1113">
        <v>5272433</v>
      </c>
      <c r="BR37" s="1113">
        <v>27471</v>
      </c>
      <c r="BS37" s="271">
        <v>1256773</v>
      </c>
      <c r="BT37" s="300">
        <v>0</v>
      </c>
      <c r="BU37" s="300">
        <v>3034754</v>
      </c>
      <c r="BV37" s="300">
        <v>-117846</v>
      </c>
      <c r="BW37" s="300">
        <v>0</v>
      </c>
      <c r="BX37" s="300">
        <v>83833</v>
      </c>
      <c r="BY37" s="300">
        <v>0</v>
      </c>
      <c r="BZ37" s="300">
        <v>4538730</v>
      </c>
      <c r="CA37" s="300">
        <v>-86146</v>
      </c>
      <c r="CB37" s="300">
        <v>0</v>
      </c>
      <c r="CC37" s="300">
        <v>115582</v>
      </c>
      <c r="CD37" s="300">
        <v>0</v>
      </c>
      <c r="CE37" s="300">
        <v>0</v>
      </c>
    </row>
    <row r="38" spans="1:83" x14ac:dyDescent="0.3">
      <c r="A38" s="271">
        <v>51</v>
      </c>
      <c r="B38" s="271">
        <v>51</v>
      </c>
      <c r="C38" s="271" t="s">
        <v>246</v>
      </c>
      <c r="D38" s="271" t="s">
        <v>342</v>
      </c>
      <c r="E38" s="1113">
        <v>386166</v>
      </c>
      <c r="F38" s="1113">
        <v>-123478</v>
      </c>
      <c r="G38" s="1113">
        <v>0</v>
      </c>
      <c r="H38" s="1113">
        <v>79477</v>
      </c>
      <c r="I38" s="271">
        <v>105779</v>
      </c>
      <c r="J38" s="1113">
        <v>14157</v>
      </c>
      <c r="K38" s="1113">
        <v>0</v>
      </c>
      <c r="L38" s="1113">
        <v>-30795</v>
      </c>
      <c r="M38" s="1113">
        <v>812333</v>
      </c>
      <c r="N38" s="271">
        <v>0</v>
      </c>
      <c r="O38" s="1113">
        <v>0</v>
      </c>
      <c r="P38" s="271">
        <v>0</v>
      </c>
      <c r="Q38" s="1113">
        <v>-12653</v>
      </c>
      <c r="R38" s="1113">
        <v>1476808</v>
      </c>
      <c r="S38" s="271">
        <v>0</v>
      </c>
      <c r="T38" s="1113">
        <v>10245</v>
      </c>
      <c r="U38" s="1113">
        <v>164845</v>
      </c>
      <c r="V38" s="1113">
        <v>161519</v>
      </c>
      <c r="W38" s="1113">
        <v>1332375</v>
      </c>
      <c r="X38" s="1113">
        <v>0</v>
      </c>
      <c r="Y38" s="1113">
        <v>-91526</v>
      </c>
      <c r="Z38" s="271">
        <v>-18172</v>
      </c>
      <c r="AA38" s="1113">
        <v>4688252</v>
      </c>
      <c r="AB38" s="1113">
        <v>-10098</v>
      </c>
      <c r="AC38" s="1113">
        <v>69658</v>
      </c>
      <c r="AD38" s="1113">
        <v>0</v>
      </c>
      <c r="AE38" s="1113">
        <v>0</v>
      </c>
      <c r="AF38" s="271">
        <v>0</v>
      </c>
      <c r="AG38" s="271">
        <v>5676851</v>
      </c>
      <c r="AH38" s="1113">
        <v>-263</v>
      </c>
      <c r="AI38" s="1113">
        <v>-31337</v>
      </c>
      <c r="AJ38" s="1113">
        <v>73763</v>
      </c>
      <c r="AK38" s="1113">
        <v>-6375</v>
      </c>
      <c r="AL38" s="271">
        <v>11146</v>
      </c>
      <c r="AM38" s="271">
        <v>0</v>
      </c>
      <c r="AN38" s="1113">
        <v>30779</v>
      </c>
      <c r="AO38" s="1113">
        <v>2000728</v>
      </c>
      <c r="AP38" s="1113">
        <v>0</v>
      </c>
      <c r="AQ38" s="271">
        <v>167263</v>
      </c>
      <c r="AR38" s="1113">
        <v>0</v>
      </c>
      <c r="AS38" s="1113">
        <v>0</v>
      </c>
      <c r="AT38" s="1113">
        <v>320518</v>
      </c>
      <c r="AU38" s="1113">
        <v>-38584</v>
      </c>
      <c r="AV38" s="271">
        <v>53613606</v>
      </c>
      <c r="AW38" s="1113">
        <v>17159860</v>
      </c>
      <c r="AX38" s="1113">
        <v>32630</v>
      </c>
      <c r="AY38" s="1113">
        <v>37005</v>
      </c>
      <c r="AZ38" s="1113">
        <v>-25553</v>
      </c>
      <c r="BA38" s="271">
        <v>-21850</v>
      </c>
      <c r="BB38" s="271">
        <v>0</v>
      </c>
      <c r="BC38" s="1113">
        <v>667314</v>
      </c>
      <c r="BD38" s="271">
        <v>32443</v>
      </c>
      <c r="BE38" s="1113">
        <v>0</v>
      </c>
      <c r="BF38" s="1113">
        <v>56150</v>
      </c>
      <c r="BG38" s="1113">
        <v>2683318</v>
      </c>
      <c r="BH38" s="1113">
        <v>0</v>
      </c>
      <c r="BI38" s="1113">
        <v>1428267</v>
      </c>
      <c r="BJ38" s="1113">
        <v>-176457</v>
      </c>
      <c r="BK38" s="1113">
        <v>0</v>
      </c>
      <c r="BL38" s="271">
        <v>0</v>
      </c>
      <c r="BM38" s="1113">
        <v>6436683</v>
      </c>
      <c r="BN38" s="1113">
        <v>2732903</v>
      </c>
      <c r="BO38" s="1113">
        <v>478351</v>
      </c>
      <c r="BP38" s="1113">
        <v>10435957</v>
      </c>
      <c r="BQ38" s="1113">
        <v>23363314</v>
      </c>
      <c r="BR38" s="1113">
        <v>-8547</v>
      </c>
      <c r="BS38" s="271">
        <v>676181</v>
      </c>
      <c r="BT38" s="300">
        <v>0</v>
      </c>
      <c r="BU38" s="300">
        <v>4691847</v>
      </c>
      <c r="BV38" s="300">
        <v>28573</v>
      </c>
      <c r="BW38" s="300">
        <v>0</v>
      </c>
      <c r="BX38" s="300">
        <v>355646</v>
      </c>
      <c r="BY38" s="300">
        <v>0</v>
      </c>
      <c r="BZ38" s="300">
        <v>9911641</v>
      </c>
      <c r="CA38" s="300">
        <v>24212</v>
      </c>
      <c r="CB38" s="300">
        <v>0</v>
      </c>
      <c r="CC38" s="300">
        <v>92423</v>
      </c>
      <c r="CD38" s="300">
        <v>0</v>
      </c>
      <c r="CE38" s="300">
        <v>0</v>
      </c>
    </row>
    <row r="39" spans="1:83" x14ac:dyDescent="0.3">
      <c r="A39" s="271">
        <v>52</v>
      </c>
      <c r="B39" s="271">
        <v>52</v>
      </c>
      <c r="C39" s="271" t="s">
        <v>239</v>
      </c>
      <c r="D39" s="271" t="s">
        <v>343</v>
      </c>
      <c r="E39" s="271">
        <v>0</v>
      </c>
      <c r="F39" s="271">
        <v>0</v>
      </c>
      <c r="G39" s="271">
        <v>0</v>
      </c>
      <c r="H39" s="1113">
        <v>0</v>
      </c>
      <c r="I39" s="271">
        <v>0</v>
      </c>
      <c r="J39" s="271">
        <v>0</v>
      </c>
      <c r="K39" s="271">
        <v>0</v>
      </c>
      <c r="L39" s="271">
        <v>0</v>
      </c>
      <c r="M39" s="1113">
        <v>266078</v>
      </c>
      <c r="N39" s="271">
        <v>0</v>
      </c>
      <c r="O39" s="271">
        <v>0</v>
      </c>
      <c r="P39" s="271">
        <v>0</v>
      </c>
      <c r="Q39" s="271">
        <v>0</v>
      </c>
      <c r="R39" s="271">
        <v>266714</v>
      </c>
      <c r="S39" s="271">
        <v>0</v>
      </c>
      <c r="T39" s="271">
        <v>24221</v>
      </c>
      <c r="U39" s="271">
        <v>0</v>
      </c>
      <c r="V39" s="271">
        <v>0</v>
      </c>
      <c r="W39" s="271">
        <v>0</v>
      </c>
      <c r="X39" s="271">
        <v>0</v>
      </c>
      <c r="Y39" s="1113">
        <v>0</v>
      </c>
      <c r="Z39" s="271">
        <v>9734</v>
      </c>
      <c r="AA39" s="271">
        <v>0</v>
      </c>
      <c r="AB39" s="271">
        <v>0</v>
      </c>
      <c r="AC39" s="271">
        <v>0</v>
      </c>
      <c r="AD39" s="271">
        <v>0</v>
      </c>
      <c r="AE39" s="271">
        <v>0</v>
      </c>
      <c r="AF39" s="271">
        <v>0</v>
      </c>
      <c r="AG39" s="271">
        <v>2081156</v>
      </c>
      <c r="AH39" s="271">
        <v>0</v>
      </c>
      <c r="AI39" s="271">
        <v>0</v>
      </c>
      <c r="AJ39" s="1113">
        <v>0</v>
      </c>
      <c r="AK39" s="271">
        <v>0</v>
      </c>
      <c r="AL39" s="271">
        <v>0</v>
      </c>
      <c r="AM39" s="271">
        <v>0</v>
      </c>
      <c r="AN39" s="1113">
        <v>0</v>
      </c>
      <c r="AO39" s="271">
        <v>0</v>
      </c>
      <c r="AP39" s="271">
        <v>0</v>
      </c>
      <c r="AQ39" s="271">
        <v>253761</v>
      </c>
      <c r="AR39" s="271">
        <v>0</v>
      </c>
      <c r="AS39" s="271">
        <v>0</v>
      </c>
      <c r="AT39" s="271">
        <v>0</v>
      </c>
      <c r="AU39" s="271">
        <v>0</v>
      </c>
      <c r="AV39" s="271">
        <v>0</v>
      </c>
      <c r="AW39" s="271">
        <v>9725679</v>
      </c>
      <c r="AX39" s="271">
        <v>0</v>
      </c>
      <c r="AY39" s="271">
        <v>0</v>
      </c>
      <c r="AZ39" s="271">
        <v>0</v>
      </c>
      <c r="BA39" s="271">
        <v>0</v>
      </c>
      <c r="BB39" s="271">
        <v>0</v>
      </c>
      <c r="BC39" s="271">
        <v>0</v>
      </c>
      <c r="BD39" s="271">
        <v>0</v>
      </c>
      <c r="BE39" s="271">
        <v>0</v>
      </c>
      <c r="BF39" s="271">
        <v>0</v>
      </c>
      <c r="BG39" s="271">
        <v>0</v>
      </c>
      <c r="BH39" s="1113">
        <v>0</v>
      </c>
      <c r="BI39" s="271">
        <v>0</v>
      </c>
      <c r="BJ39" s="271">
        <v>0</v>
      </c>
      <c r="BK39" s="271">
        <v>0</v>
      </c>
      <c r="BL39" s="271">
        <v>0</v>
      </c>
      <c r="BM39" s="271">
        <v>0</v>
      </c>
      <c r="BN39" s="271">
        <v>0</v>
      </c>
      <c r="BO39" s="271">
        <v>69285</v>
      </c>
      <c r="BP39" s="271">
        <v>0</v>
      </c>
      <c r="BQ39" s="271">
        <v>3215765</v>
      </c>
      <c r="BR39" s="271">
        <v>0</v>
      </c>
      <c r="BS39" s="271">
        <v>120478</v>
      </c>
      <c r="BT39" s="300">
        <v>0</v>
      </c>
      <c r="BU39" s="300">
        <v>0</v>
      </c>
      <c r="BV39" s="300">
        <v>7984</v>
      </c>
      <c r="BW39" s="300">
        <v>0</v>
      </c>
      <c r="BX39" s="300">
        <v>0</v>
      </c>
      <c r="BY39" s="300">
        <v>0</v>
      </c>
      <c r="BZ39" s="300">
        <v>0</v>
      </c>
      <c r="CA39" s="300">
        <v>25159</v>
      </c>
      <c r="CB39" s="300">
        <v>0</v>
      </c>
      <c r="CC39" s="300">
        <v>0</v>
      </c>
      <c r="CD39" s="300">
        <v>0</v>
      </c>
      <c r="CE39" s="300">
        <v>1107678</v>
      </c>
    </row>
    <row r="40" spans="1:83" x14ac:dyDescent="0.3">
      <c r="A40" s="271">
        <v>53</v>
      </c>
      <c r="B40" s="271">
        <v>53</v>
      </c>
      <c r="C40" s="271" t="s">
        <v>101</v>
      </c>
      <c r="D40" s="271" t="s">
        <v>344</v>
      </c>
      <c r="E40" s="271">
        <v>0</v>
      </c>
      <c r="F40" s="271">
        <v>0</v>
      </c>
      <c r="G40" s="271">
        <v>0</v>
      </c>
      <c r="H40" s="1113">
        <v>0</v>
      </c>
      <c r="I40" s="271">
        <v>0</v>
      </c>
      <c r="J40" s="271">
        <v>0</v>
      </c>
      <c r="K40" s="271">
        <v>0</v>
      </c>
      <c r="L40" s="271">
        <v>0</v>
      </c>
      <c r="M40" s="1113">
        <v>-227480</v>
      </c>
      <c r="N40" s="271">
        <v>0</v>
      </c>
      <c r="O40" s="271">
        <v>0</v>
      </c>
      <c r="P40" s="271">
        <v>0</v>
      </c>
      <c r="Q40" s="271">
        <v>0</v>
      </c>
      <c r="R40" s="271">
        <v>1352631</v>
      </c>
      <c r="S40" s="271">
        <v>0</v>
      </c>
      <c r="T40" s="271">
        <v>-42163</v>
      </c>
      <c r="U40" s="271">
        <v>0</v>
      </c>
      <c r="V40" s="271">
        <v>0</v>
      </c>
      <c r="W40" s="271">
        <v>0</v>
      </c>
      <c r="X40" s="271">
        <v>0</v>
      </c>
      <c r="Y40" s="1113">
        <v>0</v>
      </c>
      <c r="Z40" s="271">
        <v>-89859</v>
      </c>
      <c r="AA40" s="271">
        <v>0</v>
      </c>
      <c r="AB40" s="271">
        <v>0</v>
      </c>
      <c r="AC40" s="271">
        <v>0</v>
      </c>
      <c r="AD40" s="271">
        <v>0</v>
      </c>
      <c r="AE40" s="271">
        <v>0</v>
      </c>
      <c r="AF40" s="271">
        <v>0</v>
      </c>
      <c r="AG40" s="271">
        <v>6434821</v>
      </c>
      <c r="AH40" s="271">
        <v>0</v>
      </c>
      <c r="AI40" s="271">
        <v>0</v>
      </c>
      <c r="AJ40" s="1113">
        <v>0</v>
      </c>
      <c r="AK40" s="271">
        <v>0</v>
      </c>
      <c r="AL40" s="271">
        <v>0</v>
      </c>
      <c r="AM40" s="271">
        <v>0</v>
      </c>
      <c r="AN40" s="1113">
        <v>0</v>
      </c>
      <c r="AO40" s="271">
        <v>0</v>
      </c>
      <c r="AP40" s="271">
        <v>0</v>
      </c>
      <c r="AQ40" s="271">
        <v>523471</v>
      </c>
      <c r="AR40" s="271">
        <v>0</v>
      </c>
      <c r="AS40" s="271">
        <v>0</v>
      </c>
      <c r="AT40" s="271">
        <v>0</v>
      </c>
      <c r="AU40" s="271">
        <v>0</v>
      </c>
      <c r="AV40" s="271">
        <v>0</v>
      </c>
      <c r="AW40" s="271">
        <v>7762187</v>
      </c>
      <c r="AX40" s="271">
        <v>0</v>
      </c>
      <c r="AY40" s="271">
        <v>0</v>
      </c>
      <c r="AZ40" s="271">
        <v>0</v>
      </c>
      <c r="BA40" s="271">
        <v>0</v>
      </c>
      <c r="BB40" s="271">
        <v>0</v>
      </c>
      <c r="BC40" s="271">
        <v>0</v>
      </c>
      <c r="BD40" s="271">
        <v>0</v>
      </c>
      <c r="BE40" s="271">
        <v>0</v>
      </c>
      <c r="BF40" s="271">
        <v>0</v>
      </c>
      <c r="BG40" s="271">
        <v>0</v>
      </c>
      <c r="BH40" s="1113">
        <v>0</v>
      </c>
      <c r="BI40" s="271">
        <v>0</v>
      </c>
      <c r="BJ40" s="271">
        <v>0</v>
      </c>
      <c r="BK40" s="271">
        <v>0</v>
      </c>
      <c r="BL40" s="271">
        <v>0</v>
      </c>
      <c r="BM40" s="271">
        <v>0</v>
      </c>
      <c r="BN40" s="271">
        <v>0</v>
      </c>
      <c r="BO40" s="271">
        <v>155914</v>
      </c>
      <c r="BP40" s="271">
        <v>0</v>
      </c>
      <c r="BQ40" s="271">
        <v>10768312</v>
      </c>
      <c r="BR40" s="271">
        <v>0</v>
      </c>
      <c r="BS40" s="271">
        <v>-1274329</v>
      </c>
      <c r="BT40" s="300">
        <v>0</v>
      </c>
      <c r="BU40" s="300">
        <v>0</v>
      </c>
      <c r="BV40" s="300">
        <v>-15071</v>
      </c>
      <c r="BW40" s="300">
        <v>0</v>
      </c>
      <c r="BX40" s="300">
        <v>0</v>
      </c>
      <c r="BY40" s="300">
        <v>0</v>
      </c>
      <c r="BZ40" s="300">
        <v>0</v>
      </c>
      <c r="CA40" s="300">
        <v>30600</v>
      </c>
      <c r="CB40" s="300">
        <v>0</v>
      </c>
      <c r="CC40" s="300">
        <v>0</v>
      </c>
      <c r="CD40" s="300">
        <v>0</v>
      </c>
      <c r="CE40" s="300">
        <v>1623607</v>
      </c>
    </row>
    <row r="41" spans="1:83" x14ac:dyDescent="0.3">
      <c r="A41" s="271"/>
      <c r="B41" s="271">
        <v>54</v>
      </c>
      <c r="C41" s="271" t="s">
        <v>630</v>
      </c>
      <c r="D41" s="271" t="s">
        <v>345</v>
      </c>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c r="BB41" s="271"/>
      <c r="BC41" s="271"/>
      <c r="BD41" s="271"/>
      <c r="BE41" s="271"/>
      <c r="BF41" s="271"/>
      <c r="BG41" s="271"/>
      <c r="BH41" s="271"/>
      <c r="BI41" s="271"/>
      <c r="BJ41" s="271"/>
      <c r="BK41" s="271"/>
      <c r="BL41" s="271"/>
      <c r="BM41" s="271"/>
      <c r="BN41" s="271"/>
      <c r="BO41" s="271"/>
      <c r="BP41" s="271"/>
      <c r="BQ41" s="271"/>
      <c r="BR41" s="271"/>
      <c r="BS41" s="271"/>
    </row>
    <row r="42" spans="1:83" x14ac:dyDescent="0.3">
      <c r="A42" s="271">
        <v>55</v>
      </c>
      <c r="B42" s="271">
        <v>55</v>
      </c>
      <c r="C42" s="271" t="s">
        <v>249</v>
      </c>
      <c r="D42" s="271" t="s">
        <v>346</v>
      </c>
      <c r="E42" s="271">
        <v>0</v>
      </c>
      <c r="F42" s="271">
        <v>0</v>
      </c>
      <c r="G42" s="271">
        <v>0</v>
      </c>
      <c r="H42" s="1113">
        <v>0</v>
      </c>
      <c r="I42" s="271">
        <v>0</v>
      </c>
      <c r="J42" s="271">
        <v>0</v>
      </c>
      <c r="K42" s="271">
        <v>0</v>
      </c>
      <c r="L42" s="271">
        <v>0</v>
      </c>
      <c r="M42" s="1113">
        <v>594407</v>
      </c>
      <c r="N42" s="271">
        <v>0</v>
      </c>
      <c r="O42" s="271">
        <v>0</v>
      </c>
      <c r="P42" s="271">
        <v>0</v>
      </c>
      <c r="Q42" s="271">
        <v>0</v>
      </c>
      <c r="R42" s="271">
        <v>4296483</v>
      </c>
      <c r="S42" s="271">
        <v>0</v>
      </c>
      <c r="T42" s="271">
        <v>50032</v>
      </c>
      <c r="U42" s="271">
        <v>0</v>
      </c>
      <c r="V42" s="271">
        <v>0</v>
      </c>
      <c r="W42" s="271">
        <v>0</v>
      </c>
      <c r="X42" s="271">
        <v>0</v>
      </c>
      <c r="Y42" s="1113">
        <v>0</v>
      </c>
      <c r="Z42" s="271">
        <v>-45091</v>
      </c>
      <c r="AA42" s="271">
        <v>0</v>
      </c>
      <c r="AB42" s="271">
        <v>0</v>
      </c>
      <c r="AC42" s="271">
        <v>0</v>
      </c>
      <c r="AD42" s="271">
        <v>0</v>
      </c>
      <c r="AE42" s="271">
        <v>0</v>
      </c>
      <c r="AF42" s="271">
        <v>0</v>
      </c>
      <c r="AG42" s="271">
        <v>10427231</v>
      </c>
      <c r="AH42" s="271">
        <v>0</v>
      </c>
      <c r="AI42" s="271">
        <v>0</v>
      </c>
      <c r="AJ42" s="1113">
        <v>0</v>
      </c>
      <c r="AK42" s="271">
        <v>0</v>
      </c>
      <c r="AL42" s="271">
        <v>0</v>
      </c>
      <c r="AM42" s="271">
        <v>0</v>
      </c>
      <c r="AN42" s="1113">
        <v>0</v>
      </c>
      <c r="AO42" s="271">
        <v>0</v>
      </c>
      <c r="AP42" s="271">
        <v>0</v>
      </c>
      <c r="AQ42" s="271">
        <v>650732</v>
      </c>
      <c r="AR42" s="271">
        <v>0</v>
      </c>
      <c r="AS42" s="271">
        <v>0</v>
      </c>
      <c r="AT42" s="271">
        <v>0</v>
      </c>
      <c r="AU42" s="271">
        <v>0</v>
      </c>
      <c r="AV42" s="271">
        <v>0</v>
      </c>
      <c r="AW42" s="271">
        <v>19597380</v>
      </c>
      <c r="AX42" s="271">
        <v>0</v>
      </c>
      <c r="AY42" s="271">
        <v>0</v>
      </c>
      <c r="AZ42" s="271">
        <v>0</v>
      </c>
      <c r="BA42" s="271">
        <v>0</v>
      </c>
      <c r="BB42" s="271">
        <v>0</v>
      </c>
      <c r="BC42" s="271">
        <v>0</v>
      </c>
      <c r="BD42" s="271">
        <v>0</v>
      </c>
      <c r="BE42" s="271">
        <v>0</v>
      </c>
      <c r="BF42" s="271">
        <v>0</v>
      </c>
      <c r="BG42" s="271">
        <v>0</v>
      </c>
      <c r="BH42" s="1113">
        <v>0</v>
      </c>
      <c r="BI42" s="271">
        <v>0</v>
      </c>
      <c r="BJ42" s="271">
        <v>0</v>
      </c>
      <c r="BK42" s="271">
        <v>0</v>
      </c>
      <c r="BL42" s="271">
        <v>0</v>
      </c>
      <c r="BM42" s="271">
        <v>0</v>
      </c>
      <c r="BN42" s="271">
        <v>0</v>
      </c>
      <c r="BO42" s="271">
        <v>276779</v>
      </c>
      <c r="BP42" s="271">
        <v>0</v>
      </c>
      <c r="BQ42" s="271">
        <v>12020786</v>
      </c>
      <c r="BR42" s="271">
        <v>0</v>
      </c>
      <c r="BS42" s="271">
        <v>1613794</v>
      </c>
      <c r="BT42" s="300">
        <v>0</v>
      </c>
      <c r="BU42" s="300">
        <v>0</v>
      </c>
      <c r="BV42" s="300">
        <v>4000</v>
      </c>
      <c r="BW42" s="300">
        <v>0</v>
      </c>
      <c r="BX42" s="300">
        <v>0</v>
      </c>
      <c r="BY42" s="300">
        <v>0</v>
      </c>
      <c r="BZ42" s="300">
        <v>0</v>
      </c>
      <c r="CA42" s="300">
        <v>-8096</v>
      </c>
      <c r="CB42" s="300">
        <v>0</v>
      </c>
      <c r="CC42" s="300">
        <v>0</v>
      </c>
      <c r="CD42" s="300">
        <v>0</v>
      </c>
      <c r="CE42" s="300">
        <v>2009348</v>
      </c>
    </row>
    <row r="43" spans="1:83" x14ac:dyDescent="0.3">
      <c r="A43" s="271">
        <v>61</v>
      </c>
      <c r="B43" s="271">
        <v>61</v>
      </c>
      <c r="C43" s="271" t="s">
        <v>268</v>
      </c>
      <c r="D43" s="271" t="s">
        <v>347</v>
      </c>
      <c r="E43" s="271">
        <v>95.75</v>
      </c>
      <c r="F43" s="271">
        <v>92.41</v>
      </c>
      <c r="G43" s="271">
        <v>99.31</v>
      </c>
      <c r="H43" s="271">
        <v>98.97</v>
      </c>
      <c r="I43" s="271">
        <v>99.26</v>
      </c>
      <c r="J43" s="271">
        <v>97.85</v>
      </c>
      <c r="K43" s="271">
        <v>100</v>
      </c>
      <c r="L43" s="271">
        <v>98.6</v>
      </c>
      <c r="M43" s="271">
        <v>96.41</v>
      </c>
      <c r="N43" s="271">
        <v>99.36</v>
      </c>
      <c r="O43" s="271">
        <v>100</v>
      </c>
      <c r="P43" s="271">
        <v>99.37</v>
      </c>
      <c r="Q43" s="271">
        <v>96.79</v>
      </c>
      <c r="R43" s="271">
        <v>99.21</v>
      </c>
      <c r="S43" s="271">
        <v>99.21</v>
      </c>
      <c r="T43" s="271">
        <v>98.22</v>
      </c>
      <c r="U43" s="271">
        <v>99.92</v>
      </c>
      <c r="V43" s="271">
        <v>99.52</v>
      </c>
      <c r="W43" s="271">
        <v>93.7</v>
      </c>
      <c r="X43" s="271">
        <v>96.42</v>
      </c>
      <c r="Y43" s="271">
        <v>98.86</v>
      </c>
      <c r="Z43" s="271">
        <v>95.57</v>
      </c>
      <c r="AA43" s="271">
        <v>99.8</v>
      </c>
      <c r="AB43" s="271">
        <v>0</v>
      </c>
      <c r="AC43" s="271">
        <v>94.83</v>
      </c>
      <c r="AD43" s="271">
        <v>99.74</v>
      </c>
      <c r="AE43" s="271">
        <v>91.59</v>
      </c>
      <c r="AF43" s="271">
        <v>0</v>
      </c>
      <c r="AG43" s="271">
        <v>99.11</v>
      </c>
      <c r="AH43" s="271">
        <v>96.76</v>
      </c>
      <c r="AI43" s="271">
        <v>94.88</v>
      </c>
      <c r="AJ43" s="271">
        <v>98.3</v>
      </c>
      <c r="AK43" s="271">
        <v>98.91</v>
      </c>
      <c r="AL43" s="271">
        <v>98.83</v>
      </c>
      <c r="AM43" s="271">
        <v>0</v>
      </c>
      <c r="AN43" s="271">
        <v>94.47</v>
      </c>
      <c r="AO43" s="271">
        <v>98.49</v>
      </c>
      <c r="AP43" s="271">
        <v>0</v>
      </c>
      <c r="AQ43" s="271">
        <v>97.7</v>
      </c>
      <c r="AR43" s="271">
        <v>98.86</v>
      </c>
      <c r="AS43" s="271">
        <v>96.37</v>
      </c>
      <c r="AT43" s="271">
        <v>95.48</v>
      </c>
      <c r="AU43" s="271">
        <v>93.62</v>
      </c>
      <c r="AV43" s="271">
        <v>99.32</v>
      </c>
      <c r="AW43" s="271">
        <v>99.7</v>
      </c>
      <c r="AX43" s="271">
        <v>95.69</v>
      </c>
      <c r="AY43" s="271">
        <v>98.89</v>
      </c>
      <c r="AZ43" s="271">
        <v>97.14</v>
      </c>
      <c r="BA43" s="271">
        <v>99.57</v>
      </c>
      <c r="BB43" s="271">
        <v>0</v>
      </c>
      <c r="BC43" s="271">
        <v>95.69</v>
      </c>
      <c r="BD43" s="271">
        <v>98.49</v>
      </c>
      <c r="BE43" s="271">
        <v>92.3</v>
      </c>
      <c r="BF43" s="271">
        <v>98.17</v>
      </c>
      <c r="BG43" s="271">
        <v>99.66</v>
      </c>
      <c r="BH43" s="271">
        <v>80.319999999999993</v>
      </c>
      <c r="BI43" s="271">
        <v>99.38</v>
      </c>
      <c r="BJ43" s="271">
        <v>98.61</v>
      </c>
      <c r="BK43" s="271">
        <v>97.06</v>
      </c>
      <c r="BL43" s="271">
        <v>0</v>
      </c>
      <c r="BM43" s="271">
        <v>96.81</v>
      </c>
      <c r="BN43" s="271">
        <v>98.53</v>
      </c>
      <c r="BO43" s="271">
        <v>95.06</v>
      </c>
      <c r="BP43" s="271">
        <v>98.72</v>
      </c>
      <c r="BQ43" s="271">
        <v>99.04</v>
      </c>
      <c r="BR43" s="271">
        <v>98.42</v>
      </c>
      <c r="BS43" s="271">
        <v>99.63</v>
      </c>
      <c r="BT43" s="300">
        <v>97.83</v>
      </c>
      <c r="BU43" s="300">
        <v>99.24</v>
      </c>
      <c r="BV43" s="300">
        <v>92</v>
      </c>
      <c r="BW43" s="300">
        <v>90.21</v>
      </c>
      <c r="BX43" s="300">
        <v>99.05</v>
      </c>
      <c r="BY43" s="300">
        <v>0</v>
      </c>
      <c r="BZ43" s="300">
        <v>99.92</v>
      </c>
      <c r="CA43" s="300">
        <v>99.93</v>
      </c>
      <c r="CB43" s="300">
        <v>99.43</v>
      </c>
      <c r="CC43" s="300">
        <v>95.87</v>
      </c>
      <c r="CD43" s="300">
        <v>96.17</v>
      </c>
      <c r="CE43" s="300">
        <v>99.72</v>
      </c>
    </row>
    <row r="44" spans="1:83" x14ac:dyDescent="0.3">
      <c r="A44" s="271">
        <v>80</v>
      </c>
      <c r="B44" s="271">
        <v>80</v>
      </c>
      <c r="C44" s="271" t="s">
        <v>218</v>
      </c>
      <c r="D44" s="271" t="s">
        <v>348</v>
      </c>
      <c r="E44" s="1113">
        <v>157324</v>
      </c>
      <c r="F44" s="1113">
        <v>111156</v>
      </c>
      <c r="G44" s="1113">
        <v>0</v>
      </c>
      <c r="H44" s="1113">
        <v>798725</v>
      </c>
      <c r="I44" s="271">
        <v>358526</v>
      </c>
      <c r="J44" s="1113">
        <v>113667</v>
      </c>
      <c r="K44" s="1113">
        <v>0</v>
      </c>
      <c r="L44" s="1113">
        <v>171528</v>
      </c>
      <c r="M44" s="1113">
        <v>3133352</v>
      </c>
      <c r="N44" s="271">
        <v>0</v>
      </c>
      <c r="O44" s="1113">
        <v>0</v>
      </c>
      <c r="P44" s="271">
        <v>0</v>
      </c>
      <c r="Q44" s="1113">
        <v>19</v>
      </c>
      <c r="R44" s="1113">
        <v>5294625</v>
      </c>
      <c r="S44" s="271">
        <v>0</v>
      </c>
      <c r="T44" s="1113">
        <v>198436</v>
      </c>
      <c r="U44" s="1113">
        <v>945649</v>
      </c>
      <c r="V44" s="1113">
        <v>808080</v>
      </c>
      <c r="W44" s="1113">
        <v>3041566</v>
      </c>
      <c r="X44" s="1113">
        <v>0</v>
      </c>
      <c r="Y44" s="1113">
        <v>337378</v>
      </c>
      <c r="Z44" s="271">
        <v>43113</v>
      </c>
      <c r="AA44" s="1113">
        <v>18912525</v>
      </c>
      <c r="AB44" s="1113">
        <v>1186</v>
      </c>
      <c r="AC44" s="1113">
        <v>441058</v>
      </c>
      <c r="AD44" s="1113">
        <v>0</v>
      </c>
      <c r="AE44" s="1113">
        <v>0</v>
      </c>
      <c r="AF44" s="271">
        <v>0</v>
      </c>
      <c r="AG44" s="271">
        <v>21511245</v>
      </c>
      <c r="AH44" s="1113">
        <v>318</v>
      </c>
      <c r="AI44" s="1113">
        <v>209421</v>
      </c>
      <c r="AJ44" s="271">
        <v>1797104</v>
      </c>
      <c r="AK44" s="1113">
        <v>90602</v>
      </c>
      <c r="AL44" s="271">
        <v>89036</v>
      </c>
      <c r="AM44" s="271">
        <v>0</v>
      </c>
      <c r="AN44" s="1113">
        <v>244501</v>
      </c>
      <c r="AO44" s="1113">
        <v>10556267</v>
      </c>
      <c r="AP44" s="1113">
        <v>0</v>
      </c>
      <c r="AQ44" s="271">
        <v>2018481</v>
      </c>
      <c r="AR44" s="271">
        <v>0</v>
      </c>
      <c r="AS44" s="1113">
        <v>0</v>
      </c>
      <c r="AT44" s="1113">
        <v>1720646</v>
      </c>
      <c r="AU44" s="1113">
        <v>118257</v>
      </c>
      <c r="AV44" s="271">
        <v>42785009</v>
      </c>
      <c r="AW44" s="1113">
        <v>14107167</v>
      </c>
      <c r="AX44" s="1113">
        <v>359371</v>
      </c>
      <c r="AY44" s="1113">
        <v>117616</v>
      </c>
      <c r="AZ44" s="1113">
        <v>167993</v>
      </c>
      <c r="BA44" s="271">
        <v>58740</v>
      </c>
      <c r="BB44" s="1113">
        <v>0</v>
      </c>
      <c r="BC44" s="1113">
        <v>3404026</v>
      </c>
      <c r="BD44" s="271">
        <v>494755</v>
      </c>
      <c r="BE44" s="271">
        <v>0</v>
      </c>
      <c r="BF44" s="1113">
        <v>149525</v>
      </c>
      <c r="BG44" s="1113">
        <v>8584432</v>
      </c>
      <c r="BH44" s="1113">
        <v>0</v>
      </c>
      <c r="BI44" s="1113">
        <v>8840687</v>
      </c>
      <c r="BJ44" s="1113">
        <v>864514</v>
      </c>
      <c r="BK44" s="1113">
        <v>0</v>
      </c>
      <c r="BL44" s="271">
        <v>0</v>
      </c>
      <c r="BM44" s="1113">
        <v>27036930</v>
      </c>
      <c r="BN44" s="1113">
        <v>14209511</v>
      </c>
      <c r="BO44" s="1113">
        <v>546911</v>
      </c>
      <c r="BP44" s="1113">
        <v>35643130</v>
      </c>
      <c r="BQ44" s="1113">
        <v>58084669</v>
      </c>
      <c r="BR44" s="1113">
        <v>82800</v>
      </c>
      <c r="BS44" s="271">
        <v>1670819</v>
      </c>
      <c r="BT44" s="300">
        <v>0</v>
      </c>
      <c r="BU44" s="300">
        <v>11878148</v>
      </c>
      <c r="BV44" s="300">
        <v>254017</v>
      </c>
      <c r="BW44" s="300">
        <v>0</v>
      </c>
      <c r="BX44" s="300">
        <v>2907616</v>
      </c>
      <c r="BY44" s="300">
        <v>0</v>
      </c>
      <c r="BZ44" s="300">
        <v>35959184</v>
      </c>
      <c r="CA44" s="300">
        <v>386332</v>
      </c>
      <c r="CB44" s="300">
        <v>0</v>
      </c>
      <c r="CC44" s="300">
        <v>108797</v>
      </c>
      <c r="CD44" s="300">
        <v>0</v>
      </c>
      <c r="CE44" s="300">
        <v>0</v>
      </c>
    </row>
    <row r="45" spans="1:83" x14ac:dyDescent="0.3">
      <c r="A45" s="271">
        <v>81</v>
      </c>
      <c r="B45" s="271">
        <v>81</v>
      </c>
      <c r="C45" s="271" t="s">
        <v>219</v>
      </c>
      <c r="D45" s="271" t="s">
        <v>349</v>
      </c>
      <c r="E45" s="1113">
        <v>14276</v>
      </c>
      <c r="F45" s="1113">
        <v>89911</v>
      </c>
      <c r="G45" s="1113">
        <v>0</v>
      </c>
      <c r="H45" s="1113">
        <v>85046</v>
      </c>
      <c r="I45" s="271">
        <v>48835</v>
      </c>
      <c r="J45" s="1113">
        <v>14694</v>
      </c>
      <c r="K45" s="1113">
        <v>0</v>
      </c>
      <c r="L45" s="1113">
        <v>18666</v>
      </c>
      <c r="M45" s="1113">
        <v>726460</v>
      </c>
      <c r="N45" s="271">
        <v>0</v>
      </c>
      <c r="O45" s="1113">
        <v>0</v>
      </c>
      <c r="P45" s="271">
        <v>0</v>
      </c>
      <c r="Q45" s="1113">
        <v>35456</v>
      </c>
      <c r="R45" s="1113">
        <v>659135</v>
      </c>
      <c r="S45" s="271">
        <v>0</v>
      </c>
      <c r="T45" s="1113">
        <v>24618</v>
      </c>
      <c r="U45" s="1113">
        <v>92195</v>
      </c>
      <c r="V45" s="1113">
        <v>28127</v>
      </c>
      <c r="W45" s="1113">
        <v>562484</v>
      </c>
      <c r="X45" s="1113">
        <v>0</v>
      </c>
      <c r="Y45" s="1113">
        <v>45110</v>
      </c>
      <c r="Z45" s="271">
        <v>156682</v>
      </c>
      <c r="AA45" s="1113">
        <v>1253516</v>
      </c>
      <c r="AB45" s="1113">
        <v>11695</v>
      </c>
      <c r="AC45" s="1113">
        <v>27073</v>
      </c>
      <c r="AD45" s="1113">
        <v>0</v>
      </c>
      <c r="AE45" s="1113">
        <v>0</v>
      </c>
      <c r="AF45" s="271">
        <v>0</v>
      </c>
      <c r="AG45" s="271">
        <v>6136837</v>
      </c>
      <c r="AH45" s="1113">
        <v>0</v>
      </c>
      <c r="AI45" s="1113">
        <v>23021</v>
      </c>
      <c r="AJ45" s="1113">
        <v>271779</v>
      </c>
      <c r="AK45" s="1113">
        <v>4038</v>
      </c>
      <c r="AL45" s="271">
        <v>3369</v>
      </c>
      <c r="AM45" s="271">
        <v>0</v>
      </c>
      <c r="AN45" s="1113">
        <v>0</v>
      </c>
      <c r="AO45" s="271">
        <v>1160491</v>
      </c>
      <c r="AP45" s="1113">
        <v>0</v>
      </c>
      <c r="AQ45" s="271">
        <v>595474</v>
      </c>
      <c r="AR45" s="1113">
        <v>0</v>
      </c>
      <c r="AS45" s="1113">
        <v>0</v>
      </c>
      <c r="AT45" s="1113">
        <v>163150</v>
      </c>
      <c r="AU45" s="1113">
        <v>28822</v>
      </c>
      <c r="AV45" s="271">
        <v>17498399</v>
      </c>
      <c r="AW45" s="1113">
        <v>6192173</v>
      </c>
      <c r="AX45" s="1113">
        <v>108680</v>
      </c>
      <c r="AY45" s="1113">
        <v>19576</v>
      </c>
      <c r="AZ45" s="1113">
        <v>37864</v>
      </c>
      <c r="BA45" s="271">
        <v>23784</v>
      </c>
      <c r="BB45" s="271">
        <v>0</v>
      </c>
      <c r="BC45" s="1113">
        <v>312655</v>
      </c>
      <c r="BD45" s="271">
        <v>15689</v>
      </c>
      <c r="BE45" s="1113">
        <v>0</v>
      </c>
      <c r="BF45" s="1113">
        <v>14206</v>
      </c>
      <c r="BG45" s="1113">
        <v>1240683</v>
      </c>
      <c r="BH45" s="1113">
        <v>0</v>
      </c>
      <c r="BI45" s="1113">
        <v>811233</v>
      </c>
      <c r="BJ45" s="1113">
        <v>101163</v>
      </c>
      <c r="BK45" s="1113">
        <v>0</v>
      </c>
      <c r="BL45" s="271">
        <v>0</v>
      </c>
      <c r="BM45" s="1113">
        <v>1350347</v>
      </c>
      <c r="BN45" s="1113">
        <v>2292722</v>
      </c>
      <c r="BO45" s="1113">
        <v>200439</v>
      </c>
      <c r="BP45" s="1113">
        <v>3280478</v>
      </c>
      <c r="BQ45" s="1113">
        <v>5678071</v>
      </c>
      <c r="BR45" s="1113">
        <v>13973</v>
      </c>
      <c r="BS45" s="271">
        <v>347259</v>
      </c>
      <c r="BT45" s="300">
        <v>0</v>
      </c>
      <c r="BU45" s="300">
        <v>1530387</v>
      </c>
      <c r="BV45" s="300">
        <v>36868</v>
      </c>
      <c r="BW45" s="300">
        <v>0</v>
      </c>
      <c r="BX45" s="300">
        <v>227128</v>
      </c>
      <c r="BY45" s="300">
        <v>0</v>
      </c>
      <c r="BZ45" s="300">
        <v>2638419</v>
      </c>
      <c r="CA45" s="300">
        <v>42524</v>
      </c>
      <c r="CB45" s="300">
        <v>0</v>
      </c>
      <c r="CC45" s="300">
        <v>21013</v>
      </c>
      <c r="CD45" s="300">
        <v>0</v>
      </c>
      <c r="CE45" s="300">
        <v>0</v>
      </c>
    </row>
    <row r="46" spans="1:83" x14ac:dyDescent="0.3">
      <c r="A46" s="271">
        <v>82</v>
      </c>
      <c r="B46" s="271">
        <v>82</v>
      </c>
      <c r="C46" s="271" t="s">
        <v>554</v>
      </c>
      <c r="D46" s="271" t="s">
        <v>350</v>
      </c>
      <c r="E46" s="271">
        <v>0</v>
      </c>
      <c r="F46" s="1113">
        <v>2614000</v>
      </c>
      <c r="G46" s="1113">
        <v>0</v>
      </c>
      <c r="H46" s="1113">
        <v>351201</v>
      </c>
      <c r="I46" s="271">
        <v>1355000</v>
      </c>
      <c r="J46" s="1113">
        <v>0</v>
      </c>
      <c r="K46" s="1113">
        <v>0</v>
      </c>
      <c r="L46" s="1113">
        <v>1857000</v>
      </c>
      <c r="M46" s="1113">
        <v>11033920</v>
      </c>
      <c r="N46" s="271">
        <v>0</v>
      </c>
      <c r="O46" s="1113">
        <v>0</v>
      </c>
      <c r="P46" s="271">
        <v>0</v>
      </c>
      <c r="Q46" s="1113">
        <v>0</v>
      </c>
      <c r="R46" s="1113">
        <v>449549</v>
      </c>
      <c r="S46" s="271">
        <v>0</v>
      </c>
      <c r="T46" s="1113">
        <v>281250</v>
      </c>
      <c r="U46" s="1113">
        <v>678734</v>
      </c>
      <c r="V46" s="1113">
        <v>123210</v>
      </c>
      <c r="W46" s="271">
        <v>9008931</v>
      </c>
      <c r="X46" s="271">
        <v>0</v>
      </c>
      <c r="Y46" s="1113">
        <v>336726</v>
      </c>
      <c r="Z46" s="271">
        <v>864565</v>
      </c>
      <c r="AA46" s="1113">
        <v>40063530</v>
      </c>
      <c r="AB46" s="1113">
        <v>0</v>
      </c>
      <c r="AC46" s="1113">
        <v>203502</v>
      </c>
      <c r="AD46" s="1113">
        <v>0</v>
      </c>
      <c r="AE46" s="1113">
        <v>0</v>
      </c>
      <c r="AF46" s="271">
        <v>0</v>
      </c>
      <c r="AG46" s="271">
        <v>62670430</v>
      </c>
      <c r="AH46" s="1113">
        <v>0</v>
      </c>
      <c r="AI46" s="1113">
        <v>0</v>
      </c>
      <c r="AJ46" s="1113">
        <v>156081</v>
      </c>
      <c r="AK46" s="1113">
        <v>0</v>
      </c>
      <c r="AL46" s="271">
        <v>0</v>
      </c>
      <c r="AM46" s="271">
        <v>0</v>
      </c>
      <c r="AN46" s="1113">
        <v>2752996</v>
      </c>
      <c r="AO46" s="271">
        <v>4490467</v>
      </c>
      <c r="AP46" s="1113">
        <v>0</v>
      </c>
      <c r="AQ46" s="271">
        <v>2716992</v>
      </c>
      <c r="AR46" s="1113">
        <v>0</v>
      </c>
      <c r="AS46" s="1113">
        <v>0</v>
      </c>
      <c r="AT46" s="271">
        <v>3143196</v>
      </c>
      <c r="AU46" s="1113">
        <v>0</v>
      </c>
      <c r="AV46" s="271">
        <v>292310262</v>
      </c>
      <c r="AW46" s="1113">
        <v>84298015</v>
      </c>
      <c r="AX46" s="271">
        <v>593000</v>
      </c>
      <c r="AY46" s="1113">
        <v>425313</v>
      </c>
      <c r="AZ46" s="271">
        <v>20300</v>
      </c>
      <c r="BA46" s="271">
        <v>0</v>
      </c>
      <c r="BB46" s="271">
        <v>0</v>
      </c>
      <c r="BC46" s="1113">
        <v>5801</v>
      </c>
      <c r="BD46" s="271">
        <v>215004</v>
      </c>
      <c r="BE46" s="1113">
        <v>0</v>
      </c>
      <c r="BF46" s="1113">
        <v>316589</v>
      </c>
      <c r="BG46" s="1113">
        <v>13006868</v>
      </c>
      <c r="BH46" s="1113">
        <v>0</v>
      </c>
      <c r="BI46" s="1113">
        <v>14518016</v>
      </c>
      <c r="BJ46" s="1113">
        <v>1112738</v>
      </c>
      <c r="BK46" s="1113">
        <v>0</v>
      </c>
      <c r="BL46" s="271">
        <v>0</v>
      </c>
      <c r="BM46" s="271">
        <v>21802523</v>
      </c>
      <c r="BN46" s="1113">
        <v>16569675</v>
      </c>
      <c r="BO46" s="1113">
        <v>7389336</v>
      </c>
      <c r="BP46" s="1113">
        <v>25440116</v>
      </c>
      <c r="BQ46" s="1113">
        <v>175389891</v>
      </c>
      <c r="BR46" s="1113">
        <v>0</v>
      </c>
      <c r="BS46" s="271">
        <v>1166647</v>
      </c>
      <c r="BT46" s="300">
        <v>0</v>
      </c>
      <c r="BU46" s="300">
        <v>27075276</v>
      </c>
      <c r="BV46" s="300">
        <v>0</v>
      </c>
      <c r="BW46" s="300">
        <v>0</v>
      </c>
      <c r="BX46" s="300">
        <v>1162404</v>
      </c>
      <c r="BY46" s="300">
        <v>0</v>
      </c>
      <c r="BZ46" s="300">
        <v>36459724</v>
      </c>
      <c r="CA46" s="300">
        <v>411296</v>
      </c>
      <c r="CB46" s="300">
        <v>0</v>
      </c>
      <c r="CC46" s="300">
        <v>115295</v>
      </c>
      <c r="CD46" s="300">
        <v>0</v>
      </c>
      <c r="CE46" s="300">
        <v>0</v>
      </c>
    </row>
    <row r="47" spans="1:83" x14ac:dyDescent="0.3">
      <c r="A47" s="271">
        <v>83</v>
      </c>
      <c r="B47" s="271">
        <v>83</v>
      </c>
      <c r="C47" s="271" t="s">
        <v>102</v>
      </c>
      <c r="D47" s="271" t="s">
        <v>351</v>
      </c>
      <c r="E47" s="1113">
        <v>7109320</v>
      </c>
      <c r="F47" s="1113">
        <v>6860258</v>
      </c>
      <c r="G47" s="1113">
        <v>0</v>
      </c>
      <c r="H47" s="1113">
        <v>7976838</v>
      </c>
      <c r="I47" s="271">
        <v>4150157</v>
      </c>
      <c r="J47" s="1113">
        <v>446477</v>
      </c>
      <c r="K47" s="1113">
        <v>0</v>
      </c>
      <c r="L47" s="1113">
        <v>2358479</v>
      </c>
      <c r="M47" s="1113">
        <v>32126705</v>
      </c>
      <c r="N47" s="271">
        <v>0</v>
      </c>
      <c r="O47" s="1113">
        <v>0</v>
      </c>
      <c r="P47" s="271">
        <v>0</v>
      </c>
      <c r="Q47" s="1113">
        <v>3346343</v>
      </c>
      <c r="R47" s="1113">
        <v>39575380</v>
      </c>
      <c r="S47" s="271">
        <v>0</v>
      </c>
      <c r="T47" s="1113">
        <v>2154429</v>
      </c>
      <c r="U47" s="1113">
        <v>2943721</v>
      </c>
      <c r="V47" s="1113">
        <v>1611007</v>
      </c>
      <c r="W47" s="1113">
        <v>21161334</v>
      </c>
      <c r="X47" s="1113">
        <v>0</v>
      </c>
      <c r="Y47" s="1113">
        <v>4972570</v>
      </c>
      <c r="Z47" s="271">
        <v>8351462</v>
      </c>
      <c r="AA47" s="1113">
        <v>77865077</v>
      </c>
      <c r="AB47" s="1113">
        <v>1700922</v>
      </c>
      <c r="AC47" s="1113">
        <v>2534928</v>
      </c>
      <c r="AD47" s="1113">
        <v>0</v>
      </c>
      <c r="AE47" s="1113">
        <v>0</v>
      </c>
      <c r="AF47" s="271">
        <v>0</v>
      </c>
      <c r="AG47" s="271">
        <v>201408774</v>
      </c>
      <c r="AH47" s="1113">
        <v>704</v>
      </c>
      <c r="AI47" s="1113">
        <v>1111623</v>
      </c>
      <c r="AJ47" s="1113">
        <v>3075347</v>
      </c>
      <c r="AK47" s="1113">
        <v>1618963</v>
      </c>
      <c r="AL47" s="271">
        <v>159280</v>
      </c>
      <c r="AM47" s="271">
        <v>0</v>
      </c>
      <c r="AN47" s="1113">
        <v>4597201</v>
      </c>
      <c r="AO47" s="1113">
        <v>48956035</v>
      </c>
      <c r="AP47" s="1113">
        <v>0</v>
      </c>
      <c r="AQ47" s="271">
        <v>13715201</v>
      </c>
      <c r="AR47" s="1113">
        <v>0</v>
      </c>
      <c r="AS47" s="1113">
        <v>0</v>
      </c>
      <c r="AT47" s="1113">
        <v>3755027</v>
      </c>
      <c r="AU47" s="1113">
        <v>3323208</v>
      </c>
      <c r="AV47" s="271">
        <v>589192024</v>
      </c>
      <c r="AW47" s="1113">
        <v>190767864</v>
      </c>
      <c r="AX47" s="1113">
        <v>3426514</v>
      </c>
      <c r="AY47" s="1113">
        <v>2476713</v>
      </c>
      <c r="AZ47" s="1113">
        <v>1850808</v>
      </c>
      <c r="BA47" s="271">
        <v>3366328</v>
      </c>
      <c r="BB47" s="1113">
        <v>0</v>
      </c>
      <c r="BC47" s="1113">
        <v>6224695</v>
      </c>
      <c r="BD47" s="271">
        <v>3530578</v>
      </c>
      <c r="BE47" s="1113">
        <v>0</v>
      </c>
      <c r="BF47" s="1113">
        <v>450232</v>
      </c>
      <c r="BG47" s="1113">
        <v>29560371</v>
      </c>
      <c r="BH47" s="1113">
        <v>0</v>
      </c>
      <c r="BI47" s="1113">
        <v>19055290</v>
      </c>
      <c r="BJ47" s="1113">
        <v>4150501</v>
      </c>
      <c r="BK47" s="1113">
        <v>0</v>
      </c>
      <c r="BL47" s="271">
        <v>0</v>
      </c>
      <c r="BM47" s="1113">
        <v>94933175</v>
      </c>
      <c r="BN47" s="1113">
        <v>75193353</v>
      </c>
      <c r="BO47" s="1113">
        <v>5859608</v>
      </c>
      <c r="BP47" s="1113">
        <v>131113052</v>
      </c>
      <c r="BQ47" s="1113">
        <v>201857784</v>
      </c>
      <c r="BR47" s="1113">
        <v>4181237</v>
      </c>
      <c r="BS47" s="271">
        <v>26582301</v>
      </c>
      <c r="BT47" s="300">
        <v>0</v>
      </c>
      <c r="BU47" s="300">
        <v>50189538</v>
      </c>
      <c r="BV47" s="300">
        <v>2817862</v>
      </c>
      <c r="BW47" s="300">
        <v>0</v>
      </c>
      <c r="BX47" s="300">
        <v>20103834</v>
      </c>
      <c r="BY47" s="300">
        <v>0</v>
      </c>
      <c r="BZ47" s="300">
        <v>119515380</v>
      </c>
      <c r="CA47" s="300">
        <v>3183370</v>
      </c>
      <c r="CB47" s="300">
        <v>0</v>
      </c>
      <c r="CC47" s="300">
        <v>889977</v>
      </c>
      <c r="CD47" s="300">
        <v>0</v>
      </c>
      <c r="CE47" s="300">
        <v>0</v>
      </c>
    </row>
    <row r="48" spans="1:83" x14ac:dyDescent="0.3">
      <c r="A48" s="271">
        <v>84</v>
      </c>
      <c r="B48" s="271">
        <v>84</v>
      </c>
      <c r="C48" s="271" t="s">
        <v>227</v>
      </c>
      <c r="D48" s="271" t="s">
        <v>352</v>
      </c>
      <c r="E48" s="1113">
        <v>235947</v>
      </c>
      <c r="F48" s="1113">
        <v>1098877</v>
      </c>
      <c r="G48" s="1113">
        <v>0</v>
      </c>
      <c r="H48" s="1113">
        <v>586466</v>
      </c>
      <c r="I48" s="271">
        <v>337224</v>
      </c>
      <c r="J48" s="1113">
        <v>162248</v>
      </c>
      <c r="K48" s="1113">
        <v>0</v>
      </c>
      <c r="L48" s="1113">
        <v>199264</v>
      </c>
      <c r="M48" s="1113">
        <v>4332239</v>
      </c>
      <c r="N48" s="271">
        <v>0</v>
      </c>
      <c r="O48" s="1113">
        <v>0</v>
      </c>
      <c r="P48" s="271">
        <v>0</v>
      </c>
      <c r="Q48" s="1113">
        <v>87148</v>
      </c>
      <c r="R48" s="1113">
        <v>5406982</v>
      </c>
      <c r="S48" s="271">
        <v>0</v>
      </c>
      <c r="T48" s="1113">
        <v>276986</v>
      </c>
      <c r="U48" s="1113">
        <v>1108608</v>
      </c>
      <c r="V48" s="1113">
        <v>261701</v>
      </c>
      <c r="W48" s="1113">
        <v>4153426</v>
      </c>
      <c r="X48" s="1113">
        <v>0</v>
      </c>
      <c r="Y48" s="1113">
        <v>486006</v>
      </c>
      <c r="Z48" s="271">
        <v>1141950</v>
      </c>
      <c r="AA48" s="1113">
        <v>12126144</v>
      </c>
      <c r="AB48" s="1113">
        <v>57086</v>
      </c>
      <c r="AC48" s="1113">
        <v>299998</v>
      </c>
      <c r="AD48" s="1113">
        <v>0</v>
      </c>
      <c r="AE48" s="1113">
        <v>0</v>
      </c>
      <c r="AF48" s="271">
        <v>0</v>
      </c>
      <c r="AG48" s="271">
        <v>40442347</v>
      </c>
      <c r="AH48" s="1113">
        <v>0</v>
      </c>
      <c r="AI48" s="1113">
        <v>113287</v>
      </c>
      <c r="AJ48" s="1113">
        <v>3673215</v>
      </c>
      <c r="AK48" s="1113">
        <v>10118</v>
      </c>
      <c r="AL48" s="271">
        <v>81761</v>
      </c>
      <c r="AM48" s="271">
        <v>0</v>
      </c>
      <c r="AN48" s="1113">
        <v>115304</v>
      </c>
      <c r="AO48" s="1113">
        <v>7424535</v>
      </c>
      <c r="AP48" s="1113">
        <v>0</v>
      </c>
      <c r="AQ48" s="271">
        <v>2135414</v>
      </c>
      <c r="AR48" s="1113">
        <v>0</v>
      </c>
      <c r="AS48" s="1113">
        <v>0</v>
      </c>
      <c r="AT48" s="1113">
        <v>1246331</v>
      </c>
      <c r="AU48" s="1113">
        <v>266824</v>
      </c>
      <c r="AV48" s="271">
        <v>120660691</v>
      </c>
      <c r="AW48" s="1113">
        <v>46067895</v>
      </c>
      <c r="AX48" s="1113">
        <v>991071</v>
      </c>
      <c r="AY48" s="1113">
        <v>289916</v>
      </c>
      <c r="AZ48" s="1113">
        <v>426534</v>
      </c>
      <c r="BA48" s="271">
        <v>148647</v>
      </c>
      <c r="BB48" s="271">
        <v>0</v>
      </c>
      <c r="BC48" s="1113">
        <v>3183074</v>
      </c>
      <c r="BD48" s="271">
        <v>153251</v>
      </c>
      <c r="BE48" s="1113">
        <v>0</v>
      </c>
      <c r="BF48" s="1113">
        <v>144745</v>
      </c>
      <c r="BG48" s="1113">
        <v>8661135</v>
      </c>
      <c r="BH48" s="1113">
        <v>0</v>
      </c>
      <c r="BI48" s="1113">
        <v>6253858</v>
      </c>
      <c r="BJ48" s="1113">
        <v>1690559</v>
      </c>
      <c r="BK48" s="1113">
        <v>0</v>
      </c>
      <c r="BL48" s="271">
        <v>0</v>
      </c>
      <c r="BM48" s="1113">
        <v>17635017</v>
      </c>
      <c r="BN48" s="1113">
        <v>16067138</v>
      </c>
      <c r="BO48" s="1113">
        <v>1299560</v>
      </c>
      <c r="BP48" s="1113">
        <v>27471655</v>
      </c>
      <c r="BQ48" s="1113">
        <v>52977411</v>
      </c>
      <c r="BR48" s="1113">
        <v>169035</v>
      </c>
      <c r="BS48" s="271">
        <v>2267304</v>
      </c>
      <c r="BT48" s="300">
        <v>0</v>
      </c>
      <c r="BU48" s="300">
        <v>11890751</v>
      </c>
      <c r="BV48" s="300">
        <v>173025</v>
      </c>
      <c r="BW48" s="300">
        <v>0</v>
      </c>
      <c r="BX48" s="300">
        <v>1982652</v>
      </c>
      <c r="BY48" s="300">
        <v>0</v>
      </c>
      <c r="BZ48" s="300">
        <v>20215998</v>
      </c>
      <c r="CA48" s="300">
        <v>197462</v>
      </c>
      <c r="CB48" s="300">
        <v>0</v>
      </c>
      <c r="CC48" s="300">
        <v>266300</v>
      </c>
      <c r="CD48" s="300">
        <v>0</v>
      </c>
      <c r="CE48" s="300">
        <v>0</v>
      </c>
    </row>
    <row r="49" spans="1:83" x14ac:dyDescent="0.3">
      <c r="A49" s="271">
        <v>85</v>
      </c>
      <c r="B49" s="271">
        <v>85</v>
      </c>
      <c r="C49" s="271" t="s">
        <v>229</v>
      </c>
      <c r="D49" s="271" t="s">
        <v>353</v>
      </c>
      <c r="E49" s="1113">
        <v>500171</v>
      </c>
      <c r="F49" s="1113">
        <v>1349639</v>
      </c>
      <c r="G49" s="1113">
        <v>0</v>
      </c>
      <c r="H49" s="1113">
        <v>904100</v>
      </c>
      <c r="I49" s="271">
        <v>434834</v>
      </c>
      <c r="J49" s="1113">
        <v>170210</v>
      </c>
      <c r="K49" s="1113">
        <v>0</v>
      </c>
      <c r="L49" s="1113">
        <v>308498</v>
      </c>
      <c r="M49" s="1113">
        <v>4263358</v>
      </c>
      <c r="N49" s="271">
        <v>0</v>
      </c>
      <c r="O49" s="1113">
        <v>0</v>
      </c>
      <c r="P49" s="271">
        <v>0</v>
      </c>
      <c r="Q49" s="1113">
        <v>168439</v>
      </c>
      <c r="R49" s="1113">
        <v>4969716</v>
      </c>
      <c r="S49" s="271">
        <v>0</v>
      </c>
      <c r="T49" s="1113">
        <v>344926</v>
      </c>
      <c r="U49" s="1113">
        <v>1102534</v>
      </c>
      <c r="V49" s="1113">
        <v>161043</v>
      </c>
      <c r="W49" s="1113">
        <v>3236187</v>
      </c>
      <c r="X49" s="1113">
        <v>0</v>
      </c>
      <c r="Y49" s="1113">
        <v>739770</v>
      </c>
      <c r="Z49" s="271">
        <v>1572246</v>
      </c>
      <c r="AA49" s="1113">
        <v>10294742</v>
      </c>
      <c r="AB49" s="1113">
        <v>136050</v>
      </c>
      <c r="AC49" s="1113">
        <v>282768</v>
      </c>
      <c r="AD49" s="1113">
        <v>0</v>
      </c>
      <c r="AE49" s="1113">
        <v>0</v>
      </c>
      <c r="AF49" s="271">
        <v>0</v>
      </c>
      <c r="AG49" s="271">
        <v>34700307</v>
      </c>
      <c r="AH49" s="1113">
        <v>263</v>
      </c>
      <c r="AI49" s="1113">
        <v>201442</v>
      </c>
      <c r="AJ49" s="1113">
        <v>3506073</v>
      </c>
      <c r="AK49" s="1113">
        <v>88220</v>
      </c>
      <c r="AL49" s="271">
        <v>86312</v>
      </c>
      <c r="AM49" s="271">
        <v>0</v>
      </c>
      <c r="AN49" s="1113">
        <v>259900</v>
      </c>
      <c r="AO49" s="1113">
        <v>6514918</v>
      </c>
      <c r="AP49" s="1113">
        <v>0</v>
      </c>
      <c r="AQ49" s="271">
        <v>2685153</v>
      </c>
      <c r="AR49" s="1113">
        <v>0</v>
      </c>
      <c r="AS49" s="1113">
        <v>0</v>
      </c>
      <c r="AT49" s="1113">
        <v>1101859</v>
      </c>
      <c r="AU49" s="1113">
        <v>420847</v>
      </c>
      <c r="AV49" s="271">
        <v>98683536</v>
      </c>
      <c r="AW49" s="1113">
        <v>38318120</v>
      </c>
      <c r="AX49" s="1113">
        <v>1120425</v>
      </c>
      <c r="AY49" s="1113">
        <v>439680</v>
      </c>
      <c r="AZ49" s="1113">
        <v>523021</v>
      </c>
      <c r="BA49" s="271">
        <v>266060</v>
      </c>
      <c r="BB49" s="271">
        <v>0</v>
      </c>
      <c r="BC49" s="1113">
        <v>3197239</v>
      </c>
      <c r="BD49" s="271">
        <v>269004</v>
      </c>
      <c r="BE49" s="1113">
        <v>0</v>
      </c>
      <c r="BF49" s="1113">
        <v>126317</v>
      </c>
      <c r="BG49" s="1113">
        <v>7729202</v>
      </c>
      <c r="BH49" s="1113">
        <v>0</v>
      </c>
      <c r="BI49" s="1113">
        <v>5882983</v>
      </c>
      <c r="BJ49" s="1113">
        <v>2098866</v>
      </c>
      <c r="BK49" s="1113">
        <v>0</v>
      </c>
      <c r="BL49" s="271">
        <v>0</v>
      </c>
      <c r="BM49" s="1113">
        <v>13651881</v>
      </c>
      <c r="BN49" s="1113">
        <v>15671050</v>
      </c>
      <c r="BO49" s="1113">
        <v>1567828</v>
      </c>
      <c r="BP49" s="1113">
        <v>22746246</v>
      </c>
      <c r="BQ49" s="1113">
        <v>42429795</v>
      </c>
      <c r="BR49" s="1113">
        <v>265234</v>
      </c>
      <c r="BS49" s="271">
        <v>2745912</v>
      </c>
      <c r="BT49" s="300">
        <v>0</v>
      </c>
      <c r="BU49" s="300">
        <v>8522509</v>
      </c>
      <c r="BV49" s="300">
        <v>290871</v>
      </c>
      <c r="BW49" s="300">
        <v>0</v>
      </c>
      <c r="BX49" s="300">
        <v>2347184</v>
      </c>
      <c r="BY49" s="300">
        <v>0</v>
      </c>
      <c r="BZ49" s="300">
        <v>14295484</v>
      </c>
      <c r="CA49" s="300">
        <v>266145</v>
      </c>
      <c r="CB49" s="300">
        <v>0</v>
      </c>
      <c r="CC49" s="300">
        <v>246825</v>
      </c>
      <c r="CD49" s="300">
        <v>0</v>
      </c>
      <c r="CE49" s="300">
        <v>0</v>
      </c>
    </row>
    <row r="50" spans="1:83" x14ac:dyDescent="0.3">
      <c r="A50" s="271">
        <v>88</v>
      </c>
      <c r="B50" s="271">
        <v>88</v>
      </c>
      <c r="C50" s="271" t="s">
        <v>226</v>
      </c>
      <c r="D50" s="271" t="s">
        <v>354</v>
      </c>
      <c r="E50" s="1113">
        <v>224790</v>
      </c>
      <c r="F50" s="1113">
        <v>1098877</v>
      </c>
      <c r="G50" s="1113">
        <v>0</v>
      </c>
      <c r="H50" s="1113">
        <v>583656</v>
      </c>
      <c r="I50" s="271">
        <v>327460</v>
      </c>
      <c r="J50" s="1113">
        <v>148521</v>
      </c>
      <c r="K50" s="1113">
        <v>0</v>
      </c>
      <c r="L50" s="1113">
        <v>199264</v>
      </c>
      <c r="M50" s="1113">
        <v>4007934</v>
      </c>
      <c r="N50" s="271">
        <v>0</v>
      </c>
      <c r="O50" s="1113">
        <v>0</v>
      </c>
      <c r="P50" s="271">
        <v>0</v>
      </c>
      <c r="Q50" s="1113">
        <v>87148</v>
      </c>
      <c r="R50" s="1113">
        <v>5239959</v>
      </c>
      <c r="S50" s="271">
        <v>0</v>
      </c>
      <c r="T50" s="1113">
        <v>276086</v>
      </c>
      <c r="U50" s="1113">
        <v>1001874</v>
      </c>
      <c r="V50" s="1113">
        <v>232501</v>
      </c>
      <c r="W50" s="1113">
        <v>4153426</v>
      </c>
      <c r="X50" s="1113">
        <v>0</v>
      </c>
      <c r="Y50" s="1113">
        <v>476622</v>
      </c>
      <c r="Z50" s="271">
        <v>1140850</v>
      </c>
      <c r="AA50" s="1113">
        <v>11614572</v>
      </c>
      <c r="AB50" s="1113">
        <v>57086</v>
      </c>
      <c r="AC50" s="1113">
        <v>283276</v>
      </c>
      <c r="AD50" s="1113">
        <v>0</v>
      </c>
      <c r="AE50" s="1113">
        <v>0</v>
      </c>
      <c r="AF50" s="271">
        <v>0</v>
      </c>
      <c r="AG50" s="271">
        <v>37683482</v>
      </c>
      <c r="AH50" s="1113">
        <v>0</v>
      </c>
      <c r="AI50" s="1113">
        <v>111087</v>
      </c>
      <c r="AJ50" s="1113">
        <v>3167407</v>
      </c>
      <c r="AK50" s="1113">
        <v>10118</v>
      </c>
      <c r="AL50" s="271">
        <v>81761</v>
      </c>
      <c r="AM50" s="271">
        <v>0</v>
      </c>
      <c r="AN50" s="1113">
        <v>104719</v>
      </c>
      <c r="AO50" s="1113">
        <v>6538114</v>
      </c>
      <c r="AP50" s="1113">
        <v>0</v>
      </c>
      <c r="AQ50" s="271">
        <v>2102515</v>
      </c>
      <c r="AR50" s="1113">
        <v>0</v>
      </c>
      <c r="AS50" s="1113">
        <v>0</v>
      </c>
      <c r="AT50" s="1113">
        <v>1075620</v>
      </c>
      <c r="AU50" s="1113">
        <v>261724</v>
      </c>
      <c r="AV50" s="271">
        <v>116906359</v>
      </c>
      <c r="AW50" s="1113">
        <v>45831964</v>
      </c>
      <c r="AX50" s="1113">
        <v>933358</v>
      </c>
      <c r="AY50" s="1113">
        <v>289653</v>
      </c>
      <c r="AZ50" s="1113">
        <v>395454</v>
      </c>
      <c r="BA50" s="271">
        <v>148647</v>
      </c>
      <c r="BB50" s="271">
        <v>0</v>
      </c>
      <c r="BC50" s="1113">
        <v>2991426</v>
      </c>
      <c r="BD50" s="271">
        <v>151559</v>
      </c>
      <c r="BE50" s="1113">
        <v>0</v>
      </c>
      <c r="BF50" s="1113">
        <v>135995</v>
      </c>
      <c r="BG50" s="1113">
        <v>6900623</v>
      </c>
      <c r="BH50" s="1113">
        <v>0</v>
      </c>
      <c r="BI50" s="1113">
        <v>6066169</v>
      </c>
      <c r="BJ50" s="1113">
        <v>1636753</v>
      </c>
      <c r="BK50" s="1113">
        <v>0</v>
      </c>
      <c r="BL50" s="271">
        <v>0</v>
      </c>
      <c r="BM50" s="1113">
        <v>17255505</v>
      </c>
      <c r="BN50" s="1113">
        <v>15179809</v>
      </c>
      <c r="BO50" s="1113">
        <v>1215744</v>
      </c>
      <c r="BP50" s="1113">
        <v>26560060</v>
      </c>
      <c r="BQ50" s="1113">
        <v>52420739</v>
      </c>
      <c r="BR50" s="1113">
        <v>169035</v>
      </c>
      <c r="BS50" s="271">
        <v>2266323</v>
      </c>
      <c r="BT50" s="300">
        <v>0</v>
      </c>
      <c r="BU50" s="300">
        <v>9384221</v>
      </c>
      <c r="BV50" s="300">
        <v>172821</v>
      </c>
      <c r="BW50" s="300">
        <v>0</v>
      </c>
      <c r="BX50" s="300">
        <v>1796500</v>
      </c>
      <c r="BY50" s="300">
        <v>0</v>
      </c>
      <c r="BZ50" s="300">
        <v>19080926</v>
      </c>
      <c r="CA50" s="300">
        <v>197462</v>
      </c>
      <c r="CB50" s="300">
        <v>0</v>
      </c>
      <c r="CC50" s="300">
        <v>266300</v>
      </c>
      <c r="CD50" s="300">
        <v>0</v>
      </c>
      <c r="CE50" s="300">
        <v>0</v>
      </c>
    </row>
    <row r="51" spans="1:83" x14ac:dyDescent="0.3">
      <c r="A51" s="271">
        <v>89</v>
      </c>
      <c r="B51" s="271">
        <v>89</v>
      </c>
      <c r="C51" s="271" t="s">
        <v>230</v>
      </c>
      <c r="D51" s="271" t="s">
        <v>355</v>
      </c>
      <c r="E51" s="271">
        <v>15091</v>
      </c>
      <c r="F51" s="1113">
        <v>112792</v>
      </c>
      <c r="G51" s="271">
        <v>0</v>
      </c>
      <c r="H51" s="1113">
        <v>0</v>
      </c>
      <c r="I51" s="271">
        <v>64244</v>
      </c>
      <c r="J51" s="1113">
        <v>0</v>
      </c>
      <c r="K51" s="1113">
        <v>0</v>
      </c>
      <c r="L51" s="1113">
        <v>51086</v>
      </c>
      <c r="M51" s="1113">
        <v>362989</v>
      </c>
      <c r="N51" s="271">
        <v>0</v>
      </c>
      <c r="O51" s="1113">
        <v>0</v>
      </c>
      <c r="P51" s="271">
        <v>0</v>
      </c>
      <c r="Q51" s="1113">
        <v>0</v>
      </c>
      <c r="R51" s="1113">
        <v>2314</v>
      </c>
      <c r="S51" s="271">
        <v>0</v>
      </c>
      <c r="T51" s="1113">
        <v>0</v>
      </c>
      <c r="U51" s="1113">
        <v>50436</v>
      </c>
      <c r="V51" s="1113">
        <v>6254</v>
      </c>
      <c r="W51" s="271">
        <v>201371</v>
      </c>
      <c r="X51" s="1113">
        <v>0</v>
      </c>
      <c r="Y51" s="1113">
        <v>11261</v>
      </c>
      <c r="Z51" s="271">
        <v>34307</v>
      </c>
      <c r="AA51" s="1113">
        <v>1439049</v>
      </c>
      <c r="AB51" s="1113">
        <v>0</v>
      </c>
      <c r="AC51" s="1113">
        <v>0</v>
      </c>
      <c r="AD51" s="1113">
        <v>0</v>
      </c>
      <c r="AE51" s="1113">
        <v>0</v>
      </c>
      <c r="AF51" s="271">
        <v>0</v>
      </c>
      <c r="AG51" s="271">
        <v>964162</v>
      </c>
      <c r="AH51" s="1113">
        <v>0</v>
      </c>
      <c r="AI51" s="1113">
        <v>0</v>
      </c>
      <c r="AJ51" s="1113">
        <v>917</v>
      </c>
      <c r="AK51" s="1113">
        <v>0</v>
      </c>
      <c r="AL51" s="271">
        <v>0</v>
      </c>
      <c r="AM51" s="271">
        <v>0</v>
      </c>
      <c r="AN51" s="1113">
        <v>77054</v>
      </c>
      <c r="AO51" s="271">
        <v>118973</v>
      </c>
      <c r="AP51" s="1113">
        <v>0</v>
      </c>
      <c r="AQ51" s="271">
        <v>52091</v>
      </c>
      <c r="AR51" s="1113">
        <v>0</v>
      </c>
      <c r="AS51" s="1113">
        <v>0</v>
      </c>
      <c r="AT51" s="271">
        <v>45644</v>
      </c>
      <c r="AU51" s="1113">
        <v>0</v>
      </c>
      <c r="AV51" s="271">
        <v>5847105</v>
      </c>
      <c r="AW51" s="1113">
        <v>2482980</v>
      </c>
      <c r="AX51" s="271">
        <v>18292</v>
      </c>
      <c r="AY51" s="1113">
        <v>15783</v>
      </c>
      <c r="AZ51" s="271">
        <v>0</v>
      </c>
      <c r="BA51" s="271">
        <v>0</v>
      </c>
      <c r="BB51" s="271">
        <v>0</v>
      </c>
      <c r="BC51" s="1113">
        <v>4865</v>
      </c>
      <c r="BD51" s="271">
        <v>9581</v>
      </c>
      <c r="BE51" s="271">
        <v>0</v>
      </c>
      <c r="BF51" s="1113">
        <v>17061</v>
      </c>
      <c r="BG51" s="271">
        <v>296600</v>
      </c>
      <c r="BH51" s="1113">
        <v>0</v>
      </c>
      <c r="BI51" s="1113">
        <v>480926</v>
      </c>
      <c r="BJ51" s="1113">
        <v>19908</v>
      </c>
      <c r="BK51" s="1113">
        <v>0</v>
      </c>
      <c r="BL51" s="271">
        <v>0</v>
      </c>
      <c r="BM51" s="271">
        <v>118811</v>
      </c>
      <c r="BN51" s="1113">
        <v>398649</v>
      </c>
      <c r="BO51" s="1113">
        <v>226260</v>
      </c>
      <c r="BP51" s="1113">
        <v>713552</v>
      </c>
      <c r="BQ51" s="1113">
        <v>6981028</v>
      </c>
      <c r="BR51" s="1113">
        <v>0</v>
      </c>
      <c r="BS51" s="271">
        <v>0</v>
      </c>
      <c r="BT51" s="300">
        <v>0</v>
      </c>
      <c r="BU51" s="300">
        <v>832828</v>
      </c>
      <c r="BV51" s="300">
        <v>0</v>
      </c>
      <c r="BW51" s="300">
        <v>0</v>
      </c>
      <c r="BX51" s="300">
        <v>44281</v>
      </c>
      <c r="BY51" s="300">
        <v>0</v>
      </c>
      <c r="BZ51" s="300">
        <v>1179190</v>
      </c>
      <c r="CA51" s="300">
        <v>17522</v>
      </c>
      <c r="CB51" s="300">
        <v>0</v>
      </c>
      <c r="CC51" s="300">
        <v>6223</v>
      </c>
      <c r="CD51" s="300">
        <v>0</v>
      </c>
      <c r="CE51" s="300">
        <v>0</v>
      </c>
    </row>
    <row r="52" spans="1:83" x14ac:dyDescent="0.3">
      <c r="A52" s="271">
        <v>90</v>
      </c>
      <c r="B52" s="271">
        <v>90</v>
      </c>
      <c r="C52" s="271" t="s">
        <v>223</v>
      </c>
      <c r="D52" s="271" t="s">
        <v>356</v>
      </c>
      <c r="E52" s="271">
        <v>0</v>
      </c>
      <c r="F52" s="271">
        <v>0</v>
      </c>
      <c r="G52" s="271">
        <v>0</v>
      </c>
      <c r="H52" s="1113">
        <v>0</v>
      </c>
      <c r="I52" s="271">
        <v>0</v>
      </c>
      <c r="J52" s="271">
        <v>0</v>
      </c>
      <c r="K52" s="271">
        <v>0</v>
      </c>
      <c r="L52" s="271">
        <v>0</v>
      </c>
      <c r="M52" s="1113">
        <v>842022</v>
      </c>
      <c r="N52" s="271">
        <v>0</v>
      </c>
      <c r="O52" s="271">
        <v>0</v>
      </c>
      <c r="P52" s="271">
        <v>0</v>
      </c>
      <c r="Q52" s="271">
        <v>0</v>
      </c>
      <c r="R52" s="271">
        <v>5425207</v>
      </c>
      <c r="S52" s="271">
        <v>0</v>
      </c>
      <c r="T52" s="271">
        <v>949883</v>
      </c>
      <c r="U52" s="271">
        <v>0</v>
      </c>
      <c r="V52" s="271">
        <v>0</v>
      </c>
      <c r="W52" s="271">
        <v>0</v>
      </c>
      <c r="X52" s="271">
        <v>0</v>
      </c>
      <c r="Y52" s="1113">
        <v>0</v>
      </c>
      <c r="Z52" s="271">
        <v>124528</v>
      </c>
      <c r="AA52" s="271">
        <v>0</v>
      </c>
      <c r="AB52" s="271">
        <v>0</v>
      </c>
      <c r="AC52" s="271">
        <v>0</v>
      </c>
      <c r="AD52" s="271">
        <v>0</v>
      </c>
      <c r="AE52" s="271">
        <v>0</v>
      </c>
      <c r="AF52" s="271">
        <v>0</v>
      </c>
      <c r="AG52" s="271">
        <v>20177613</v>
      </c>
      <c r="AH52" s="271">
        <v>0</v>
      </c>
      <c r="AI52" s="271">
        <v>0</v>
      </c>
      <c r="AJ52" s="1113">
        <v>0</v>
      </c>
      <c r="AK52" s="271">
        <v>0</v>
      </c>
      <c r="AL52" s="271">
        <v>0</v>
      </c>
      <c r="AM52" s="271">
        <v>0</v>
      </c>
      <c r="AN52" s="1113">
        <v>0</v>
      </c>
      <c r="AO52" s="271">
        <v>0</v>
      </c>
      <c r="AP52" s="271">
        <v>0</v>
      </c>
      <c r="AQ52" s="271">
        <v>3371903</v>
      </c>
      <c r="AR52" s="271">
        <v>0</v>
      </c>
      <c r="AS52" s="271">
        <v>0</v>
      </c>
      <c r="AT52" s="271">
        <v>0</v>
      </c>
      <c r="AU52" s="271">
        <v>0</v>
      </c>
      <c r="AV52" s="271">
        <v>0</v>
      </c>
      <c r="AW52" s="271">
        <v>45279821</v>
      </c>
      <c r="AX52" s="271">
        <v>0</v>
      </c>
      <c r="AY52" s="271">
        <v>0</v>
      </c>
      <c r="AZ52" s="271">
        <v>0</v>
      </c>
      <c r="BA52" s="271">
        <v>0</v>
      </c>
      <c r="BB52" s="271">
        <v>0</v>
      </c>
      <c r="BC52" s="271">
        <v>0</v>
      </c>
      <c r="BD52" s="271">
        <v>0</v>
      </c>
      <c r="BE52" s="271">
        <v>0</v>
      </c>
      <c r="BF52" s="271">
        <v>0</v>
      </c>
      <c r="BG52" s="271">
        <v>0</v>
      </c>
      <c r="BH52" s="1113">
        <v>0</v>
      </c>
      <c r="BI52" s="271">
        <v>0</v>
      </c>
      <c r="BJ52" s="271">
        <v>0</v>
      </c>
      <c r="BK52" s="271">
        <v>0</v>
      </c>
      <c r="BL52" s="271">
        <v>0</v>
      </c>
      <c r="BM52" s="271">
        <v>0</v>
      </c>
      <c r="BN52" s="271">
        <v>0</v>
      </c>
      <c r="BO52" s="271">
        <v>823117</v>
      </c>
      <c r="BP52" s="271">
        <v>0</v>
      </c>
      <c r="BQ52" s="271">
        <v>67370699</v>
      </c>
      <c r="BR52" s="271">
        <v>0</v>
      </c>
      <c r="BS52" s="271">
        <v>5396845</v>
      </c>
      <c r="BT52" s="300">
        <v>0</v>
      </c>
      <c r="BU52" s="300">
        <v>0</v>
      </c>
      <c r="BV52" s="300">
        <v>370247</v>
      </c>
      <c r="BW52" s="300">
        <v>0</v>
      </c>
      <c r="BX52" s="300">
        <v>0</v>
      </c>
      <c r="BY52" s="300">
        <v>0</v>
      </c>
      <c r="BZ52" s="300">
        <v>0</v>
      </c>
      <c r="CA52" s="300">
        <v>366880</v>
      </c>
      <c r="CB52" s="300">
        <v>0</v>
      </c>
      <c r="CC52" s="300">
        <v>0</v>
      </c>
      <c r="CD52" s="300">
        <v>0</v>
      </c>
      <c r="CE52" s="300">
        <v>2168786</v>
      </c>
    </row>
    <row r="53" spans="1:83" x14ac:dyDescent="0.3">
      <c r="A53" s="271">
        <v>91</v>
      </c>
      <c r="B53" s="271">
        <v>91</v>
      </c>
      <c r="C53" s="271" t="s">
        <v>224</v>
      </c>
      <c r="D53" s="271" t="s">
        <v>357</v>
      </c>
      <c r="E53" s="271">
        <v>0</v>
      </c>
      <c r="F53" s="271">
        <v>0</v>
      </c>
      <c r="G53" s="271">
        <v>0</v>
      </c>
      <c r="H53" s="1113">
        <v>0</v>
      </c>
      <c r="I53" s="271">
        <v>0</v>
      </c>
      <c r="J53" s="271">
        <v>0</v>
      </c>
      <c r="K53" s="271">
        <v>0</v>
      </c>
      <c r="L53" s="271">
        <v>0</v>
      </c>
      <c r="M53" s="1113">
        <v>917896</v>
      </c>
      <c r="N53" s="271">
        <v>0</v>
      </c>
      <c r="O53" s="271">
        <v>0</v>
      </c>
      <c r="P53" s="271">
        <v>0</v>
      </c>
      <c r="Q53" s="271">
        <v>0</v>
      </c>
      <c r="R53" s="271">
        <v>1814305</v>
      </c>
      <c r="S53" s="271">
        <v>0</v>
      </c>
      <c r="T53" s="271">
        <v>60043</v>
      </c>
      <c r="U53" s="271">
        <v>0</v>
      </c>
      <c r="V53" s="271">
        <v>0</v>
      </c>
      <c r="W53" s="271">
        <v>0</v>
      </c>
      <c r="X53" s="271">
        <v>0</v>
      </c>
      <c r="Y53" s="1113">
        <v>0</v>
      </c>
      <c r="Z53" s="271">
        <v>206454</v>
      </c>
      <c r="AA53" s="271">
        <v>0</v>
      </c>
      <c r="AB53" s="271">
        <v>0</v>
      </c>
      <c r="AC53" s="271">
        <v>0</v>
      </c>
      <c r="AD53" s="271">
        <v>0</v>
      </c>
      <c r="AE53" s="271">
        <v>0</v>
      </c>
      <c r="AF53" s="271">
        <v>0</v>
      </c>
      <c r="AG53" s="271">
        <v>10396534</v>
      </c>
      <c r="AH53" s="271">
        <v>0</v>
      </c>
      <c r="AI53" s="271">
        <v>0</v>
      </c>
      <c r="AJ53" s="1113">
        <v>0</v>
      </c>
      <c r="AK53" s="271">
        <v>0</v>
      </c>
      <c r="AL53" s="271">
        <v>0</v>
      </c>
      <c r="AM53" s="271">
        <v>0</v>
      </c>
      <c r="AN53" s="1113">
        <v>0</v>
      </c>
      <c r="AO53" s="271">
        <v>0</v>
      </c>
      <c r="AP53" s="271">
        <v>0</v>
      </c>
      <c r="AQ53" s="271">
        <v>939695</v>
      </c>
      <c r="AR53" s="271">
        <v>0</v>
      </c>
      <c r="AS53" s="271">
        <v>0</v>
      </c>
      <c r="AT53" s="271">
        <v>0</v>
      </c>
      <c r="AU53" s="271">
        <v>0</v>
      </c>
      <c r="AV53" s="271">
        <v>0</v>
      </c>
      <c r="AW53" s="271">
        <v>21353378</v>
      </c>
      <c r="AX53" s="271">
        <v>0</v>
      </c>
      <c r="AY53" s="271">
        <v>0</v>
      </c>
      <c r="AZ53" s="271">
        <v>0</v>
      </c>
      <c r="BA53" s="271">
        <v>0</v>
      </c>
      <c r="BB53" s="271">
        <v>0</v>
      </c>
      <c r="BC53" s="271">
        <v>0</v>
      </c>
      <c r="BD53" s="271">
        <v>0</v>
      </c>
      <c r="BE53" s="271">
        <v>0</v>
      </c>
      <c r="BF53" s="271">
        <v>0</v>
      </c>
      <c r="BG53" s="271">
        <v>0</v>
      </c>
      <c r="BH53" s="1113">
        <v>0</v>
      </c>
      <c r="BI53" s="271">
        <v>0</v>
      </c>
      <c r="BJ53" s="271">
        <v>0</v>
      </c>
      <c r="BK53" s="271">
        <v>0</v>
      </c>
      <c r="BL53" s="271">
        <v>0</v>
      </c>
      <c r="BM53" s="271">
        <v>0</v>
      </c>
      <c r="BN53" s="271">
        <v>0</v>
      </c>
      <c r="BO53" s="271">
        <v>389029</v>
      </c>
      <c r="BP53" s="271">
        <v>0</v>
      </c>
      <c r="BQ53" s="271">
        <v>15643796</v>
      </c>
      <c r="BR53" s="271">
        <v>0</v>
      </c>
      <c r="BS53" s="271">
        <v>663840</v>
      </c>
      <c r="BT53" s="300">
        <v>0</v>
      </c>
      <c r="BU53" s="300">
        <v>0</v>
      </c>
      <c r="BV53" s="300">
        <v>32760</v>
      </c>
      <c r="BW53" s="300">
        <v>0</v>
      </c>
      <c r="BX53" s="300">
        <v>0</v>
      </c>
      <c r="BY53" s="300">
        <v>0</v>
      </c>
      <c r="BZ53" s="300">
        <v>0</v>
      </c>
      <c r="CA53" s="300">
        <v>83354</v>
      </c>
      <c r="CB53" s="300">
        <v>0</v>
      </c>
      <c r="CC53" s="300">
        <v>0</v>
      </c>
      <c r="CD53" s="300">
        <v>0</v>
      </c>
      <c r="CE53" s="300">
        <v>2408103</v>
      </c>
    </row>
    <row r="54" spans="1:83" x14ac:dyDescent="0.3">
      <c r="A54" s="271"/>
      <c r="B54" s="271">
        <v>92</v>
      </c>
      <c r="C54" s="271" t="s">
        <v>631</v>
      </c>
      <c r="D54" s="271" t="s">
        <v>358</v>
      </c>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1"/>
      <c r="AM54" s="271"/>
      <c r="AN54" s="271"/>
      <c r="AO54" s="271"/>
      <c r="AP54" s="271"/>
      <c r="AQ54" s="271"/>
      <c r="AR54" s="271"/>
      <c r="AS54" s="271"/>
      <c r="AT54" s="271"/>
      <c r="AU54" s="271"/>
      <c r="AV54" s="271"/>
      <c r="AW54" s="271"/>
      <c r="AX54" s="271"/>
      <c r="AY54" s="271"/>
      <c r="AZ54" s="271"/>
      <c r="BA54" s="271"/>
      <c r="BB54" s="271"/>
      <c r="BC54" s="271"/>
      <c r="BD54" s="271"/>
      <c r="BE54" s="271"/>
      <c r="BF54" s="271"/>
      <c r="BG54" s="271"/>
      <c r="BH54" s="271"/>
      <c r="BI54" s="271"/>
      <c r="BJ54" s="271"/>
      <c r="BK54" s="271"/>
      <c r="BL54" s="271"/>
      <c r="BM54" s="271"/>
      <c r="BN54" s="271"/>
      <c r="BO54" s="271"/>
      <c r="BP54" s="271"/>
      <c r="BQ54" s="271"/>
      <c r="BR54" s="271"/>
      <c r="BS54" s="271"/>
    </row>
    <row r="55" spans="1:83" x14ac:dyDescent="0.3">
      <c r="A55" s="271">
        <v>93</v>
      </c>
      <c r="B55" s="271">
        <v>93</v>
      </c>
      <c r="C55" s="271" t="s">
        <v>237</v>
      </c>
      <c r="D55" s="271" t="s">
        <v>359</v>
      </c>
      <c r="E55" s="271">
        <v>0</v>
      </c>
      <c r="F55" s="271">
        <v>0</v>
      </c>
      <c r="G55" s="271">
        <v>0</v>
      </c>
      <c r="H55" s="1113">
        <v>0</v>
      </c>
      <c r="I55" s="271">
        <v>0</v>
      </c>
      <c r="J55" s="271">
        <v>0</v>
      </c>
      <c r="K55" s="271">
        <v>0</v>
      </c>
      <c r="L55" s="271">
        <v>0</v>
      </c>
      <c r="M55" s="1113">
        <v>6413355</v>
      </c>
      <c r="N55" s="271">
        <v>0</v>
      </c>
      <c r="O55" s="271">
        <v>0</v>
      </c>
      <c r="P55" s="271">
        <v>0</v>
      </c>
      <c r="Q55" s="271">
        <v>0</v>
      </c>
      <c r="R55" s="271">
        <v>11886517</v>
      </c>
      <c r="S55" s="271">
        <v>0</v>
      </c>
      <c r="T55" s="271">
        <v>655267</v>
      </c>
      <c r="U55" s="271">
        <v>0</v>
      </c>
      <c r="V55" s="271">
        <v>0</v>
      </c>
      <c r="W55" s="271">
        <v>0</v>
      </c>
      <c r="X55" s="271">
        <v>0</v>
      </c>
      <c r="Y55" s="1113">
        <v>0</v>
      </c>
      <c r="Z55" s="271">
        <v>1563268</v>
      </c>
      <c r="AA55" s="271">
        <v>0</v>
      </c>
      <c r="AB55" s="271">
        <v>0</v>
      </c>
      <c r="AC55" s="271">
        <v>0</v>
      </c>
      <c r="AD55" s="271">
        <v>0</v>
      </c>
      <c r="AE55" s="271">
        <v>0</v>
      </c>
      <c r="AF55" s="271">
        <v>0</v>
      </c>
      <c r="AG55" s="271">
        <v>78949075</v>
      </c>
      <c r="AH55" s="271">
        <v>0</v>
      </c>
      <c r="AI55" s="271">
        <v>0</v>
      </c>
      <c r="AJ55" s="1113">
        <v>0</v>
      </c>
      <c r="AK55" s="271">
        <v>0</v>
      </c>
      <c r="AL55" s="271">
        <v>0</v>
      </c>
      <c r="AM55" s="271">
        <v>0</v>
      </c>
      <c r="AN55" s="1113">
        <v>0</v>
      </c>
      <c r="AO55" s="271">
        <v>0</v>
      </c>
      <c r="AP55" s="271">
        <v>0</v>
      </c>
      <c r="AQ55" s="271">
        <v>7055853</v>
      </c>
      <c r="AR55" s="271">
        <v>0</v>
      </c>
      <c r="AS55" s="271">
        <v>0</v>
      </c>
      <c r="AT55" s="271">
        <v>0</v>
      </c>
      <c r="AU55" s="271">
        <v>0</v>
      </c>
      <c r="AV55" s="271">
        <v>0</v>
      </c>
      <c r="AW55" s="271">
        <v>177933616</v>
      </c>
      <c r="AX55" s="271">
        <v>0</v>
      </c>
      <c r="AY55" s="271">
        <v>0</v>
      </c>
      <c r="AZ55" s="271">
        <v>0</v>
      </c>
      <c r="BA55" s="271">
        <v>0</v>
      </c>
      <c r="BB55" s="271">
        <v>0</v>
      </c>
      <c r="BC55" s="271">
        <v>0</v>
      </c>
      <c r="BD55" s="271">
        <v>0</v>
      </c>
      <c r="BE55" s="271">
        <v>0</v>
      </c>
      <c r="BF55" s="271">
        <v>0</v>
      </c>
      <c r="BG55" s="271">
        <v>0</v>
      </c>
      <c r="BH55" s="1113">
        <v>0</v>
      </c>
      <c r="BI55" s="271">
        <v>0</v>
      </c>
      <c r="BJ55" s="271">
        <v>0</v>
      </c>
      <c r="BK55" s="271">
        <v>0</v>
      </c>
      <c r="BL55" s="271">
        <v>0</v>
      </c>
      <c r="BM55" s="271">
        <v>0</v>
      </c>
      <c r="BN55" s="271">
        <v>0</v>
      </c>
      <c r="BO55" s="271">
        <v>3169178</v>
      </c>
      <c r="BP55" s="271">
        <v>0</v>
      </c>
      <c r="BQ55" s="271">
        <v>130559377</v>
      </c>
      <c r="BR55" s="271">
        <v>0</v>
      </c>
      <c r="BS55" s="271">
        <v>6209719</v>
      </c>
      <c r="BT55" s="300">
        <v>0</v>
      </c>
      <c r="BU55" s="300">
        <v>0</v>
      </c>
      <c r="BV55" s="300">
        <v>436095</v>
      </c>
      <c r="BW55" s="300">
        <v>0</v>
      </c>
      <c r="BX55" s="300">
        <v>0</v>
      </c>
      <c r="BY55" s="300">
        <v>0</v>
      </c>
      <c r="BZ55" s="300">
        <v>0</v>
      </c>
      <c r="CA55" s="300">
        <v>811854</v>
      </c>
      <c r="CB55" s="300">
        <v>0</v>
      </c>
      <c r="CC55" s="300">
        <v>0</v>
      </c>
      <c r="CD55" s="300">
        <v>0</v>
      </c>
      <c r="CE55" s="300">
        <v>21146797</v>
      </c>
    </row>
    <row r="56" spans="1:83" x14ac:dyDescent="0.3">
      <c r="A56" s="271">
        <v>94</v>
      </c>
      <c r="B56" s="271">
        <v>94</v>
      </c>
      <c r="C56" s="271" t="s">
        <v>240</v>
      </c>
      <c r="D56" s="271" t="s">
        <v>360</v>
      </c>
      <c r="E56" s="271">
        <v>0</v>
      </c>
      <c r="F56" s="271">
        <v>0</v>
      </c>
      <c r="G56" s="271">
        <v>0</v>
      </c>
      <c r="H56" s="1113">
        <v>0</v>
      </c>
      <c r="I56" s="271">
        <v>0</v>
      </c>
      <c r="J56" s="271">
        <v>0</v>
      </c>
      <c r="K56" s="271">
        <v>0</v>
      </c>
      <c r="L56" s="271">
        <v>0</v>
      </c>
      <c r="M56" s="1113">
        <v>6235420</v>
      </c>
      <c r="N56" s="271">
        <v>0</v>
      </c>
      <c r="O56" s="271">
        <v>0</v>
      </c>
      <c r="P56" s="271">
        <v>0</v>
      </c>
      <c r="Q56" s="271">
        <v>0</v>
      </c>
      <c r="R56" s="271">
        <v>8209924</v>
      </c>
      <c r="S56" s="271">
        <v>0</v>
      </c>
      <c r="T56" s="271">
        <v>697968</v>
      </c>
      <c r="U56" s="271">
        <v>0</v>
      </c>
      <c r="V56" s="271">
        <v>0</v>
      </c>
      <c r="W56" s="271">
        <v>0</v>
      </c>
      <c r="X56" s="271">
        <v>0</v>
      </c>
      <c r="Y56" s="1113">
        <v>0</v>
      </c>
      <c r="Z56" s="271">
        <v>1616413</v>
      </c>
      <c r="AA56" s="271">
        <v>0</v>
      </c>
      <c r="AB56" s="271">
        <v>0</v>
      </c>
      <c r="AC56" s="271">
        <v>0</v>
      </c>
      <c r="AD56" s="271">
        <v>0</v>
      </c>
      <c r="AE56" s="271">
        <v>0</v>
      </c>
      <c r="AF56" s="271">
        <v>0</v>
      </c>
      <c r="AG56" s="271">
        <v>69760262</v>
      </c>
      <c r="AH56" s="271">
        <v>0</v>
      </c>
      <c r="AI56" s="271">
        <v>0</v>
      </c>
      <c r="AJ56" s="1113">
        <v>0</v>
      </c>
      <c r="AK56" s="271">
        <v>0</v>
      </c>
      <c r="AL56" s="271">
        <v>0</v>
      </c>
      <c r="AM56" s="271">
        <v>0</v>
      </c>
      <c r="AN56" s="1113">
        <v>0</v>
      </c>
      <c r="AO56" s="271">
        <v>0</v>
      </c>
      <c r="AP56" s="271">
        <v>0</v>
      </c>
      <c r="AQ56" s="271">
        <v>6594584</v>
      </c>
      <c r="AR56" s="271">
        <v>0</v>
      </c>
      <c r="AS56" s="271">
        <v>0</v>
      </c>
      <c r="AT56" s="271">
        <v>0</v>
      </c>
      <c r="AU56" s="271">
        <v>0</v>
      </c>
      <c r="AV56" s="271">
        <v>0</v>
      </c>
      <c r="AW56" s="271">
        <v>166786416</v>
      </c>
      <c r="AX56" s="271">
        <v>0</v>
      </c>
      <c r="AY56" s="271">
        <v>0</v>
      </c>
      <c r="AZ56" s="271">
        <v>0</v>
      </c>
      <c r="BA56" s="271">
        <v>0</v>
      </c>
      <c r="BB56" s="271">
        <v>0</v>
      </c>
      <c r="BC56" s="271">
        <v>0</v>
      </c>
      <c r="BD56" s="271">
        <v>0</v>
      </c>
      <c r="BE56" s="271">
        <v>0</v>
      </c>
      <c r="BF56" s="271">
        <v>0</v>
      </c>
      <c r="BG56" s="271">
        <v>0</v>
      </c>
      <c r="BH56" s="1113">
        <v>0</v>
      </c>
      <c r="BI56" s="271">
        <v>0</v>
      </c>
      <c r="BJ56" s="271">
        <v>0</v>
      </c>
      <c r="BK56" s="271">
        <v>0</v>
      </c>
      <c r="BL56" s="271">
        <v>0</v>
      </c>
      <c r="BM56" s="271">
        <v>0</v>
      </c>
      <c r="BN56" s="271">
        <v>0</v>
      </c>
      <c r="BO56" s="271">
        <v>2919761</v>
      </c>
      <c r="BP56" s="271">
        <v>0</v>
      </c>
      <c r="BQ56" s="271">
        <v>119359434</v>
      </c>
      <c r="BR56" s="271">
        <v>0</v>
      </c>
      <c r="BS56" s="271">
        <v>4785454</v>
      </c>
      <c r="BT56" s="300">
        <v>0</v>
      </c>
      <c r="BU56" s="300">
        <v>0</v>
      </c>
      <c r="BV56" s="300">
        <v>451166</v>
      </c>
      <c r="BW56" s="300">
        <v>0</v>
      </c>
      <c r="BX56" s="300">
        <v>0</v>
      </c>
      <c r="BY56" s="300">
        <v>0</v>
      </c>
      <c r="BZ56" s="300">
        <v>0</v>
      </c>
      <c r="CA56" s="300">
        <v>789410</v>
      </c>
      <c r="CB56" s="300">
        <v>0</v>
      </c>
      <c r="CC56" s="300">
        <v>0</v>
      </c>
      <c r="CD56" s="300">
        <v>0</v>
      </c>
      <c r="CE56" s="300">
        <v>19537205</v>
      </c>
    </row>
    <row r="57" spans="1:83" x14ac:dyDescent="0.3">
      <c r="A57" s="271">
        <v>97</v>
      </c>
      <c r="B57" s="271">
        <v>97</v>
      </c>
      <c r="C57" s="271" t="s">
        <v>236</v>
      </c>
      <c r="D57" s="271" t="s">
        <v>361</v>
      </c>
      <c r="E57" s="271">
        <v>0</v>
      </c>
      <c r="F57" s="271">
        <v>0</v>
      </c>
      <c r="G57" s="271">
        <v>0</v>
      </c>
      <c r="H57" s="1113">
        <v>0</v>
      </c>
      <c r="I57" s="271">
        <v>0</v>
      </c>
      <c r="J57" s="271">
        <v>0</v>
      </c>
      <c r="K57" s="271">
        <v>0</v>
      </c>
      <c r="L57" s="271">
        <v>0</v>
      </c>
      <c r="M57" s="1113">
        <v>6335032</v>
      </c>
      <c r="N57" s="271">
        <v>0</v>
      </c>
      <c r="O57" s="271">
        <v>0</v>
      </c>
      <c r="P57" s="271">
        <v>0</v>
      </c>
      <c r="Q57" s="271">
        <v>0</v>
      </c>
      <c r="R57" s="271">
        <v>11586314</v>
      </c>
      <c r="S57" s="271">
        <v>0</v>
      </c>
      <c r="T57" s="271">
        <v>628829</v>
      </c>
      <c r="U57" s="271">
        <v>0</v>
      </c>
      <c r="V57" s="271">
        <v>0</v>
      </c>
      <c r="W57" s="271">
        <v>0</v>
      </c>
      <c r="X57" s="271">
        <v>0</v>
      </c>
      <c r="Y57" s="1113">
        <v>0</v>
      </c>
      <c r="Z57" s="271">
        <v>1512267</v>
      </c>
      <c r="AA57" s="271">
        <v>0</v>
      </c>
      <c r="AB57" s="271">
        <v>0</v>
      </c>
      <c r="AC57" s="271">
        <v>0</v>
      </c>
      <c r="AD57" s="271">
        <v>0</v>
      </c>
      <c r="AE57" s="271">
        <v>0</v>
      </c>
      <c r="AF57" s="271">
        <v>0</v>
      </c>
      <c r="AG57" s="271">
        <v>78158603</v>
      </c>
      <c r="AH57" s="271">
        <v>0</v>
      </c>
      <c r="AI57" s="271">
        <v>0</v>
      </c>
      <c r="AJ57" s="1113">
        <v>0</v>
      </c>
      <c r="AK57" s="271">
        <v>0</v>
      </c>
      <c r="AL57" s="271">
        <v>0</v>
      </c>
      <c r="AM57" s="271">
        <v>0</v>
      </c>
      <c r="AN57" s="1113">
        <v>0</v>
      </c>
      <c r="AO57" s="271">
        <v>0</v>
      </c>
      <c r="AP57" s="271">
        <v>0</v>
      </c>
      <c r="AQ57" s="271">
        <v>6894885</v>
      </c>
      <c r="AR57" s="271">
        <v>0</v>
      </c>
      <c r="AS57" s="271">
        <v>0</v>
      </c>
      <c r="AT57" s="271">
        <v>0</v>
      </c>
      <c r="AU57" s="271">
        <v>0</v>
      </c>
      <c r="AV57" s="271">
        <v>0</v>
      </c>
      <c r="AW57" s="271">
        <v>177242177</v>
      </c>
      <c r="AX57" s="271">
        <v>0</v>
      </c>
      <c r="AY57" s="271">
        <v>0</v>
      </c>
      <c r="AZ57" s="271">
        <v>0</v>
      </c>
      <c r="BA57" s="271">
        <v>0</v>
      </c>
      <c r="BB57" s="271">
        <v>0</v>
      </c>
      <c r="BC57" s="271">
        <v>0</v>
      </c>
      <c r="BD57" s="271">
        <v>0</v>
      </c>
      <c r="BE57" s="271">
        <v>0</v>
      </c>
      <c r="BF57" s="271">
        <v>0</v>
      </c>
      <c r="BG57" s="271">
        <v>0</v>
      </c>
      <c r="BH57" s="1113">
        <v>0</v>
      </c>
      <c r="BI57" s="271">
        <v>0</v>
      </c>
      <c r="BJ57" s="271">
        <v>0</v>
      </c>
      <c r="BK57" s="271">
        <v>0</v>
      </c>
      <c r="BL57" s="271">
        <v>0</v>
      </c>
      <c r="BM57" s="271">
        <v>0</v>
      </c>
      <c r="BN57" s="271">
        <v>0</v>
      </c>
      <c r="BO57" s="271">
        <v>3139697</v>
      </c>
      <c r="BP57" s="271">
        <v>0</v>
      </c>
      <c r="BQ57" s="271">
        <v>129807472</v>
      </c>
      <c r="BR57" s="271">
        <v>0</v>
      </c>
      <c r="BS57" s="271">
        <v>5724899</v>
      </c>
      <c r="BT57" s="300">
        <v>0</v>
      </c>
      <c r="BU57" s="300">
        <v>0</v>
      </c>
      <c r="BV57" s="300">
        <v>435889</v>
      </c>
      <c r="BW57" s="300">
        <v>0</v>
      </c>
      <c r="BX57" s="300">
        <v>0</v>
      </c>
      <c r="BY57" s="300">
        <v>0</v>
      </c>
      <c r="BZ57" s="300">
        <v>0</v>
      </c>
      <c r="CA57" s="300">
        <v>811854</v>
      </c>
      <c r="CB57" s="300">
        <v>0</v>
      </c>
      <c r="CC57" s="300">
        <v>0</v>
      </c>
      <c r="CD57" s="300">
        <v>0</v>
      </c>
      <c r="CE57" s="300">
        <v>20421614</v>
      </c>
    </row>
    <row r="58" spans="1:83" x14ac:dyDescent="0.3">
      <c r="A58" s="271">
        <v>98</v>
      </c>
      <c r="B58" s="271">
        <v>98</v>
      </c>
      <c r="C58" s="271" t="s">
        <v>241</v>
      </c>
      <c r="D58" s="271" t="s">
        <v>362</v>
      </c>
      <c r="E58" s="271">
        <v>0</v>
      </c>
      <c r="F58" s="271">
        <v>0</v>
      </c>
      <c r="G58" s="271">
        <v>0</v>
      </c>
      <c r="H58" s="1113">
        <v>0</v>
      </c>
      <c r="I58" s="271">
        <v>0</v>
      </c>
      <c r="J58" s="271">
        <v>0</v>
      </c>
      <c r="K58" s="271">
        <v>0</v>
      </c>
      <c r="L58" s="271">
        <v>0</v>
      </c>
      <c r="M58" s="1113">
        <v>31226</v>
      </c>
      <c r="N58" s="271">
        <v>0</v>
      </c>
      <c r="O58" s="271">
        <v>0</v>
      </c>
      <c r="P58" s="271">
        <v>0</v>
      </c>
      <c r="Q58" s="271">
        <v>0</v>
      </c>
      <c r="R58" s="271">
        <v>524</v>
      </c>
      <c r="S58" s="271">
        <v>0</v>
      </c>
      <c r="T58" s="271">
        <v>0</v>
      </c>
      <c r="U58" s="271">
        <v>0</v>
      </c>
      <c r="V58" s="271">
        <v>0</v>
      </c>
      <c r="W58" s="271">
        <v>0</v>
      </c>
      <c r="X58" s="271">
        <v>0</v>
      </c>
      <c r="Y58" s="1113">
        <v>0</v>
      </c>
      <c r="Z58" s="271">
        <v>105</v>
      </c>
      <c r="AA58" s="271">
        <v>0</v>
      </c>
      <c r="AB58" s="271">
        <v>0</v>
      </c>
      <c r="AC58" s="271">
        <v>0</v>
      </c>
      <c r="AD58" s="271">
        <v>0</v>
      </c>
      <c r="AE58" s="271">
        <v>0</v>
      </c>
      <c r="AF58" s="271">
        <v>0</v>
      </c>
      <c r="AG58" s="271">
        <v>16869</v>
      </c>
      <c r="AH58" s="271">
        <v>0</v>
      </c>
      <c r="AI58" s="271">
        <v>0</v>
      </c>
      <c r="AJ58" s="271">
        <v>0</v>
      </c>
      <c r="AK58" s="271">
        <v>0</v>
      </c>
      <c r="AL58" s="271">
        <v>0</v>
      </c>
      <c r="AM58" s="271">
        <v>0</v>
      </c>
      <c r="AN58" s="271">
        <v>0</v>
      </c>
      <c r="AO58" s="271">
        <v>0</v>
      </c>
      <c r="AP58" s="271">
        <v>0</v>
      </c>
      <c r="AQ58" s="271">
        <v>0</v>
      </c>
      <c r="AR58" s="271">
        <v>0</v>
      </c>
      <c r="AS58" s="271">
        <v>0</v>
      </c>
      <c r="AT58" s="271">
        <v>0</v>
      </c>
      <c r="AU58" s="271">
        <v>0</v>
      </c>
      <c r="AV58" s="271">
        <v>0</v>
      </c>
      <c r="AW58" s="271">
        <v>1762061</v>
      </c>
      <c r="AX58" s="271">
        <v>0</v>
      </c>
      <c r="AY58" s="271">
        <v>0</v>
      </c>
      <c r="AZ58" s="271">
        <v>0</v>
      </c>
      <c r="BA58" s="271">
        <v>0</v>
      </c>
      <c r="BB58" s="271">
        <v>0</v>
      </c>
      <c r="BC58" s="271">
        <v>0</v>
      </c>
      <c r="BD58" s="271">
        <v>0</v>
      </c>
      <c r="BE58" s="271">
        <v>0</v>
      </c>
      <c r="BF58" s="271">
        <v>0</v>
      </c>
      <c r="BG58" s="271">
        <v>0</v>
      </c>
      <c r="BH58" s="271">
        <v>0</v>
      </c>
      <c r="BI58" s="271">
        <v>0</v>
      </c>
      <c r="BJ58" s="271">
        <v>0</v>
      </c>
      <c r="BK58" s="271">
        <v>0</v>
      </c>
      <c r="BL58" s="271">
        <v>0</v>
      </c>
      <c r="BM58" s="271">
        <v>0</v>
      </c>
      <c r="BN58" s="271">
        <v>0</v>
      </c>
      <c r="BO58" s="271">
        <v>9520</v>
      </c>
      <c r="BP58" s="271">
        <v>0</v>
      </c>
      <c r="BQ58" s="271">
        <v>0</v>
      </c>
      <c r="BR58" s="271">
        <v>0</v>
      </c>
      <c r="BS58" s="271">
        <v>0</v>
      </c>
      <c r="BT58" s="300">
        <v>0</v>
      </c>
      <c r="BU58" s="300">
        <v>0</v>
      </c>
      <c r="BV58" s="300">
        <v>0</v>
      </c>
      <c r="BW58" s="300">
        <v>0</v>
      </c>
      <c r="BX58" s="300">
        <v>0</v>
      </c>
      <c r="BY58" s="300">
        <v>0</v>
      </c>
      <c r="BZ58" s="300">
        <v>0</v>
      </c>
      <c r="CA58" s="300">
        <v>597</v>
      </c>
      <c r="CB58" s="300">
        <v>0</v>
      </c>
      <c r="CC58" s="300">
        <v>0</v>
      </c>
      <c r="CD58" s="300">
        <v>0</v>
      </c>
      <c r="CE58" s="300">
        <v>0</v>
      </c>
    </row>
    <row r="59" spans="1:83" x14ac:dyDescent="0.3">
      <c r="A59" s="271">
        <v>99</v>
      </c>
      <c r="B59" s="271">
        <v>99</v>
      </c>
      <c r="C59" s="271" t="s">
        <v>238</v>
      </c>
      <c r="D59" s="271" t="s">
        <v>363</v>
      </c>
      <c r="E59" s="271">
        <v>0</v>
      </c>
      <c r="F59" s="271">
        <v>0</v>
      </c>
      <c r="G59" s="271">
        <v>0</v>
      </c>
      <c r="H59" s="1113">
        <v>0</v>
      </c>
      <c r="I59" s="271">
        <v>0</v>
      </c>
      <c r="J59" s="271">
        <v>0</v>
      </c>
      <c r="K59" s="271">
        <v>0</v>
      </c>
      <c r="L59" s="271">
        <v>0</v>
      </c>
      <c r="M59" s="1113">
        <v>4377086</v>
      </c>
      <c r="N59" s="271">
        <v>0</v>
      </c>
      <c r="O59" s="271">
        <v>0</v>
      </c>
      <c r="P59" s="271">
        <v>0</v>
      </c>
      <c r="Q59" s="271">
        <v>0</v>
      </c>
      <c r="R59" s="271">
        <v>5724641</v>
      </c>
      <c r="S59" s="271">
        <v>0</v>
      </c>
      <c r="T59" s="271">
        <v>366935</v>
      </c>
      <c r="U59" s="271">
        <v>0</v>
      </c>
      <c r="V59" s="271">
        <v>0</v>
      </c>
      <c r="W59" s="271">
        <v>0</v>
      </c>
      <c r="X59" s="271">
        <v>0</v>
      </c>
      <c r="Y59" s="1113">
        <v>0</v>
      </c>
      <c r="Z59" s="271">
        <v>1127225</v>
      </c>
      <c r="AA59" s="271">
        <v>0</v>
      </c>
      <c r="AB59" s="271">
        <v>0</v>
      </c>
      <c r="AC59" s="271">
        <v>0</v>
      </c>
      <c r="AD59" s="271">
        <v>0</v>
      </c>
      <c r="AE59" s="271">
        <v>0</v>
      </c>
      <c r="AF59" s="271">
        <v>0</v>
      </c>
      <c r="AG59" s="271">
        <v>56143795</v>
      </c>
      <c r="AH59" s="271">
        <v>0</v>
      </c>
      <c r="AI59" s="271">
        <v>0</v>
      </c>
      <c r="AJ59" s="1113">
        <v>0</v>
      </c>
      <c r="AK59" s="271">
        <v>0</v>
      </c>
      <c r="AL59" s="271">
        <v>0</v>
      </c>
      <c r="AM59" s="271">
        <v>0</v>
      </c>
      <c r="AN59" s="1113">
        <v>0</v>
      </c>
      <c r="AO59" s="271">
        <v>0</v>
      </c>
      <c r="AP59" s="271">
        <v>0</v>
      </c>
      <c r="AQ59" s="271">
        <v>4478685</v>
      </c>
      <c r="AR59" s="271">
        <v>0</v>
      </c>
      <c r="AS59" s="271">
        <v>0</v>
      </c>
      <c r="AT59" s="271">
        <v>0</v>
      </c>
      <c r="AU59" s="271">
        <v>0</v>
      </c>
      <c r="AV59" s="271">
        <v>0</v>
      </c>
      <c r="AW59" s="271">
        <v>129516409</v>
      </c>
      <c r="AX59" s="271">
        <v>0</v>
      </c>
      <c r="AY59" s="271">
        <v>0</v>
      </c>
      <c r="AZ59" s="271">
        <v>0</v>
      </c>
      <c r="BA59" s="271">
        <v>0</v>
      </c>
      <c r="BB59" s="271">
        <v>0</v>
      </c>
      <c r="BC59" s="271">
        <v>0</v>
      </c>
      <c r="BD59" s="271">
        <v>0</v>
      </c>
      <c r="BE59" s="271">
        <v>0</v>
      </c>
      <c r="BF59" s="271">
        <v>0</v>
      </c>
      <c r="BG59" s="271">
        <v>0</v>
      </c>
      <c r="BH59" s="1113">
        <v>0</v>
      </c>
      <c r="BI59" s="271">
        <v>0</v>
      </c>
      <c r="BJ59" s="271">
        <v>0</v>
      </c>
      <c r="BK59" s="271">
        <v>0</v>
      </c>
      <c r="BL59" s="271">
        <v>0</v>
      </c>
      <c r="BM59" s="271">
        <v>0</v>
      </c>
      <c r="BN59" s="271">
        <v>0</v>
      </c>
      <c r="BO59" s="271">
        <v>2255852</v>
      </c>
      <c r="BP59" s="271">
        <v>0</v>
      </c>
      <c r="BQ59" s="271">
        <v>91410683</v>
      </c>
      <c r="BR59" s="271">
        <v>0</v>
      </c>
      <c r="BS59" s="271">
        <v>2694566</v>
      </c>
      <c r="BT59" s="300">
        <v>0</v>
      </c>
      <c r="BU59" s="300">
        <v>0</v>
      </c>
      <c r="BV59" s="300">
        <v>298484</v>
      </c>
      <c r="BW59" s="300">
        <v>0</v>
      </c>
      <c r="BX59" s="300">
        <v>0</v>
      </c>
      <c r="BY59" s="300">
        <v>0</v>
      </c>
      <c r="BZ59" s="300">
        <v>0</v>
      </c>
      <c r="CA59" s="300">
        <v>611469</v>
      </c>
      <c r="CB59" s="300">
        <v>0</v>
      </c>
      <c r="CC59" s="300">
        <v>0</v>
      </c>
      <c r="CD59" s="300">
        <v>0</v>
      </c>
      <c r="CE59" s="300">
        <v>15883154</v>
      </c>
    </row>
    <row r="60" spans="1:83" x14ac:dyDescent="0.3">
      <c r="A60" s="271">
        <v>100</v>
      </c>
      <c r="B60" s="271">
        <v>100</v>
      </c>
      <c r="C60" s="271" t="s">
        <v>251</v>
      </c>
      <c r="D60" s="271" t="s">
        <v>364</v>
      </c>
      <c r="E60" s="271">
        <v>0</v>
      </c>
      <c r="F60" s="271">
        <v>0</v>
      </c>
      <c r="G60" s="271">
        <v>0</v>
      </c>
      <c r="H60" s="1113">
        <v>0</v>
      </c>
      <c r="I60" s="271">
        <v>0</v>
      </c>
      <c r="J60" s="271">
        <v>0</v>
      </c>
      <c r="K60" s="271">
        <v>0</v>
      </c>
      <c r="L60" s="271">
        <v>0</v>
      </c>
      <c r="M60" s="1113">
        <v>227587</v>
      </c>
      <c r="N60" s="271">
        <v>0</v>
      </c>
      <c r="O60" s="271">
        <v>0</v>
      </c>
      <c r="P60" s="271">
        <v>0</v>
      </c>
      <c r="Q60" s="271">
        <v>0</v>
      </c>
      <c r="R60" s="271">
        <v>34425</v>
      </c>
      <c r="S60" s="271">
        <v>0</v>
      </c>
      <c r="T60" s="271">
        <v>0</v>
      </c>
      <c r="U60" s="271">
        <v>0</v>
      </c>
      <c r="V60" s="271">
        <v>0</v>
      </c>
      <c r="W60" s="271">
        <v>0</v>
      </c>
      <c r="X60" s="271">
        <v>0</v>
      </c>
      <c r="Y60" s="1113">
        <v>0</v>
      </c>
      <c r="Z60" s="271">
        <v>2580</v>
      </c>
      <c r="AA60" s="271">
        <v>0</v>
      </c>
      <c r="AB60" s="271">
        <v>0</v>
      </c>
      <c r="AC60" s="271">
        <v>0</v>
      </c>
      <c r="AD60" s="271">
        <v>0</v>
      </c>
      <c r="AE60" s="271">
        <v>0</v>
      </c>
      <c r="AF60" s="271">
        <v>0</v>
      </c>
      <c r="AG60" s="271">
        <v>0</v>
      </c>
      <c r="AH60" s="271">
        <v>0</v>
      </c>
      <c r="AI60" s="271">
        <v>0</v>
      </c>
      <c r="AJ60" s="271">
        <v>0</v>
      </c>
      <c r="AK60" s="271">
        <v>0</v>
      </c>
      <c r="AL60" s="271">
        <v>0</v>
      </c>
      <c r="AM60" s="271">
        <v>0</v>
      </c>
      <c r="AN60" s="271">
        <v>0</v>
      </c>
      <c r="AO60" s="271">
        <v>0</v>
      </c>
      <c r="AP60" s="271">
        <v>0</v>
      </c>
      <c r="AQ60" s="271">
        <v>0</v>
      </c>
      <c r="AR60" s="271">
        <v>0</v>
      </c>
      <c r="AS60" s="271">
        <v>0</v>
      </c>
      <c r="AT60" s="271">
        <v>0</v>
      </c>
      <c r="AU60" s="271">
        <v>0</v>
      </c>
      <c r="AV60" s="271">
        <v>0</v>
      </c>
      <c r="AW60" s="271">
        <v>2202361</v>
      </c>
      <c r="AX60" s="271">
        <v>0</v>
      </c>
      <c r="AY60" s="271">
        <v>0</v>
      </c>
      <c r="AZ60" s="271">
        <v>0</v>
      </c>
      <c r="BA60" s="271">
        <v>0</v>
      </c>
      <c r="BB60" s="271">
        <v>0</v>
      </c>
      <c r="BC60" s="271">
        <v>0</v>
      </c>
      <c r="BD60" s="271">
        <v>0</v>
      </c>
      <c r="BE60" s="271">
        <v>0</v>
      </c>
      <c r="BF60" s="271">
        <v>0</v>
      </c>
      <c r="BG60" s="271">
        <v>0</v>
      </c>
      <c r="BH60" s="271">
        <v>0</v>
      </c>
      <c r="BI60" s="271">
        <v>0</v>
      </c>
      <c r="BJ60" s="271">
        <v>0</v>
      </c>
      <c r="BK60" s="271">
        <v>0</v>
      </c>
      <c r="BL60" s="271">
        <v>0</v>
      </c>
      <c r="BM60" s="271">
        <v>0</v>
      </c>
      <c r="BN60" s="271">
        <v>0</v>
      </c>
      <c r="BO60" s="271">
        <v>9703</v>
      </c>
      <c r="BP60" s="271">
        <v>0</v>
      </c>
      <c r="BQ60" s="271">
        <v>0</v>
      </c>
      <c r="BR60" s="271">
        <v>0</v>
      </c>
      <c r="BS60" s="271">
        <v>314680</v>
      </c>
      <c r="BT60" s="300">
        <v>0</v>
      </c>
      <c r="BU60" s="300">
        <v>0</v>
      </c>
      <c r="BV60" s="300">
        <v>0</v>
      </c>
      <c r="BW60" s="300">
        <v>0</v>
      </c>
      <c r="BX60" s="300">
        <v>0</v>
      </c>
      <c r="BY60" s="300">
        <v>0</v>
      </c>
      <c r="BZ60" s="300">
        <v>0</v>
      </c>
      <c r="CA60" s="300">
        <v>2191</v>
      </c>
      <c r="CB60" s="300">
        <v>0</v>
      </c>
      <c r="CC60" s="300">
        <v>0</v>
      </c>
      <c r="CD60" s="300">
        <v>0</v>
      </c>
      <c r="CE60" s="300">
        <v>0</v>
      </c>
    </row>
    <row r="61" spans="1:83" x14ac:dyDescent="0.3">
      <c r="A61" s="271">
        <v>101</v>
      </c>
      <c r="B61" s="271">
        <v>101</v>
      </c>
      <c r="C61" s="271" t="s">
        <v>250</v>
      </c>
      <c r="D61" s="271" t="s">
        <v>365</v>
      </c>
      <c r="E61" s="271">
        <v>0</v>
      </c>
      <c r="F61" s="271">
        <v>0</v>
      </c>
      <c r="G61" s="271">
        <v>0</v>
      </c>
      <c r="H61" s="1113">
        <v>0</v>
      </c>
      <c r="I61" s="271">
        <v>0</v>
      </c>
      <c r="J61" s="271">
        <v>0</v>
      </c>
      <c r="K61" s="271">
        <v>0</v>
      </c>
      <c r="L61" s="271">
        <v>0</v>
      </c>
      <c r="M61" s="1113">
        <v>54340</v>
      </c>
      <c r="N61" s="271">
        <v>0</v>
      </c>
      <c r="O61" s="271">
        <v>0</v>
      </c>
      <c r="P61" s="271">
        <v>0</v>
      </c>
      <c r="Q61" s="271">
        <v>0</v>
      </c>
      <c r="R61" s="271">
        <v>1715265</v>
      </c>
      <c r="S61" s="271">
        <v>0</v>
      </c>
      <c r="T61" s="271">
        <v>0</v>
      </c>
      <c r="U61" s="271">
        <v>0</v>
      </c>
      <c r="V61" s="271">
        <v>0</v>
      </c>
      <c r="W61" s="271">
        <v>0</v>
      </c>
      <c r="X61" s="271">
        <v>0</v>
      </c>
      <c r="Y61" s="1113">
        <v>0</v>
      </c>
      <c r="Z61" s="271">
        <v>0</v>
      </c>
      <c r="AA61" s="271">
        <v>0</v>
      </c>
      <c r="AB61" s="271">
        <v>0</v>
      </c>
      <c r="AC61" s="271">
        <v>0</v>
      </c>
      <c r="AD61" s="271">
        <v>0</v>
      </c>
      <c r="AE61" s="271">
        <v>0</v>
      </c>
      <c r="AF61" s="271">
        <v>0</v>
      </c>
      <c r="AG61" s="271">
        <v>3054630</v>
      </c>
      <c r="AH61" s="271">
        <v>0</v>
      </c>
      <c r="AI61" s="271">
        <v>0</v>
      </c>
      <c r="AJ61" s="271">
        <v>0</v>
      </c>
      <c r="AK61" s="271">
        <v>0</v>
      </c>
      <c r="AL61" s="271">
        <v>0</v>
      </c>
      <c r="AM61" s="271">
        <v>0</v>
      </c>
      <c r="AN61" s="1113">
        <v>0</v>
      </c>
      <c r="AO61" s="271">
        <v>0</v>
      </c>
      <c r="AP61" s="271">
        <v>0</v>
      </c>
      <c r="AQ61" s="271">
        <v>530279</v>
      </c>
      <c r="AR61" s="271">
        <v>0</v>
      </c>
      <c r="AS61" s="271">
        <v>0</v>
      </c>
      <c r="AT61" s="271">
        <v>0</v>
      </c>
      <c r="AU61" s="271">
        <v>0</v>
      </c>
      <c r="AV61" s="271">
        <v>0</v>
      </c>
      <c r="AW61" s="271">
        <v>14241548</v>
      </c>
      <c r="AX61" s="271">
        <v>0</v>
      </c>
      <c r="AY61" s="271">
        <v>0</v>
      </c>
      <c r="AZ61" s="271">
        <v>0</v>
      </c>
      <c r="BA61" s="271">
        <v>0</v>
      </c>
      <c r="BB61" s="271">
        <v>0</v>
      </c>
      <c r="BC61" s="271">
        <v>0</v>
      </c>
      <c r="BD61" s="271">
        <v>0</v>
      </c>
      <c r="BE61" s="271">
        <v>0</v>
      </c>
      <c r="BF61" s="271">
        <v>0</v>
      </c>
      <c r="BG61" s="271">
        <v>0</v>
      </c>
      <c r="BH61" s="271">
        <v>0</v>
      </c>
      <c r="BI61" s="271">
        <v>0</v>
      </c>
      <c r="BJ61" s="271">
        <v>0</v>
      </c>
      <c r="BK61" s="271">
        <v>0</v>
      </c>
      <c r="BL61" s="271">
        <v>0</v>
      </c>
      <c r="BM61" s="271">
        <v>0</v>
      </c>
      <c r="BN61" s="271">
        <v>0</v>
      </c>
      <c r="BO61" s="271">
        <v>56645</v>
      </c>
      <c r="BP61" s="271">
        <v>0</v>
      </c>
      <c r="BQ61" s="271">
        <v>3865559</v>
      </c>
      <c r="BR61" s="271">
        <v>0</v>
      </c>
      <c r="BS61" s="271">
        <v>0</v>
      </c>
      <c r="BT61" s="300">
        <v>0</v>
      </c>
      <c r="BU61" s="300">
        <v>0</v>
      </c>
      <c r="BV61" s="300">
        <v>0</v>
      </c>
      <c r="BW61" s="300">
        <v>0</v>
      </c>
      <c r="BX61" s="300">
        <v>0</v>
      </c>
      <c r="BY61" s="300">
        <v>0</v>
      </c>
      <c r="BZ61" s="300">
        <v>0</v>
      </c>
      <c r="CA61" s="300">
        <v>9897</v>
      </c>
      <c r="CB61" s="300">
        <v>0</v>
      </c>
      <c r="CC61" s="300">
        <v>0</v>
      </c>
      <c r="CD61" s="300">
        <v>0</v>
      </c>
      <c r="CE61" s="300">
        <v>3276502</v>
      </c>
    </row>
    <row r="62" spans="1:83" x14ac:dyDescent="0.3">
      <c r="A62" s="271">
        <v>102</v>
      </c>
      <c r="B62" s="271">
        <v>102</v>
      </c>
      <c r="C62" s="271" t="s">
        <v>269</v>
      </c>
      <c r="D62" s="271" t="s">
        <v>366</v>
      </c>
      <c r="E62" s="271">
        <v>95.26</v>
      </c>
      <c r="F62" s="271">
        <v>91.48</v>
      </c>
      <c r="G62" s="271">
        <v>99.23</v>
      </c>
      <c r="H62" s="271">
        <v>98.89</v>
      </c>
      <c r="I62" s="271">
        <v>99.17</v>
      </c>
      <c r="J62" s="271">
        <v>97.79</v>
      </c>
      <c r="K62" s="271">
        <v>100</v>
      </c>
      <c r="L62" s="271">
        <v>98.41</v>
      </c>
      <c r="M62" s="271">
        <v>95.99</v>
      </c>
      <c r="N62" s="271">
        <v>99.48</v>
      </c>
      <c r="O62" s="271">
        <v>100</v>
      </c>
      <c r="P62" s="271">
        <v>99.33</v>
      </c>
      <c r="Q62" s="271">
        <v>96.07</v>
      </c>
      <c r="R62" s="271">
        <v>99.19</v>
      </c>
      <c r="S62" s="271">
        <v>99.14</v>
      </c>
      <c r="T62" s="271">
        <v>98.05</v>
      </c>
      <c r="U62" s="271">
        <v>99.91</v>
      </c>
      <c r="V62" s="271">
        <v>99.47</v>
      </c>
      <c r="W62" s="271">
        <v>93.3</v>
      </c>
      <c r="X62" s="271">
        <v>96.09</v>
      </c>
      <c r="Y62" s="271">
        <v>98.69</v>
      </c>
      <c r="Z62" s="271">
        <v>95.09</v>
      </c>
      <c r="AA62" s="271">
        <v>99.78</v>
      </c>
      <c r="AB62" s="271">
        <v>0</v>
      </c>
      <c r="AC62" s="271">
        <v>94.02</v>
      </c>
      <c r="AD62" s="271">
        <v>99.71</v>
      </c>
      <c r="AE62" s="271">
        <v>90.31</v>
      </c>
      <c r="AF62" s="271">
        <v>0</v>
      </c>
      <c r="AG62" s="271">
        <v>99.08</v>
      </c>
      <c r="AH62" s="271">
        <v>95.86</v>
      </c>
      <c r="AI62" s="271">
        <v>94.1</v>
      </c>
      <c r="AJ62" s="271">
        <v>98.1</v>
      </c>
      <c r="AK62" s="271">
        <v>98.73</v>
      </c>
      <c r="AL62" s="271">
        <v>98.61</v>
      </c>
      <c r="AM62" s="271">
        <v>0</v>
      </c>
      <c r="AN62" s="271">
        <v>93.66</v>
      </c>
      <c r="AO62" s="271">
        <v>98.46</v>
      </c>
      <c r="AP62" s="271">
        <v>0</v>
      </c>
      <c r="AQ62" s="271">
        <v>97.47</v>
      </c>
      <c r="AR62" s="271">
        <v>98.7</v>
      </c>
      <c r="AS62" s="271">
        <v>95.98</v>
      </c>
      <c r="AT62" s="271">
        <v>94.48</v>
      </c>
      <c r="AU62" s="271">
        <v>92.61</v>
      </c>
      <c r="AV62" s="271">
        <v>99.26</v>
      </c>
      <c r="AW62" s="271">
        <v>99.66</v>
      </c>
      <c r="AX62" s="271">
        <v>94.89</v>
      </c>
      <c r="AY62" s="271">
        <v>98.71</v>
      </c>
      <c r="AZ62" s="271">
        <v>96.7</v>
      </c>
      <c r="BA62" s="271">
        <v>99.5</v>
      </c>
      <c r="BB62" s="271">
        <v>0</v>
      </c>
      <c r="BC62" s="271">
        <v>95.01</v>
      </c>
      <c r="BD62" s="271">
        <v>98.29</v>
      </c>
      <c r="BE62" s="271">
        <v>91.17</v>
      </c>
      <c r="BF62" s="271">
        <v>97.9</v>
      </c>
      <c r="BG62" s="271">
        <v>99.63</v>
      </c>
      <c r="BH62" s="271">
        <v>78.260000000000005</v>
      </c>
      <c r="BI62" s="271">
        <v>99.29</v>
      </c>
      <c r="BJ62" s="271">
        <v>98.57</v>
      </c>
      <c r="BK62" s="271">
        <v>96.92</v>
      </c>
      <c r="BL62" s="271">
        <v>0</v>
      </c>
      <c r="BM62" s="271">
        <v>96.47</v>
      </c>
      <c r="BN62" s="271">
        <v>98.42</v>
      </c>
      <c r="BO62" s="271">
        <v>94.51</v>
      </c>
      <c r="BP62" s="271">
        <v>98.6</v>
      </c>
      <c r="BQ62" s="271">
        <v>98.94</v>
      </c>
      <c r="BR62" s="271">
        <v>98.22</v>
      </c>
      <c r="BS62" s="271">
        <v>99.63</v>
      </c>
      <c r="BT62" s="300">
        <v>97.63</v>
      </c>
      <c r="BU62" s="300">
        <v>99.15</v>
      </c>
      <c r="BV62" s="300">
        <v>90.28</v>
      </c>
      <c r="BW62" s="300">
        <v>88.07</v>
      </c>
      <c r="BX62" s="300">
        <v>99.04</v>
      </c>
      <c r="BY62" s="300">
        <v>0</v>
      </c>
      <c r="BZ62" s="300">
        <v>99.97</v>
      </c>
      <c r="CA62" s="300">
        <v>99.92</v>
      </c>
      <c r="CB62" s="300">
        <v>99.57</v>
      </c>
      <c r="CC62" s="300">
        <v>95.29</v>
      </c>
      <c r="CD62" s="300">
        <v>95.75</v>
      </c>
      <c r="CE62" s="300">
        <v>99.7</v>
      </c>
    </row>
    <row r="63" spans="1:83" x14ac:dyDescent="0.3">
      <c r="A63" s="271">
        <v>103</v>
      </c>
      <c r="B63" s="271">
        <v>103</v>
      </c>
      <c r="C63" s="271" t="s">
        <v>270</v>
      </c>
      <c r="D63" s="271" t="s">
        <v>367</v>
      </c>
      <c r="E63" s="271">
        <v>100</v>
      </c>
      <c r="F63" s="271">
        <v>100</v>
      </c>
      <c r="G63" s="271">
        <v>100</v>
      </c>
      <c r="H63" s="271">
        <v>100</v>
      </c>
      <c r="I63" s="271">
        <v>99.91</v>
      </c>
      <c r="J63" s="271">
        <v>98.27</v>
      </c>
      <c r="K63" s="271">
        <v>100</v>
      </c>
      <c r="L63" s="271">
        <v>100</v>
      </c>
      <c r="M63" s="271">
        <v>100</v>
      </c>
      <c r="N63" s="271">
        <v>98.32</v>
      </c>
      <c r="O63" s="271">
        <v>100</v>
      </c>
      <c r="P63" s="271">
        <v>99.88</v>
      </c>
      <c r="Q63" s="271">
        <v>100</v>
      </c>
      <c r="R63" s="271">
        <v>100</v>
      </c>
      <c r="S63" s="271">
        <v>100</v>
      </c>
      <c r="T63" s="271">
        <v>100</v>
      </c>
      <c r="U63" s="271">
        <v>100</v>
      </c>
      <c r="V63" s="271">
        <v>100</v>
      </c>
      <c r="W63" s="271">
        <v>100</v>
      </c>
      <c r="X63" s="271">
        <v>99.48</v>
      </c>
      <c r="Y63" s="271">
        <v>100</v>
      </c>
      <c r="Z63" s="271">
        <v>100</v>
      </c>
      <c r="AA63" s="271">
        <v>100</v>
      </c>
      <c r="AB63" s="271">
        <v>0</v>
      </c>
      <c r="AC63" s="271">
        <v>100</v>
      </c>
      <c r="AD63" s="271">
        <v>100</v>
      </c>
      <c r="AE63" s="271">
        <v>100</v>
      </c>
      <c r="AF63" s="271">
        <v>0</v>
      </c>
      <c r="AG63" s="271">
        <v>99.39</v>
      </c>
      <c r="AH63" s="271">
        <v>99.87</v>
      </c>
      <c r="AI63" s="271">
        <v>100</v>
      </c>
      <c r="AJ63" s="271">
        <v>100</v>
      </c>
      <c r="AK63" s="271">
        <v>100</v>
      </c>
      <c r="AL63" s="271">
        <v>100</v>
      </c>
      <c r="AM63" s="271">
        <v>0</v>
      </c>
      <c r="AN63" s="271">
        <v>100</v>
      </c>
      <c r="AO63" s="271">
        <v>98.71</v>
      </c>
      <c r="AP63" s="271">
        <v>0</v>
      </c>
      <c r="AQ63" s="271">
        <v>100</v>
      </c>
      <c r="AR63" s="271">
        <v>100</v>
      </c>
      <c r="AS63" s="271">
        <v>100</v>
      </c>
      <c r="AT63" s="271">
        <v>100</v>
      </c>
      <c r="AU63" s="271">
        <v>100</v>
      </c>
      <c r="AV63" s="271">
        <v>99.75</v>
      </c>
      <c r="AW63" s="271">
        <v>100</v>
      </c>
      <c r="AX63" s="271">
        <v>100</v>
      </c>
      <c r="AY63" s="271">
        <v>100</v>
      </c>
      <c r="AZ63" s="271">
        <v>100</v>
      </c>
      <c r="BA63" s="271">
        <v>100</v>
      </c>
      <c r="BB63" s="271">
        <v>0</v>
      </c>
      <c r="BC63" s="271">
        <v>100</v>
      </c>
      <c r="BD63" s="271">
        <v>100</v>
      </c>
      <c r="BE63" s="271">
        <v>100</v>
      </c>
      <c r="BF63" s="271">
        <v>100</v>
      </c>
      <c r="BG63" s="271">
        <v>100</v>
      </c>
      <c r="BH63" s="271">
        <v>100</v>
      </c>
      <c r="BI63" s="271">
        <v>100</v>
      </c>
      <c r="BJ63" s="271">
        <v>98.91</v>
      </c>
      <c r="BK63" s="271">
        <v>100</v>
      </c>
      <c r="BL63" s="271">
        <v>0</v>
      </c>
      <c r="BM63" s="271">
        <v>100</v>
      </c>
      <c r="BN63" s="271">
        <v>99.82</v>
      </c>
      <c r="BO63" s="271">
        <v>100</v>
      </c>
      <c r="BP63" s="271">
        <v>100</v>
      </c>
      <c r="BQ63" s="271">
        <v>99.91</v>
      </c>
      <c r="BR63" s="271">
        <v>100</v>
      </c>
      <c r="BS63" s="271">
        <v>100</v>
      </c>
      <c r="BT63" s="300">
        <v>100</v>
      </c>
      <c r="BU63" s="300">
        <v>100</v>
      </c>
      <c r="BV63" s="300">
        <v>100</v>
      </c>
      <c r="BW63" s="300">
        <v>100</v>
      </c>
      <c r="BX63" s="300">
        <v>100</v>
      </c>
      <c r="BY63" s="300">
        <v>0</v>
      </c>
      <c r="BZ63" s="300">
        <v>99.48</v>
      </c>
      <c r="CA63" s="300">
        <v>100</v>
      </c>
      <c r="CB63" s="300">
        <v>98.28</v>
      </c>
      <c r="CC63" s="300">
        <v>100</v>
      </c>
      <c r="CD63" s="300">
        <v>100</v>
      </c>
      <c r="CE63" s="300">
        <v>100</v>
      </c>
    </row>
    <row r="64" spans="1:83" x14ac:dyDescent="0.3">
      <c r="A64" s="271"/>
      <c r="B64" s="271">
        <v>104</v>
      </c>
      <c r="C64" s="271" t="s">
        <v>368</v>
      </c>
      <c r="D64" s="271" t="s">
        <v>369</v>
      </c>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271"/>
      <c r="AF64" s="271"/>
      <c r="AG64" s="271"/>
      <c r="AH64" s="271"/>
      <c r="AI64" s="271"/>
      <c r="AJ64" s="271"/>
      <c r="AK64" s="271"/>
      <c r="AL64" s="271"/>
      <c r="AM64" s="271"/>
      <c r="AN64" s="271"/>
      <c r="AO64" s="271"/>
      <c r="AP64" s="271"/>
      <c r="AQ64" s="271"/>
      <c r="AR64" s="271"/>
      <c r="AS64" s="271"/>
      <c r="AT64" s="271"/>
      <c r="AU64" s="271"/>
      <c r="AV64" s="271"/>
      <c r="AW64" s="271"/>
      <c r="AX64" s="271"/>
      <c r="AY64" s="271"/>
      <c r="AZ64" s="271"/>
      <c r="BA64" s="271"/>
      <c r="BB64" s="271"/>
      <c r="BC64" s="271"/>
      <c r="BD64" s="271"/>
      <c r="BE64" s="271"/>
      <c r="BF64" s="271"/>
      <c r="BG64" s="271"/>
      <c r="BH64" s="271"/>
      <c r="BI64" s="271"/>
      <c r="BJ64" s="271"/>
      <c r="BK64" s="271"/>
      <c r="BL64" s="271"/>
      <c r="BM64" s="271"/>
      <c r="BN64" s="271"/>
      <c r="BO64" s="271"/>
      <c r="BP64" s="271"/>
      <c r="BQ64" s="271"/>
      <c r="BR64" s="271"/>
      <c r="BS64" s="271"/>
    </row>
    <row r="65" spans="1:83" x14ac:dyDescent="0.3">
      <c r="A65" s="271"/>
      <c r="B65" s="271">
        <v>107</v>
      </c>
      <c r="C65" s="271" t="s">
        <v>632</v>
      </c>
      <c r="D65" s="271" t="s">
        <v>370</v>
      </c>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1"/>
      <c r="AI65" s="271"/>
      <c r="AJ65" s="271"/>
      <c r="AK65" s="271"/>
      <c r="AL65" s="271"/>
      <c r="AM65" s="271"/>
      <c r="AN65" s="271"/>
      <c r="AO65" s="271"/>
      <c r="AP65" s="271"/>
      <c r="AQ65" s="271"/>
      <c r="AR65" s="271"/>
      <c r="AS65" s="271"/>
      <c r="AT65" s="271"/>
      <c r="AU65" s="271"/>
      <c r="AV65" s="271"/>
      <c r="AW65" s="271"/>
      <c r="AX65" s="271"/>
      <c r="AY65" s="271"/>
      <c r="AZ65" s="271"/>
      <c r="BA65" s="271"/>
      <c r="BB65" s="271"/>
      <c r="BC65" s="271"/>
      <c r="BD65" s="271"/>
      <c r="BE65" s="271"/>
      <c r="BF65" s="271"/>
      <c r="BG65" s="271"/>
      <c r="BH65" s="271"/>
      <c r="BI65" s="271"/>
      <c r="BJ65" s="271"/>
      <c r="BK65" s="271"/>
      <c r="BL65" s="271"/>
      <c r="BM65" s="271"/>
      <c r="BN65" s="271"/>
      <c r="BO65" s="271"/>
      <c r="BP65" s="271"/>
      <c r="BQ65" s="271"/>
      <c r="BR65" s="271"/>
      <c r="BS65" s="271"/>
    </row>
    <row r="66" spans="1:83" x14ac:dyDescent="0.3">
      <c r="A66" s="271"/>
      <c r="B66" s="271">
        <v>108</v>
      </c>
      <c r="C66" s="271" t="s">
        <v>633</v>
      </c>
      <c r="D66" s="271" t="s">
        <v>371</v>
      </c>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1"/>
      <c r="AI66" s="271"/>
      <c r="AJ66" s="271"/>
      <c r="AK66" s="271"/>
      <c r="AL66" s="271"/>
      <c r="AM66" s="271"/>
      <c r="AN66" s="271"/>
      <c r="AO66" s="271"/>
      <c r="AP66" s="271"/>
      <c r="AQ66" s="271"/>
      <c r="AR66" s="271"/>
      <c r="AS66" s="271"/>
      <c r="AT66" s="271"/>
      <c r="AU66" s="271"/>
      <c r="AV66" s="271"/>
      <c r="AW66" s="271"/>
      <c r="AX66" s="271"/>
      <c r="AY66" s="271"/>
      <c r="AZ66" s="271"/>
      <c r="BA66" s="271"/>
      <c r="BB66" s="271"/>
      <c r="BC66" s="271"/>
      <c r="BD66" s="271"/>
      <c r="BE66" s="271"/>
      <c r="BF66" s="271"/>
      <c r="BG66" s="271"/>
      <c r="BH66" s="271"/>
      <c r="BI66" s="271"/>
      <c r="BJ66" s="271"/>
      <c r="BK66" s="271"/>
      <c r="BL66" s="271"/>
      <c r="BM66" s="271"/>
      <c r="BN66" s="271"/>
      <c r="BO66" s="271"/>
      <c r="BP66" s="271"/>
      <c r="BQ66" s="271"/>
      <c r="BR66" s="271"/>
      <c r="BS66" s="271"/>
    </row>
    <row r="67" spans="1:83" x14ac:dyDescent="0.3">
      <c r="A67" s="271"/>
      <c r="B67" s="271">
        <v>147</v>
      </c>
      <c r="C67" s="271" t="s">
        <v>372</v>
      </c>
      <c r="D67" s="271" t="s">
        <v>373</v>
      </c>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1"/>
      <c r="AI67" s="271"/>
      <c r="AJ67" s="271"/>
      <c r="AK67" s="271"/>
      <c r="AL67" s="271"/>
      <c r="AM67" s="271"/>
      <c r="AN67" s="271"/>
      <c r="AO67" s="271"/>
      <c r="AP67" s="271"/>
      <c r="AQ67" s="271"/>
      <c r="AR67" s="271"/>
      <c r="AS67" s="271"/>
      <c r="AT67" s="271"/>
      <c r="AU67" s="271"/>
      <c r="AV67" s="271"/>
      <c r="AW67" s="271"/>
      <c r="AX67" s="271"/>
      <c r="AY67" s="271"/>
      <c r="AZ67" s="271"/>
      <c r="BA67" s="271"/>
      <c r="BB67" s="271"/>
      <c r="BC67" s="271"/>
      <c r="BD67" s="271"/>
      <c r="BE67" s="271"/>
      <c r="BF67" s="271"/>
      <c r="BG67" s="271"/>
      <c r="BH67" s="271"/>
      <c r="BI67" s="271"/>
      <c r="BJ67" s="271"/>
      <c r="BK67" s="271"/>
      <c r="BL67" s="271"/>
      <c r="BM67" s="271"/>
      <c r="BN67" s="271"/>
      <c r="BO67" s="271"/>
      <c r="BP67" s="271"/>
      <c r="BQ67" s="271"/>
      <c r="BR67" s="271"/>
      <c r="BS67" s="271"/>
    </row>
    <row r="68" spans="1:83" x14ac:dyDescent="0.3">
      <c r="A68" s="271"/>
      <c r="B68" s="271">
        <v>148</v>
      </c>
      <c r="C68" s="271" t="s">
        <v>374</v>
      </c>
      <c r="D68" s="271" t="s">
        <v>375</v>
      </c>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1"/>
      <c r="AG68" s="271"/>
      <c r="AH68" s="271"/>
      <c r="AI68" s="271"/>
      <c r="AJ68" s="271"/>
      <c r="AK68" s="271"/>
      <c r="AL68" s="271"/>
      <c r="AM68" s="271"/>
      <c r="AN68" s="271"/>
      <c r="AO68" s="271"/>
      <c r="AP68" s="271"/>
      <c r="AQ68" s="271"/>
      <c r="AR68" s="271"/>
      <c r="AS68" s="271"/>
      <c r="AT68" s="271"/>
      <c r="AU68" s="271"/>
      <c r="AV68" s="271"/>
      <c r="AW68" s="271"/>
      <c r="AX68" s="271"/>
      <c r="AY68" s="271"/>
      <c r="AZ68" s="271"/>
      <c r="BA68" s="271"/>
      <c r="BB68" s="271"/>
      <c r="BC68" s="271"/>
      <c r="BD68" s="271"/>
      <c r="BE68" s="271"/>
      <c r="BF68" s="271"/>
      <c r="BG68" s="271"/>
      <c r="BH68" s="271"/>
      <c r="BI68" s="271"/>
      <c r="BJ68" s="271"/>
      <c r="BK68" s="271"/>
      <c r="BL68" s="271"/>
      <c r="BM68" s="271"/>
      <c r="BN68" s="271"/>
      <c r="BO68" s="271"/>
      <c r="BP68" s="271"/>
      <c r="BQ68" s="271"/>
      <c r="BR68" s="271"/>
      <c r="BS68" s="271"/>
    </row>
    <row r="69" spans="1:83" x14ac:dyDescent="0.3">
      <c r="A69" s="271"/>
      <c r="B69" s="271">
        <v>149</v>
      </c>
      <c r="C69" s="271" t="s">
        <v>376</v>
      </c>
      <c r="D69" s="271" t="s">
        <v>377</v>
      </c>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1"/>
      <c r="AI69" s="271"/>
      <c r="AJ69" s="271"/>
      <c r="AK69" s="271"/>
      <c r="AL69" s="271"/>
      <c r="AM69" s="271"/>
      <c r="AN69" s="271"/>
      <c r="AO69" s="271"/>
      <c r="AP69" s="271"/>
      <c r="AQ69" s="271"/>
      <c r="AR69" s="271"/>
      <c r="AS69" s="271"/>
      <c r="AT69" s="271"/>
      <c r="AU69" s="271"/>
      <c r="AV69" s="271"/>
      <c r="AW69" s="271"/>
      <c r="AX69" s="271"/>
      <c r="AY69" s="271"/>
      <c r="AZ69" s="271"/>
      <c r="BA69" s="271"/>
      <c r="BB69" s="271"/>
      <c r="BC69" s="271"/>
      <c r="BD69" s="271"/>
      <c r="BE69" s="271"/>
      <c r="BF69" s="271"/>
      <c r="BG69" s="271"/>
      <c r="BH69" s="271"/>
      <c r="BI69" s="271"/>
      <c r="BJ69" s="271"/>
      <c r="BK69" s="271"/>
      <c r="BL69" s="271"/>
      <c r="BM69" s="271"/>
      <c r="BN69" s="271"/>
      <c r="BO69" s="271"/>
      <c r="BP69" s="271"/>
      <c r="BQ69" s="271"/>
      <c r="BR69" s="271"/>
      <c r="BS69" s="271"/>
    </row>
    <row r="70" spans="1:83" x14ac:dyDescent="0.3">
      <c r="A70" s="271"/>
      <c r="B70" s="271">
        <v>150</v>
      </c>
      <c r="C70" s="271" t="s">
        <v>378</v>
      </c>
      <c r="D70" s="271" t="s">
        <v>379</v>
      </c>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c r="AE70" s="271"/>
      <c r="AF70" s="271"/>
      <c r="AG70" s="271"/>
      <c r="AH70" s="271"/>
      <c r="AI70" s="271"/>
      <c r="AJ70" s="271"/>
      <c r="AK70" s="271"/>
      <c r="AL70" s="271"/>
      <c r="AM70" s="271"/>
      <c r="AN70" s="271"/>
      <c r="AO70" s="271"/>
      <c r="AP70" s="271"/>
      <c r="AQ70" s="271"/>
      <c r="AR70" s="271"/>
      <c r="AS70" s="271"/>
      <c r="AT70" s="271"/>
      <c r="AU70" s="271"/>
      <c r="AV70" s="271"/>
      <c r="AW70" s="271"/>
      <c r="AX70" s="271"/>
      <c r="AY70" s="271"/>
      <c r="AZ70" s="271"/>
      <c r="BA70" s="271"/>
      <c r="BB70" s="271"/>
      <c r="BC70" s="271"/>
      <c r="BD70" s="271"/>
      <c r="BE70" s="271"/>
      <c r="BF70" s="271"/>
      <c r="BG70" s="271"/>
      <c r="BH70" s="271"/>
      <c r="BI70" s="271"/>
      <c r="BJ70" s="271"/>
      <c r="BK70" s="271"/>
      <c r="BL70" s="271"/>
      <c r="BM70" s="271"/>
      <c r="BN70" s="271"/>
      <c r="BO70" s="271"/>
      <c r="BP70" s="271"/>
      <c r="BQ70" s="271"/>
      <c r="BR70" s="271"/>
      <c r="BS70" s="271"/>
    </row>
    <row r="71" spans="1:83" x14ac:dyDescent="0.3">
      <c r="A71" s="271">
        <v>171</v>
      </c>
      <c r="B71" s="271">
        <v>171</v>
      </c>
      <c r="C71" s="271" t="s">
        <v>217</v>
      </c>
      <c r="D71" s="271" t="s">
        <v>380</v>
      </c>
      <c r="E71" s="1113">
        <v>27242</v>
      </c>
      <c r="F71" s="1113">
        <v>0</v>
      </c>
      <c r="G71" s="271">
        <v>0</v>
      </c>
      <c r="H71" s="1113">
        <v>0</v>
      </c>
      <c r="I71" s="271">
        <v>39629</v>
      </c>
      <c r="J71" s="1113">
        <v>0</v>
      </c>
      <c r="K71" s="1113">
        <v>0</v>
      </c>
      <c r="L71" s="271">
        <v>0</v>
      </c>
      <c r="M71" s="1113">
        <v>80021</v>
      </c>
      <c r="N71" s="271">
        <v>11439713</v>
      </c>
      <c r="O71" s="1113">
        <v>0</v>
      </c>
      <c r="P71" s="271">
        <v>610528</v>
      </c>
      <c r="Q71" s="1113">
        <v>0</v>
      </c>
      <c r="R71" s="1113">
        <v>222563</v>
      </c>
      <c r="S71" s="271">
        <v>0</v>
      </c>
      <c r="T71" s="1113">
        <v>14778</v>
      </c>
      <c r="U71" s="1113">
        <v>70257</v>
      </c>
      <c r="V71" s="1113">
        <v>807988</v>
      </c>
      <c r="W71" s="271">
        <v>267546</v>
      </c>
      <c r="X71" s="271">
        <v>168786</v>
      </c>
      <c r="Y71" s="1113">
        <v>0</v>
      </c>
      <c r="Z71" s="271">
        <v>133263</v>
      </c>
      <c r="AA71" s="1113">
        <v>1776784</v>
      </c>
      <c r="AB71" s="1113">
        <v>0</v>
      </c>
      <c r="AC71" s="1113">
        <v>4809</v>
      </c>
      <c r="AD71" s="1113">
        <v>3773106</v>
      </c>
      <c r="AE71" s="271">
        <v>0</v>
      </c>
      <c r="AF71" s="1113">
        <v>0</v>
      </c>
      <c r="AG71" s="271">
        <v>4752803</v>
      </c>
      <c r="AH71" s="1113">
        <v>0</v>
      </c>
      <c r="AI71" s="1113">
        <v>0</v>
      </c>
      <c r="AJ71" s="1113">
        <v>280527</v>
      </c>
      <c r="AK71" s="1113">
        <v>0</v>
      </c>
      <c r="AL71" s="271">
        <v>0</v>
      </c>
      <c r="AM71" s="271">
        <v>0</v>
      </c>
      <c r="AN71" s="1113">
        <v>0</v>
      </c>
      <c r="AO71" s="271">
        <v>0</v>
      </c>
      <c r="AP71" s="1113">
        <v>0</v>
      </c>
      <c r="AQ71" s="271">
        <v>87959</v>
      </c>
      <c r="AR71" s="1113">
        <v>59166</v>
      </c>
      <c r="AS71" s="1113">
        <v>0</v>
      </c>
      <c r="AT71" s="1113">
        <v>16924</v>
      </c>
      <c r="AU71" s="271">
        <v>0</v>
      </c>
      <c r="AV71" s="271">
        <v>26241704</v>
      </c>
      <c r="AW71" s="1113">
        <v>5315068</v>
      </c>
      <c r="AX71" s="1113">
        <v>142859</v>
      </c>
      <c r="AY71" s="1113">
        <v>0</v>
      </c>
      <c r="AZ71" s="271">
        <v>0</v>
      </c>
      <c r="BA71" s="271">
        <v>2075</v>
      </c>
      <c r="BB71" s="1113">
        <v>0</v>
      </c>
      <c r="BC71" s="1113">
        <v>134941</v>
      </c>
      <c r="BD71" s="271">
        <v>0</v>
      </c>
      <c r="BE71" s="271">
        <v>0</v>
      </c>
      <c r="BF71" s="1113">
        <v>0</v>
      </c>
      <c r="BG71" s="271">
        <v>975053</v>
      </c>
      <c r="BH71" s="1113">
        <v>0</v>
      </c>
      <c r="BI71" s="1113">
        <v>341379</v>
      </c>
      <c r="BJ71" s="271">
        <v>86493</v>
      </c>
      <c r="BK71" s="1113">
        <v>11550</v>
      </c>
      <c r="BL71" s="271">
        <v>0</v>
      </c>
      <c r="BM71" s="271">
        <v>564641</v>
      </c>
      <c r="BN71" s="271">
        <v>869017</v>
      </c>
      <c r="BO71" s="271">
        <v>96401</v>
      </c>
      <c r="BP71" s="1113">
        <v>1034050</v>
      </c>
      <c r="BQ71" s="1113">
        <v>9657959</v>
      </c>
      <c r="BR71" s="1113">
        <v>62299</v>
      </c>
      <c r="BS71" s="1113">
        <v>66239</v>
      </c>
      <c r="BT71" s="300">
        <v>181922</v>
      </c>
      <c r="BU71" s="300">
        <v>1164783</v>
      </c>
      <c r="BV71" s="300">
        <v>3148</v>
      </c>
      <c r="BW71" s="300">
        <v>0</v>
      </c>
      <c r="BX71" s="300">
        <v>1707468</v>
      </c>
      <c r="BY71" s="300">
        <v>0</v>
      </c>
      <c r="BZ71" s="300">
        <v>4539381</v>
      </c>
      <c r="CA71" s="300">
        <v>11414</v>
      </c>
      <c r="CB71" s="300">
        <v>1140181</v>
      </c>
      <c r="CC71" s="300">
        <v>140395</v>
      </c>
      <c r="CD71" s="300">
        <v>68059</v>
      </c>
      <c r="CE71" s="300">
        <v>4676379</v>
      </c>
    </row>
    <row r="72" spans="1:83" x14ac:dyDescent="0.3">
      <c r="A72" s="271">
        <v>191</v>
      </c>
      <c r="B72" s="271">
        <v>191</v>
      </c>
      <c r="C72" s="271" t="s">
        <v>233</v>
      </c>
      <c r="D72" s="271" t="s">
        <v>381</v>
      </c>
      <c r="E72" s="271">
        <v>107909</v>
      </c>
      <c r="F72" s="271">
        <v>463111</v>
      </c>
      <c r="G72" s="271">
        <v>0</v>
      </c>
      <c r="H72" s="271">
        <v>357848</v>
      </c>
      <c r="I72" s="271">
        <v>0</v>
      </c>
      <c r="J72" s="1113">
        <v>0</v>
      </c>
      <c r="K72" s="271">
        <v>0</v>
      </c>
      <c r="L72" s="271">
        <v>0</v>
      </c>
      <c r="M72" s="1113">
        <v>755016</v>
      </c>
      <c r="N72" s="271">
        <v>0</v>
      </c>
      <c r="O72" s="271">
        <v>0</v>
      </c>
      <c r="P72" s="271">
        <v>0</v>
      </c>
      <c r="Q72" s="271">
        <v>625413</v>
      </c>
      <c r="R72" s="1113">
        <v>0</v>
      </c>
      <c r="S72" s="271">
        <v>0</v>
      </c>
      <c r="T72" s="271">
        <v>740646</v>
      </c>
      <c r="U72" s="271">
        <v>0</v>
      </c>
      <c r="V72" s="1113">
        <v>0</v>
      </c>
      <c r="W72" s="1113">
        <v>0</v>
      </c>
      <c r="X72" s="271">
        <v>0</v>
      </c>
      <c r="Y72" s="271">
        <v>40066</v>
      </c>
      <c r="Z72" s="271">
        <v>451486</v>
      </c>
      <c r="AA72" s="1113">
        <v>4342950</v>
      </c>
      <c r="AB72" s="1113">
        <v>0</v>
      </c>
      <c r="AC72" s="1113">
        <v>79159</v>
      </c>
      <c r="AD72" s="271">
        <v>0</v>
      </c>
      <c r="AE72" s="271">
        <v>0</v>
      </c>
      <c r="AF72" s="271">
        <v>0</v>
      </c>
      <c r="AG72" s="271">
        <v>2991748</v>
      </c>
      <c r="AH72" s="1113">
        <v>0</v>
      </c>
      <c r="AI72" s="271">
        <v>0</v>
      </c>
      <c r="AJ72" s="271">
        <v>0</v>
      </c>
      <c r="AK72" s="1113">
        <v>0</v>
      </c>
      <c r="AL72" s="271">
        <v>0</v>
      </c>
      <c r="AM72" s="271">
        <v>0</v>
      </c>
      <c r="AN72" s="1113">
        <v>0</v>
      </c>
      <c r="AO72" s="271">
        <v>0</v>
      </c>
      <c r="AP72" s="271">
        <v>0</v>
      </c>
      <c r="AQ72" s="271">
        <v>0</v>
      </c>
      <c r="AR72" s="1113">
        <v>0</v>
      </c>
      <c r="AS72" s="271">
        <v>0</v>
      </c>
      <c r="AT72" s="271">
        <v>0</v>
      </c>
      <c r="AU72" s="271">
        <v>266390</v>
      </c>
      <c r="AV72" s="271">
        <v>762218</v>
      </c>
      <c r="AW72" s="1113">
        <v>1827521</v>
      </c>
      <c r="AX72" s="1113">
        <v>0</v>
      </c>
      <c r="AY72" s="271">
        <v>0</v>
      </c>
      <c r="AZ72" s="271">
        <v>0</v>
      </c>
      <c r="BA72" s="271">
        <v>0</v>
      </c>
      <c r="BB72" s="271">
        <v>0</v>
      </c>
      <c r="BC72" s="271">
        <v>0</v>
      </c>
      <c r="BD72" s="271">
        <v>0</v>
      </c>
      <c r="BE72" s="271">
        <v>0</v>
      </c>
      <c r="BF72" s="271">
        <v>0</v>
      </c>
      <c r="BG72" s="271">
        <v>1856425</v>
      </c>
      <c r="BH72" s="271">
        <v>0</v>
      </c>
      <c r="BI72" s="271">
        <v>0</v>
      </c>
      <c r="BJ72" s="271">
        <v>0</v>
      </c>
      <c r="BK72" s="1113">
        <v>0</v>
      </c>
      <c r="BL72" s="271">
        <v>0</v>
      </c>
      <c r="BM72" s="1113">
        <v>1959535</v>
      </c>
      <c r="BN72" s="1113">
        <v>996798</v>
      </c>
      <c r="BO72" s="271">
        <v>0</v>
      </c>
      <c r="BP72" s="271">
        <v>152493</v>
      </c>
      <c r="BQ72" s="271">
        <v>606109</v>
      </c>
      <c r="BR72" s="1113">
        <v>0</v>
      </c>
      <c r="BS72" s="271">
        <v>29150</v>
      </c>
      <c r="BT72" s="300">
        <v>0</v>
      </c>
      <c r="BU72" s="300">
        <v>0</v>
      </c>
      <c r="BV72" s="300">
        <v>0</v>
      </c>
      <c r="BW72" s="300">
        <v>0</v>
      </c>
      <c r="BX72" s="300">
        <v>0</v>
      </c>
      <c r="BY72" s="300">
        <v>0</v>
      </c>
      <c r="BZ72" s="300">
        <v>4753170</v>
      </c>
      <c r="CA72" s="300">
        <v>0</v>
      </c>
      <c r="CB72" s="300">
        <v>0</v>
      </c>
      <c r="CC72" s="300">
        <v>0</v>
      </c>
      <c r="CD72" s="300">
        <v>0</v>
      </c>
      <c r="CE72" s="300">
        <v>0</v>
      </c>
    </row>
    <row r="73" spans="1:83" x14ac:dyDescent="0.3">
      <c r="A73" s="271">
        <v>192</v>
      </c>
      <c r="B73" s="271">
        <v>192</v>
      </c>
      <c r="C73" s="271" t="s">
        <v>244</v>
      </c>
      <c r="D73" s="271" t="s">
        <v>382</v>
      </c>
      <c r="E73" s="271">
        <v>0</v>
      </c>
      <c r="F73" s="271">
        <v>0</v>
      </c>
      <c r="G73" s="271">
        <v>0</v>
      </c>
      <c r="H73" s="1113">
        <v>0</v>
      </c>
      <c r="I73" s="271">
        <v>0</v>
      </c>
      <c r="J73" s="271">
        <v>0</v>
      </c>
      <c r="K73" s="271">
        <v>0</v>
      </c>
      <c r="L73" s="271">
        <v>0</v>
      </c>
      <c r="M73" s="271">
        <v>0</v>
      </c>
      <c r="N73" s="271">
        <v>0</v>
      </c>
      <c r="O73" s="271">
        <v>0</v>
      </c>
      <c r="P73" s="271">
        <v>0</v>
      </c>
      <c r="Q73" s="271">
        <v>0</v>
      </c>
      <c r="R73" s="271">
        <v>0</v>
      </c>
      <c r="S73" s="271">
        <v>0</v>
      </c>
      <c r="T73" s="271">
        <v>0</v>
      </c>
      <c r="U73" s="271">
        <v>0</v>
      </c>
      <c r="V73" s="271">
        <v>0</v>
      </c>
      <c r="W73" s="271">
        <v>0</v>
      </c>
      <c r="X73" s="271">
        <v>0</v>
      </c>
      <c r="Y73" s="271">
        <v>0</v>
      </c>
      <c r="Z73" s="271">
        <v>0</v>
      </c>
      <c r="AA73" s="271">
        <v>0</v>
      </c>
      <c r="AB73" s="271">
        <v>0</v>
      </c>
      <c r="AC73" s="271">
        <v>0</v>
      </c>
      <c r="AD73" s="271">
        <v>0</v>
      </c>
      <c r="AE73" s="271">
        <v>0</v>
      </c>
      <c r="AF73" s="271">
        <v>0</v>
      </c>
      <c r="AG73" s="271">
        <v>15000</v>
      </c>
      <c r="AH73" s="271">
        <v>0</v>
      </c>
      <c r="AI73" s="271">
        <v>0</v>
      </c>
      <c r="AJ73" s="271">
        <v>0</v>
      </c>
      <c r="AK73" s="271">
        <v>0</v>
      </c>
      <c r="AL73" s="271">
        <v>0</v>
      </c>
      <c r="AM73" s="271">
        <v>0</v>
      </c>
      <c r="AN73" s="271">
        <v>0</v>
      </c>
      <c r="AO73" s="271">
        <v>0</v>
      </c>
      <c r="AP73" s="271">
        <v>0</v>
      </c>
      <c r="AQ73" s="271">
        <v>0</v>
      </c>
      <c r="AR73" s="271">
        <v>0</v>
      </c>
      <c r="AS73" s="271">
        <v>0</v>
      </c>
      <c r="AT73" s="271">
        <v>0</v>
      </c>
      <c r="AU73" s="271">
        <v>0</v>
      </c>
      <c r="AV73" s="271">
        <v>0</v>
      </c>
      <c r="AW73" s="271">
        <v>0</v>
      </c>
      <c r="AX73" s="271">
        <v>0</v>
      </c>
      <c r="AY73" s="271">
        <v>0</v>
      </c>
      <c r="AZ73" s="271">
        <v>0</v>
      </c>
      <c r="BA73" s="271">
        <v>0</v>
      </c>
      <c r="BB73" s="271">
        <v>0</v>
      </c>
      <c r="BC73" s="271">
        <v>0</v>
      </c>
      <c r="BD73" s="271">
        <v>0</v>
      </c>
      <c r="BE73" s="271">
        <v>0</v>
      </c>
      <c r="BF73" s="271">
        <v>0</v>
      </c>
      <c r="BG73" s="271">
        <v>0</v>
      </c>
      <c r="BH73" s="271">
        <v>0</v>
      </c>
      <c r="BI73" s="271">
        <v>0</v>
      </c>
      <c r="BJ73" s="271">
        <v>0</v>
      </c>
      <c r="BK73" s="271">
        <v>0</v>
      </c>
      <c r="BL73" s="271">
        <v>0</v>
      </c>
      <c r="BM73" s="271">
        <v>0</v>
      </c>
      <c r="BN73" s="271">
        <v>0</v>
      </c>
      <c r="BO73" s="271">
        <v>0</v>
      </c>
      <c r="BP73" s="271">
        <v>0</v>
      </c>
      <c r="BQ73" s="271">
        <v>0</v>
      </c>
      <c r="BR73" s="271">
        <v>0</v>
      </c>
      <c r="BS73" s="271">
        <v>0</v>
      </c>
      <c r="BT73" s="300">
        <v>0</v>
      </c>
      <c r="BU73" s="300">
        <v>0</v>
      </c>
      <c r="BV73" s="300">
        <v>0</v>
      </c>
      <c r="BW73" s="300">
        <v>0</v>
      </c>
      <c r="BX73" s="300">
        <v>0</v>
      </c>
      <c r="BY73" s="300">
        <v>0</v>
      </c>
      <c r="BZ73" s="300">
        <v>0</v>
      </c>
      <c r="CA73" s="300">
        <v>0</v>
      </c>
      <c r="CB73" s="300">
        <v>0</v>
      </c>
      <c r="CC73" s="300">
        <v>0</v>
      </c>
      <c r="CD73" s="300">
        <v>0</v>
      </c>
      <c r="CE73" s="300">
        <v>0</v>
      </c>
    </row>
    <row r="74" spans="1:83" x14ac:dyDescent="0.3">
      <c r="A74" s="271"/>
      <c r="B74" s="271">
        <v>193</v>
      </c>
      <c r="C74" s="271" t="s">
        <v>383</v>
      </c>
      <c r="D74" s="271" t="s">
        <v>384</v>
      </c>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c r="AE74" s="271"/>
      <c r="AF74" s="271"/>
      <c r="AG74" s="271"/>
      <c r="AH74" s="271"/>
      <c r="AI74" s="271"/>
      <c r="AJ74" s="271"/>
      <c r="AK74" s="271"/>
      <c r="AL74" s="271"/>
      <c r="AM74" s="271"/>
      <c r="AN74" s="271"/>
      <c r="AO74" s="271"/>
      <c r="AP74" s="271"/>
      <c r="AQ74" s="271"/>
      <c r="AR74" s="271"/>
      <c r="AS74" s="271"/>
      <c r="AT74" s="271"/>
      <c r="AU74" s="271"/>
      <c r="AV74" s="271"/>
      <c r="AW74" s="271"/>
      <c r="AX74" s="271"/>
      <c r="AY74" s="271"/>
      <c r="AZ74" s="271"/>
      <c r="BA74" s="271"/>
      <c r="BB74" s="271"/>
      <c r="BC74" s="271"/>
      <c r="BD74" s="271"/>
      <c r="BE74" s="271"/>
      <c r="BF74" s="271"/>
      <c r="BG74" s="271"/>
      <c r="BH74" s="271"/>
      <c r="BI74" s="271"/>
      <c r="BJ74" s="271"/>
      <c r="BK74" s="271"/>
      <c r="BL74" s="271"/>
      <c r="BM74" s="271"/>
      <c r="BN74" s="271"/>
      <c r="BO74" s="271"/>
      <c r="BP74" s="271"/>
      <c r="BQ74" s="271"/>
      <c r="BR74" s="271"/>
      <c r="BS74" s="271"/>
    </row>
    <row r="75" spans="1:83" x14ac:dyDescent="0.3">
      <c r="A75" s="271"/>
      <c r="B75" s="271">
        <v>194</v>
      </c>
      <c r="C75" s="271" t="s">
        <v>385</v>
      </c>
      <c r="D75" s="271" t="s">
        <v>386</v>
      </c>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c r="AE75" s="271"/>
      <c r="AF75" s="271"/>
      <c r="AG75" s="271"/>
      <c r="AH75" s="271"/>
      <c r="AI75" s="271"/>
      <c r="AJ75" s="271"/>
      <c r="AK75" s="271"/>
      <c r="AL75" s="271"/>
      <c r="AM75" s="271"/>
      <c r="AN75" s="271"/>
      <c r="AO75" s="271"/>
      <c r="AP75" s="271"/>
      <c r="AQ75" s="271"/>
      <c r="AR75" s="271"/>
      <c r="AS75" s="271"/>
      <c r="AT75" s="271"/>
      <c r="AU75" s="271"/>
      <c r="AV75" s="271"/>
      <c r="AW75" s="271"/>
      <c r="AX75" s="271"/>
      <c r="AY75" s="271"/>
      <c r="AZ75" s="271"/>
      <c r="BA75" s="271"/>
      <c r="BB75" s="271"/>
      <c r="BC75" s="271"/>
      <c r="BD75" s="271"/>
      <c r="BE75" s="271"/>
      <c r="BF75" s="271"/>
      <c r="BG75" s="271"/>
      <c r="BH75" s="271"/>
      <c r="BI75" s="271"/>
      <c r="BJ75" s="271"/>
      <c r="BK75" s="271"/>
      <c r="BL75" s="271"/>
      <c r="BM75" s="271"/>
      <c r="BN75" s="271"/>
      <c r="BO75" s="271"/>
      <c r="BP75" s="271"/>
      <c r="BQ75" s="271"/>
      <c r="BR75" s="271"/>
      <c r="BS75" s="271"/>
    </row>
    <row r="76" spans="1:83" x14ac:dyDescent="0.3">
      <c r="A76" s="271"/>
      <c r="B76" s="271">
        <v>231</v>
      </c>
      <c r="C76" s="271" t="s">
        <v>387</v>
      </c>
      <c r="D76" s="271" t="s">
        <v>388</v>
      </c>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c r="AF76" s="271"/>
      <c r="AG76" s="271"/>
      <c r="AH76" s="271"/>
      <c r="AI76" s="271"/>
      <c r="AJ76" s="271"/>
      <c r="AK76" s="271"/>
      <c r="AL76" s="271"/>
      <c r="AM76" s="271"/>
      <c r="AN76" s="271"/>
      <c r="AO76" s="271"/>
      <c r="AP76" s="271"/>
      <c r="AQ76" s="271"/>
      <c r="AR76" s="271"/>
      <c r="AS76" s="271"/>
      <c r="AT76" s="271"/>
      <c r="AU76" s="271"/>
      <c r="AV76" s="271"/>
      <c r="AW76" s="271"/>
      <c r="AX76" s="271"/>
      <c r="AY76" s="271"/>
      <c r="AZ76" s="271"/>
      <c r="BA76" s="271"/>
      <c r="BB76" s="271"/>
      <c r="BC76" s="271"/>
      <c r="BD76" s="271"/>
      <c r="BE76" s="271"/>
      <c r="BF76" s="271"/>
      <c r="BG76" s="271"/>
      <c r="BH76" s="271"/>
      <c r="BI76" s="271"/>
      <c r="BJ76" s="271"/>
      <c r="BK76" s="271"/>
      <c r="BL76" s="271"/>
      <c r="BM76" s="271"/>
      <c r="BN76" s="271"/>
      <c r="BO76" s="271"/>
      <c r="BP76" s="271"/>
      <c r="BQ76" s="271"/>
      <c r="BR76" s="271"/>
      <c r="BS76" s="271"/>
    </row>
    <row r="77" spans="1:83" x14ac:dyDescent="0.3">
      <c r="A77" s="271"/>
      <c r="B77" s="271">
        <v>251</v>
      </c>
      <c r="C77" s="271" t="s">
        <v>389</v>
      </c>
      <c r="D77" s="271" t="s">
        <v>390</v>
      </c>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271"/>
      <c r="AF77" s="271"/>
      <c r="AG77" s="271"/>
      <c r="AH77" s="271"/>
      <c r="AI77" s="271"/>
      <c r="AJ77" s="271"/>
      <c r="AK77" s="271"/>
      <c r="AL77" s="271"/>
      <c r="AM77" s="271"/>
      <c r="AN77" s="271"/>
      <c r="AO77" s="271"/>
      <c r="AP77" s="271"/>
      <c r="AQ77" s="271"/>
      <c r="AR77" s="271"/>
      <c r="AS77" s="271"/>
      <c r="AT77" s="271"/>
      <c r="AU77" s="271"/>
      <c r="AV77" s="271"/>
      <c r="AW77" s="271"/>
      <c r="AX77" s="271"/>
      <c r="AY77" s="271"/>
      <c r="AZ77" s="271"/>
      <c r="BA77" s="271"/>
      <c r="BB77" s="271"/>
      <c r="BC77" s="271"/>
      <c r="BD77" s="271"/>
      <c r="BE77" s="271"/>
      <c r="BF77" s="271"/>
      <c r="BG77" s="271"/>
      <c r="BH77" s="271"/>
      <c r="BI77" s="271"/>
      <c r="BJ77" s="271"/>
      <c r="BK77" s="271"/>
      <c r="BL77" s="271"/>
      <c r="BM77" s="271"/>
      <c r="BN77" s="271"/>
      <c r="BO77" s="271"/>
      <c r="BP77" s="271"/>
      <c r="BQ77" s="271"/>
      <c r="BR77" s="271"/>
      <c r="BS77" s="271"/>
    </row>
    <row r="78" spans="1:83" x14ac:dyDescent="0.3">
      <c r="A78" s="271">
        <v>252</v>
      </c>
      <c r="B78" s="271">
        <v>252</v>
      </c>
      <c r="C78" s="271" t="s">
        <v>103</v>
      </c>
      <c r="D78" s="271" t="s">
        <v>391</v>
      </c>
      <c r="E78" s="1113">
        <v>1748734</v>
      </c>
      <c r="F78" s="1113">
        <v>780087</v>
      </c>
      <c r="G78" s="1113">
        <v>1446728</v>
      </c>
      <c r="H78" s="1113">
        <v>679171</v>
      </c>
      <c r="I78" s="1113">
        <v>364766</v>
      </c>
      <c r="J78" s="1113">
        <v>344431</v>
      </c>
      <c r="K78" s="1113">
        <v>76841</v>
      </c>
      <c r="L78" s="1113">
        <v>63903</v>
      </c>
      <c r="M78" s="1113">
        <v>6446135</v>
      </c>
      <c r="N78" s="1113">
        <v>333857014</v>
      </c>
      <c r="O78" s="1113">
        <v>4017073</v>
      </c>
      <c r="P78" s="1113">
        <v>10948080</v>
      </c>
      <c r="Q78" s="1113">
        <v>777828</v>
      </c>
      <c r="R78" s="1113">
        <v>20591967</v>
      </c>
      <c r="S78" s="271">
        <v>198703</v>
      </c>
      <c r="T78" s="1113">
        <v>5044</v>
      </c>
      <c r="U78" s="1113">
        <v>353126</v>
      </c>
      <c r="V78" s="1113">
        <v>1285948</v>
      </c>
      <c r="W78" s="1113">
        <v>5332070</v>
      </c>
      <c r="X78" s="1113">
        <v>789171</v>
      </c>
      <c r="Y78" s="1113">
        <v>683480</v>
      </c>
      <c r="Z78" s="1113">
        <v>426471</v>
      </c>
      <c r="AA78" s="1113">
        <v>82138039</v>
      </c>
      <c r="AB78" s="1113">
        <v>1252466</v>
      </c>
      <c r="AC78" s="1113">
        <v>109825</v>
      </c>
      <c r="AD78" s="1113">
        <v>63713621</v>
      </c>
      <c r="AE78" s="1113">
        <v>263651</v>
      </c>
      <c r="AF78" s="1113">
        <v>0</v>
      </c>
      <c r="AG78" s="1113">
        <v>120872426</v>
      </c>
      <c r="AH78" s="1113">
        <v>191890</v>
      </c>
      <c r="AI78" s="1113">
        <v>229143</v>
      </c>
      <c r="AJ78" s="1113">
        <v>3677962</v>
      </c>
      <c r="AK78" s="1113">
        <v>642917</v>
      </c>
      <c r="AL78" s="271">
        <v>725375</v>
      </c>
      <c r="AM78" s="1113">
        <v>0</v>
      </c>
      <c r="AN78" s="1113">
        <v>633538</v>
      </c>
      <c r="AO78" s="1113">
        <v>19032710</v>
      </c>
      <c r="AP78" s="1113">
        <v>0</v>
      </c>
      <c r="AQ78" s="1113">
        <v>5799379</v>
      </c>
      <c r="AR78" s="1113">
        <v>2635463</v>
      </c>
      <c r="AS78" s="1113">
        <v>395740</v>
      </c>
      <c r="AT78" s="1113">
        <v>1374416</v>
      </c>
      <c r="AU78" s="1113">
        <v>191681</v>
      </c>
      <c r="AV78" s="271">
        <v>217997394</v>
      </c>
      <c r="AW78" s="1113">
        <v>171216050</v>
      </c>
      <c r="AX78" s="1113">
        <v>680434</v>
      </c>
      <c r="AY78" s="1113">
        <v>340751</v>
      </c>
      <c r="AZ78" s="1113">
        <v>215552</v>
      </c>
      <c r="BA78" s="1113">
        <v>94416</v>
      </c>
      <c r="BB78" s="1113">
        <v>0</v>
      </c>
      <c r="BC78" s="1113">
        <v>9402788</v>
      </c>
      <c r="BD78" s="271">
        <v>721002</v>
      </c>
      <c r="BE78" s="1113">
        <v>217345</v>
      </c>
      <c r="BF78" s="1113">
        <v>24880</v>
      </c>
      <c r="BG78" s="1113">
        <v>18668809</v>
      </c>
      <c r="BH78" s="1113">
        <v>20372</v>
      </c>
      <c r="BI78" s="1113">
        <v>7288247</v>
      </c>
      <c r="BJ78" s="1113">
        <v>1832107</v>
      </c>
      <c r="BK78" s="1113">
        <v>624470</v>
      </c>
      <c r="BL78" s="1113">
        <v>219852</v>
      </c>
      <c r="BM78" s="1113">
        <v>17170576</v>
      </c>
      <c r="BN78" s="1113">
        <v>21020174</v>
      </c>
      <c r="BO78" s="1113">
        <v>1026982</v>
      </c>
      <c r="BP78" s="1113">
        <v>53510932</v>
      </c>
      <c r="BQ78" s="1113">
        <v>169390682</v>
      </c>
      <c r="BR78" s="1113">
        <v>815320</v>
      </c>
      <c r="BS78" s="1113">
        <v>12928654</v>
      </c>
      <c r="BT78" s="300">
        <v>2932178</v>
      </c>
      <c r="BU78" s="300">
        <v>20511801</v>
      </c>
      <c r="BV78" s="300">
        <v>1295976</v>
      </c>
      <c r="BW78" s="300">
        <v>729702</v>
      </c>
      <c r="BX78" s="300">
        <v>5687566</v>
      </c>
      <c r="BY78" s="300">
        <v>0</v>
      </c>
      <c r="BZ78" s="300">
        <v>108464520</v>
      </c>
      <c r="CA78" s="300">
        <v>1126837</v>
      </c>
      <c r="CB78" s="300">
        <v>18503271</v>
      </c>
      <c r="CC78" s="300">
        <v>396849</v>
      </c>
      <c r="CD78" s="300">
        <v>3519289</v>
      </c>
      <c r="CE78" s="300">
        <v>75601202</v>
      </c>
    </row>
    <row r="79" spans="1:83" x14ac:dyDescent="0.3">
      <c r="A79" s="271">
        <v>253</v>
      </c>
      <c r="B79" s="271">
        <v>253</v>
      </c>
      <c r="C79" s="271" t="s">
        <v>104</v>
      </c>
      <c r="D79" s="271" t="s">
        <v>392</v>
      </c>
      <c r="E79" s="1113">
        <v>851350</v>
      </c>
      <c r="F79" s="1113">
        <v>492267</v>
      </c>
      <c r="G79" s="1113">
        <v>39154</v>
      </c>
      <c r="H79" s="1113">
        <v>101009</v>
      </c>
      <c r="I79" s="1113">
        <v>245712</v>
      </c>
      <c r="J79" s="1113">
        <v>19897</v>
      </c>
      <c r="K79" s="1113">
        <v>32430</v>
      </c>
      <c r="L79" s="1113">
        <v>211772</v>
      </c>
      <c r="M79" s="1113">
        <v>1262554</v>
      </c>
      <c r="N79" s="271">
        <v>45667826</v>
      </c>
      <c r="O79" s="1113">
        <v>143122</v>
      </c>
      <c r="P79" s="1113">
        <v>1588569</v>
      </c>
      <c r="Q79" s="1113">
        <v>106372</v>
      </c>
      <c r="R79" s="1113">
        <v>1901898</v>
      </c>
      <c r="S79" s="271">
        <v>14920</v>
      </c>
      <c r="T79" s="1113">
        <v>71452</v>
      </c>
      <c r="U79" s="1113">
        <v>266943</v>
      </c>
      <c r="V79" s="1113">
        <v>100408</v>
      </c>
      <c r="W79" s="1113">
        <v>1089462</v>
      </c>
      <c r="X79" s="1113">
        <v>292140</v>
      </c>
      <c r="Y79" s="1113">
        <v>241825</v>
      </c>
      <c r="Z79" s="1113">
        <v>301835</v>
      </c>
      <c r="AA79" s="1113">
        <v>18929007</v>
      </c>
      <c r="AB79" s="1113">
        <v>3273524</v>
      </c>
      <c r="AC79" s="1113">
        <v>121073</v>
      </c>
      <c r="AD79" s="1113">
        <v>3853148</v>
      </c>
      <c r="AE79" s="1113">
        <v>127823</v>
      </c>
      <c r="AF79" s="1113">
        <v>0</v>
      </c>
      <c r="AG79" s="1113">
        <v>17850203</v>
      </c>
      <c r="AH79" s="1113">
        <v>212619</v>
      </c>
      <c r="AI79" s="1113">
        <v>53614</v>
      </c>
      <c r="AJ79" s="1113">
        <v>823510</v>
      </c>
      <c r="AK79" s="1113">
        <v>142332</v>
      </c>
      <c r="AL79" s="271">
        <v>105654</v>
      </c>
      <c r="AM79" s="1113">
        <v>0</v>
      </c>
      <c r="AN79" s="1113">
        <v>122554</v>
      </c>
      <c r="AO79" s="1113">
        <v>4683579</v>
      </c>
      <c r="AP79" s="1113">
        <v>1850</v>
      </c>
      <c r="AQ79" s="1113">
        <v>576953</v>
      </c>
      <c r="AR79" s="1113">
        <v>398571</v>
      </c>
      <c r="AS79" s="1113">
        <v>6920</v>
      </c>
      <c r="AT79" s="1113">
        <v>1042650</v>
      </c>
      <c r="AU79" s="1113">
        <v>208706</v>
      </c>
      <c r="AV79" s="271">
        <v>104822909</v>
      </c>
      <c r="AW79" s="1113">
        <v>21505669</v>
      </c>
      <c r="AX79" s="1113">
        <v>250268</v>
      </c>
      <c r="AY79" s="1113">
        <v>98260</v>
      </c>
      <c r="AZ79" s="1113">
        <v>98396</v>
      </c>
      <c r="BA79" s="1113">
        <v>93074</v>
      </c>
      <c r="BB79" s="1113">
        <v>0</v>
      </c>
      <c r="BC79" s="1113">
        <v>623860</v>
      </c>
      <c r="BD79" s="1113">
        <v>35614</v>
      </c>
      <c r="BE79" s="1113">
        <v>56109</v>
      </c>
      <c r="BF79" s="1113">
        <v>21825</v>
      </c>
      <c r="BG79" s="1113">
        <v>1819152</v>
      </c>
      <c r="BH79" s="1113">
        <v>21545</v>
      </c>
      <c r="BI79" s="1113">
        <v>3757207</v>
      </c>
      <c r="BJ79" s="1113">
        <v>2863820</v>
      </c>
      <c r="BK79" s="1113">
        <v>93096</v>
      </c>
      <c r="BL79" s="1113">
        <v>18584</v>
      </c>
      <c r="BM79" s="1113">
        <v>3015547</v>
      </c>
      <c r="BN79" s="1113">
        <v>3285875</v>
      </c>
      <c r="BO79" s="1113">
        <v>545444</v>
      </c>
      <c r="BP79" s="1113">
        <v>14173415</v>
      </c>
      <c r="BQ79" s="1113">
        <v>36912361</v>
      </c>
      <c r="BR79" s="1113">
        <v>25230</v>
      </c>
      <c r="BS79" s="1113">
        <v>1129208</v>
      </c>
      <c r="BT79" s="300">
        <v>85138</v>
      </c>
      <c r="BU79" s="300">
        <v>3757005</v>
      </c>
      <c r="BV79" s="300">
        <v>82154</v>
      </c>
      <c r="BW79" s="300">
        <v>212167</v>
      </c>
      <c r="BX79" s="300">
        <v>124472</v>
      </c>
      <c r="BY79" s="300">
        <v>0</v>
      </c>
      <c r="BZ79" s="300">
        <v>10730713</v>
      </c>
      <c r="CA79" s="300">
        <v>79782</v>
      </c>
      <c r="CB79" s="300">
        <v>2037671</v>
      </c>
      <c r="CC79" s="300">
        <v>120667</v>
      </c>
      <c r="CD79" s="300">
        <v>493460</v>
      </c>
      <c r="CE79" s="300">
        <v>23482792</v>
      </c>
    </row>
    <row r="80" spans="1:83" x14ac:dyDescent="0.3">
      <c r="A80" s="271">
        <v>254</v>
      </c>
      <c r="B80" s="271">
        <v>254</v>
      </c>
      <c r="C80" s="271" t="s">
        <v>105</v>
      </c>
      <c r="D80" s="271" t="s">
        <v>393</v>
      </c>
      <c r="E80" s="1113">
        <v>-272065</v>
      </c>
      <c r="F80" s="1113">
        <v>-833125</v>
      </c>
      <c r="G80" s="1113">
        <v>399955</v>
      </c>
      <c r="H80" s="1113">
        <v>687846</v>
      </c>
      <c r="I80" s="1113">
        <v>476701</v>
      </c>
      <c r="J80" s="1113">
        <v>173262</v>
      </c>
      <c r="K80" s="1113">
        <v>100421</v>
      </c>
      <c r="L80" s="1113">
        <v>457387</v>
      </c>
      <c r="M80" s="1113">
        <v>80854</v>
      </c>
      <c r="N80" s="1113">
        <v>8772466</v>
      </c>
      <c r="O80" s="1113">
        <v>3079138</v>
      </c>
      <c r="P80" s="1113">
        <v>2979913</v>
      </c>
      <c r="Q80" s="1113">
        <v>98534</v>
      </c>
      <c r="R80" s="1113">
        <v>-8499910</v>
      </c>
      <c r="S80" s="271">
        <v>125998</v>
      </c>
      <c r="T80" s="1113">
        <v>512907</v>
      </c>
      <c r="U80" s="1113">
        <v>264241</v>
      </c>
      <c r="V80" s="1113">
        <v>912126</v>
      </c>
      <c r="W80" s="1113">
        <v>669713</v>
      </c>
      <c r="X80" s="1113">
        <v>713557</v>
      </c>
      <c r="Y80" s="1113">
        <v>456778</v>
      </c>
      <c r="Z80" s="1113">
        <v>-418917</v>
      </c>
      <c r="AA80" s="1113">
        <v>12639812</v>
      </c>
      <c r="AB80" s="1113">
        <v>4087106</v>
      </c>
      <c r="AC80" s="1113">
        <v>705599</v>
      </c>
      <c r="AD80" s="1113">
        <v>3271208</v>
      </c>
      <c r="AE80" s="1113">
        <v>450762</v>
      </c>
      <c r="AF80" s="1113">
        <v>0</v>
      </c>
      <c r="AG80" s="1113">
        <v>-40909926</v>
      </c>
      <c r="AH80" s="1113">
        <v>671110</v>
      </c>
      <c r="AI80" s="1113">
        <v>281914</v>
      </c>
      <c r="AJ80" s="1113">
        <v>897113</v>
      </c>
      <c r="AK80" s="1113">
        <v>654083</v>
      </c>
      <c r="AL80" s="271">
        <v>37067</v>
      </c>
      <c r="AM80" s="1113">
        <v>0</v>
      </c>
      <c r="AN80" s="1113">
        <v>564347</v>
      </c>
      <c r="AO80" s="1113">
        <v>-2941773</v>
      </c>
      <c r="AP80" s="1113">
        <v>48884</v>
      </c>
      <c r="AQ80" s="1113">
        <v>1918004</v>
      </c>
      <c r="AR80" s="1113">
        <v>1916716</v>
      </c>
      <c r="AS80" s="1113">
        <v>200425</v>
      </c>
      <c r="AT80" s="1113">
        <v>516535</v>
      </c>
      <c r="AU80" s="1113">
        <v>475763</v>
      </c>
      <c r="AV80" s="271">
        <v>-86837164</v>
      </c>
      <c r="AW80" s="1113">
        <v>-5769628</v>
      </c>
      <c r="AX80" s="1113">
        <v>529942</v>
      </c>
      <c r="AY80" s="1113">
        <v>260521</v>
      </c>
      <c r="AZ80" s="1113">
        <v>227509</v>
      </c>
      <c r="BA80" s="1113">
        <v>80164</v>
      </c>
      <c r="BB80" s="1113">
        <v>0</v>
      </c>
      <c r="BC80" s="1113">
        <v>-4434725</v>
      </c>
      <c r="BD80" s="1113">
        <v>1136355</v>
      </c>
      <c r="BE80" s="1113">
        <v>194990</v>
      </c>
      <c r="BF80" s="1113">
        <v>112229</v>
      </c>
      <c r="BG80" s="1113">
        <v>7624906</v>
      </c>
      <c r="BH80" s="1113">
        <v>65457</v>
      </c>
      <c r="BI80" s="1113">
        <v>5048225</v>
      </c>
      <c r="BJ80" s="1113">
        <v>2071464</v>
      </c>
      <c r="BK80" s="1113">
        <v>549959</v>
      </c>
      <c r="BL80" s="1113">
        <v>477943</v>
      </c>
      <c r="BM80" s="1113">
        <v>-2094532</v>
      </c>
      <c r="BN80" s="1113">
        <v>1110510</v>
      </c>
      <c r="BO80" s="1113">
        <v>1339794</v>
      </c>
      <c r="BP80" s="1113">
        <v>5909646</v>
      </c>
      <c r="BQ80" s="1113">
        <v>-16801647</v>
      </c>
      <c r="BR80" s="1113">
        <v>231648</v>
      </c>
      <c r="BS80" s="1113">
        <v>3070458</v>
      </c>
      <c r="BT80" s="300">
        <v>2576047</v>
      </c>
      <c r="BU80" s="300">
        <v>1312978</v>
      </c>
      <c r="BV80" s="300">
        <v>279645</v>
      </c>
      <c r="BW80" s="300">
        <v>935246</v>
      </c>
      <c r="BX80" s="300">
        <v>1464780</v>
      </c>
      <c r="BY80" s="300">
        <v>0</v>
      </c>
      <c r="BZ80" s="300">
        <v>13901463</v>
      </c>
      <c r="CA80" s="300">
        <v>106076</v>
      </c>
      <c r="CB80" s="300">
        <v>-3426477</v>
      </c>
      <c r="CC80" s="300">
        <v>385679</v>
      </c>
      <c r="CD80" s="300">
        <v>1030239</v>
      </c>
      <c r="CE80" s="300">
        <v>29280258</v>
      </c>
    </row>
    <row r="81" spans="1:83" x14ac:dyDescent="0.3">
      <c r="A81" s="271">
        <v>255</v>
      </c>
      <c r="B81" s="271">
        <v>255</v>
      </c>
      <c r="C81" s="271" t="s">
        <v>197</v>
      </c>
      <c r="D81" s="271" t="s">
        <v>394</v>
      </c>
      <c r="E81" s="1113">
        <v>1263287</v>
      </c>
      <c r="F81" s="1113">
        <v>253860</v>
      </c>
      <c r="G81" s="1113">
        <v>-72587</v>
      </c>
      <c r="H81" s="1113">
        <v>79427</v>
      </c>
      <c r="I81" s="1113">
        <v>102357</v>
      </c>
      <c r="J81" s="1113">
        <v>152693</v>
      </c>
      <c r="K81" s="1113">
        <v>-4579</v>
      </c>
      <c r="L81" s="1113">
        <v>22926</v>
      </c>
      <c r="M81" s="1113">
        <v>797797</v>
      </c>
      <c r="N81" s="1113">
        <v>7347844</v>
      </c>
      <c r="O81" s="1113">
        <v>-32792</v>
      </c>
      <c r="P81" s="1113">
        <v>1718236</v>
      </c>
      <c r="Q81" s="1113">
        <v>17462</v>
      </c>
      <c r="R81" s="1113">
        <v>-758633</v>
      </c>
      <c r="S81" s="271">
        <v>2443</v>
      </c>
      <c r="T81" s="1113">
        <v>27036</v>
      </c>
      <c r="U81" s="1113">
        <v>13184</v>
      </c>
      <c r="V81" s="1113">
        <v>-444307</v>
      </c>
      <c r="W81" s="1113">
        <v>652516</v>
      </c>
      <c r="X81" s="1113">
        <v>-184005</v>
      </c>
      <c r="Y81" s="1113">
        <v>-40100</v>
      </c>
      <c r="Z81" s="1113">
        <v>-39373</v>
      </c>
      <c r="AA81" s="1113">
        <v>13500339</v>
      </c>
      <c r="AB81" s="1113">
        <v>605298</v>
      </c>
      <c r="AC81" s="1113">
        <v>78972</v>
      </c>
      <c r="AD81" s="1113">
        <v>-548355</v>
      </c>
      <c r="AE81" s="1113">
        <v>24646</v>
      </c>
      <c r="AF81" s="1113">
        <v>0</v>
      </c>
      <c r="AG81" s="1113">
        <v>3342486</v>
      </c>
      <c r="AH81" s="1113">
        <v>46251</v>
      </c>
      <c r="AI81" s="1113">
        <v>42313</v>
      </c>
      <c r="AJ81" s="1113">
        <v>-210731</v>
      </c>
      <c r="AK81" s="1113">
        <v>43975</v>
      </c>
      <c r="AL81" s="271">
        <v>2774</v>
      </c>
      <c r="AM81" s="1113">
        <v>0</v>
      </c>
      <c r="AN81" s="1113">
        <v>30191</v>
      </c>
      <c r="AO81" s="1113">
        <v>507616</v>
      </c>
      <c r="AP81" s="1113">
        <v>-19968</v>
      </c>
      <c r="AQ81" s="1113">
        <v>164265</v>
      </c>
      <c r="AR81" s="1113">
        <v>234518</v>
      </c>
      <c r="AS81" s="1113">
        <v>90153</v>
      </c>
      <c r="AT81" s="1113">
        <v>79298</v>
      </c>
      <c r="AU81" s="1113">
        <v>115911</v>
      </c>
      <c r="AV81" s="271">
        <v>-13159235</v>
      </c>
      <c r="AW81" s="1113">
        <v>13204525</v>
      </c>
      <c r="AX81" s="1113">
        <v>-64771</v>
      </c>
      <c r="AY81" s="1113">
        <v>17335</v>
      </c>
      <c r="AZ81" s="1113">
        <v>-1310</v>
      </c>
      <c r="BA81" s="1113">
        <v>31012</v>
      </c>
      <c r="BB81" s="1113">
        <v>0</v>
      </c>
      <c r="BC81" s="1113">
        <v>-878903</v>
      </c>
      <c r="BD81" s="1113">
        <v>18358</v>
      </c>
      <c r="BE81" s="1113">
        <v>10404</v>
      </c>
      <c r="BF81" s="1113">
        <v>2619</v>
      </c>
      <c r="BG81" s="1113">
        <v>4819204</v>
      </c>
      <c r="BH81" s="1113">
        <v>2547</v>
      </c>
      <c r="BI81" s="1113">
        <v>1109304</v>
      </c>
      <c r="BJ81" s="1113">
        <v>-154049</v>
      </c>
      <c r="BK81" s="1113">
        <v>68330</v>
      </c>
      <c r="BL81" s="1113">
        <v>-5022</v>
      </c>
      <c r="BM81" s="1113">
        <v>752227</v>
      </c>
      <c r="BN81" s="1113">
        <v>-445793</v>
      </c>
      <c r="BO81" s="1113">
        <v>47801</v>
      </c>
      <c r="BP81" s="1113">
        <v>2666427</v>
      </c>
      <c r="BQ81" s="1113">
        <v>-817615</v>
      </c>
      <c r="BR81" s="1113">
        <v>69945</v>
      </c>
      <c r="BS81" s="1113">
        <v>186282</v>
      </c>
      <c r="BT81" s="300">
        <v>-432285</v>
      </c>
      <c r="BU81" s="300">
        <v>2445553</v>
      </c>
      <c r="BV81" s="300">
        <v>-11359</v>
      </c>
      <c r="BW81" s="300">
        <v>350032</v>
      </c>
      <c r="BX81" s="300">
        <v>1345209</v>
      </c>
      <c r="BY81" s="300">
        <v>0</v>
      </c>
      <c r="BZ81" s="300">
        <v>13881511</v>
      </c>
      <c r="CA81" s="300">
        <v>-15317</v>
      </c>
      <c r="CB81" s="300">
        <v>-372565</v>
      </c>
      <c r="CC81" s="300">
        <v>89186</v>
      </c>
      <c r="CD81" s="300">
        <v>147811</v>
      </c>
      <c r="CE81" s="300">
        <v>12077827</v>
      </c>
    </row>
    <row r="82" spans="1:83" x14ac:dyDescent="0.3">
      <c r="A82" s="271"/>
      <c r="B82" s="271">
        <v>274</v>
      </c>
      <c r="C82" s="271" t="s">
        <v>395</v>
      </c>
      <c r="D82" s="271" t="s">
        <v>396</v>
      </c>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71"/>
      <c r="AE82" s="271"/>
      <c r="AF82" s="271"/>
      <c r="AG82" s="271"/>
      <c r="AH82" s="271"/>
      <c r="AI82" s="271"/>
      <c r="AJ82" s="271"/>
      <c r="AK82" s="271"/>
      <c r="AL82" s="271"/>
      <c r="AM82" s="271"/>
      <c r="AN82" s="271"/>
      <c r="AO82" s="271"/>
      <c r="AP82" s="271"/>
      <c r="AQ82" s="271"/>
      <c r="AR82" s="271"/>
      <c r="AS82" s="271"/>
      <c r="AT82" s="271"/>
      <c r="AU82" s="271"/>
      <c r="AV82" s="271"/>
      <c r="AW82" s="271"/>
      <c r="AX82" s="271"/>
      <c r="AY82" s="271"/>
      <c r="AZ82" s="271"/>
      <c r="BA82" s="271"/>
      <c r="BB82" s="271"/>
      <c r="BC82" s="271"/>
      <c r="BD82" s="271"/>
      <c r="BE82" s="271"/>
      <c r="BF82" s="271"/>
      <c r="BG82" s="271"/>
      <c r="BH82" s="271"/>
      <c r="BI82" s="271"/>
      <c r="BJ82" s="271"/>
      <c r="BK82" s="271"/>
      <c r="BL82" s="271"/>
      <c r="BM82" s="271"/>
      <c r="BN82" s="271"/>
      <c r="BO82" s="271"/>
      <c r="BP82" s="271"/>
      <c r="BQ82" s="271"/>
      <c r="BR82" s="271"/>
      <c r="BS82" s="271"/>
    </row>
    <row r="83" spans="1:83" x14ac:dyDescent="0.3">
      <c r="A83" s="271"/>
      <c r="B83" s="271">
        <v>294</v>
      </c>
      <c r="C83" s="271" t="s">
        <v>1754</v>
      </c>
      <c r="D83" s="271" t="s">
        <v>397</v>
      </c>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c r="AE83" s="271"/>
      <c r="AF83" s="271"/>
      <c r="AG83" s="271"/>
      <c r="AH83" s="271"/>
      <c r="AI83" s="271"/>
      <c r="AJ83" s="271"/>
      <c r="AK83" s="271"/>
      <c r="AL83" s="271"/>
      <c r="AM83" s="271"/>
      <c r="AN83" s="271"/>
      <c r="AO83" s="271"/>
      <c r="AP83" s="271"/>
      <c r="AQ83" s="271"/>
      <c r="AR83" s="271"/>
      <c r="AS83" s="271"/>
      <c r="AT83" s="271"/>
      <c r="AU83" s="271"/>
      <c r="AV83" s="271"/>
      <c r="AW83" s="271"/>
      <c r="AX83" s="271"/>
      <c r="AY83" s="271"/>
      <c r="AZ83" s="271"/>
      <c r="BA83" s="271"/>
      <c r="BB83" s="271"/>
      <c r="BC83" s="271"/>
      <c r="BD83" s="271"/>
      <c r="BE83" s="271"/>
      <c r="BF83" s="271"/>
      <c r="BG83" s="271"/>
      <c r="BH83" s="271"/>
      <c r="BI83" s="271"/>
      <c r="BJ83" s="271"/>
      <c r="BK83" s="271"/>
      <c r="BL83" s="271"/>
      <c r="BM83" s="271"/>
      <c r="BN83" s="271"/>
      <c r="BO83" s="271"/>
      <c r="BP83" s="271"/>
      <c r="BQ83" s="271"/>
      <c r="BR83" s="271"/>
      <c r="BS83" s="271"/>
    </row>
    <row r="84" spans="1:83" x14ac:dyDescent="0.3">
      <c r="A84" s="271"/>
      <c r="B84" s="271">
        <v>314</v>
      </c>
      <c r="C84" s="271" t="s">
        <v>398</v>
      </c>
      <c r="D84" s="271" t="s">
        <v>399</v>
      </c>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71"/>
      <c r="AE84" s="271"/>
      <c r="AF84" s="271"/>
      <c r="AG84" s="271"/>
      <c r="AH84" s="271"/>
      <c r="AI84" s="271"/>
      <c r="AJ84" s="271"/>
      <c r="AK84" s="271"/>
      <c r="AL84" s="271"/>
      <c r="AM84" s="271"/>
      <c r="AN84" s="271"/>
      <c r="AO84" s="271"/>
      <c r="AP84" s="271"/>
      <c r="AQ84" s="271"/>
      <c r="AR84" s="271"/>
      <c r="AS84" s="271"/>
      <c r="AT84" s="271"/>
      <c r="AU84" s="271"/>
      <c r="AV84" s="271"/>
      <c r="AW84" s="271"/>
      <c r="AX84" s="271"/>
      <c r="AY84" s="271"/>
      <c r="AZ84" s="271"/>
      <c r="BA84" s="271"/>
      <c r="BB84" s="271"/>
      <c r="BC84" s="271"/>
      <c r="BD84" s="271"/>
      <c r="BE84" s="271"/>
      <c r="BF84" s="271"/>
      <c r="BG84" s="271"/>
      <c r="BH84" s="271"/>
      <c r="BI84" s="271"/>
      <c r="BJ84" s="271"/>
      <c r="BK84" s="271"/>
      <c r="BL84" s="271"/>
      <c r="BM84" s="271"/>
      <c r="BN84" s="271"/>
      <c r="BO84" s="271"/>
      <c r="BP84" s="271"/>
      <c r="BQ84" s="271"/>
      <c r="BR84" s="271"/>
      <c r="BS84" s="271"/>
    </row>
    <row r="85" spans="1:83" x14ac:dyDescent="0.3">
      <c r="A85" s="271"/>
      <c r="B85" s="271">
        <v>315</v>
      </c>
      <c r="C85" s="271" t="s">
        <v>400</v>
      </c>
      <c r="D85" s="271" t="s">
        <v>401</v>
      </c>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c r="AE85" s="271"/>
      <c r="AF85" s="271"/>
      <c r="AG85" s="271"/>
      <c r="AH85" s="271"/>
      <c r="AI85" s="271"/>
      <c r="AJ85" s="271"/>
      <c r="AK85" s="271"/>
      <c r="AL85" s="271"/>
      <c r="AM85" s="271"/>
      <c r="AN85" s="271"/>
      <c r="AO85" s="271"/>
      <c r="AP85" s="271"/>
      <c r="AQ85" s="271"/>
      <c r="AR85" s="271"/>
      <c r="AS85" s="271"/>
      <c r="AT85" s="271"/>
      <c r="AU85" s="271"/>
      <c r="AV85" s="271"/>
      <c r="AW85" s="271"/>
      <c r="AX85" s="271"/>
      <c r="AY85" s="271"/>
      <c r="AZ85" s="271"/>
      <c r="BA85" s="271"/>
      <c r="BB85" s="271"/>
      <c r="BC85" s="271"/>
      <c r="BD85" s="271"/>
      <c r="BE85" s="271"/>
      <c r="BF85" s="271"/>
      <c r="BG85" s="271"/>
      <c r="BH85" s="271"/>
      <c r="BI85" s="271"/>
      <c r="BJ85" s="271"/>
      <c r="BK85" s="271"/>
      <c r="BL85" s="271"/>
      <c r="BM85" s="271"/>
      <c r="BN85" s="271"/>
      <c r="BO85" s="271"/>
      <c r="BP85" s="271"/>
      <c r="BQ85" s="271"/>
      <c r="BR85" s="271"/>
      <c r="BS85" s="271"/>
    </row>
    <row r="86" spans="1:83" x14ac:dyDescent="0.3">
      <c r="A86" s="271"/>
      <c r="B86" s="271">
        <v>316</v>
      </c>
      <c r="C86" s="271" t="s">
        <v>402</v>
      </c>
      <c r="D86" s="271" t="s">
        <v>403</v>
      </c>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271"/>
      <c r="AF86" s="271"/>
      <c r="AG86" s="271"/>
      <c r="AH86" s="271"/>
      <c r="AI86" s="271"/>
      <c r="AJ86" s="271"/>
      <c r="AK86" s="271"/>
      <c r="AL86" s="271"/>
      <c r="AM86" s="271"/>
      <c r="AN86" s="271"/>
      <c r="AO86" s="271"/>
      <c r="AP86" s="271"/>
      <c r="AQ86" s="271"/>
      <c r="AR86" s="271"/>
      <c r="AS86" s="271"/>
      <c r="AT86" s="271"/>
      <c r="AU86" s="271"/>
      <c r="AV86" s="271"/>
      <c r="AW86" s="271"/>
      <c r="AX86" s="271"/>
      <c r="AY86" s="271"/>
      <c r="AZ86" s="271"/>
      <c r="BA86" s="271"/>
      <c r="BB86" s="271"/>
      <c r="BC86" s="271"/>
      <c r="BD86" s="271"/>
      <c r="BE86" s="271"/>
      <c r="BF86" s="271"/>
      <c r="BG86" s="271"/>
      <c r="BH86" s="271"/>
      <c r="BI86" s="271"/>
      <c r="BJ86" s="271"/>
      <c r="BK86" s="271"/>
      <c r="BL86" s="271"/>
      <c r="BM86" s="271"/>
      <c r="BN86" s="271"/>
      <c r="BO86" s="271"/>
      <c r="BP86" s="271"/>
      <c r="BQ86" s="271"/>
      <c r="BR86" s="271"/>
      <c r="BS86" s="271"/>
    </row>
    <row r="87" spans="1:83" x14ac:dyDescent="0.3">
      <c r="A87" s="271"/>
      <c r="B87" s="271">
        <v>320</v>
      </c>
      <c r="C87" s="271" t="s">
        <v>258</v>
      </c>
      <c r="D87" s="271" t="s">
        <v>404</v>
      </c>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271"/>
      <c r="AF87" s="271"/>
      <c r="AG87" s="271"/>
      <c r="AH87" s="271"/>
      <c r="AI87" s="271"/>
      <c r="AJ87" s="271"/>
      <c r="AK87" s="271"/>
      <c r="AL87" s="271"/>
      <c r="AM87" s="271"/>
      <c r="AN87" s="271"/>
      <c r="AO87" s="271"/>
      <c r="AP87" s="271"/>
      <c r="AQ87" s="271"/>
      <c r="AR87" s="271"/>
      <c r="AS87" s="271"/>
      <c r="AT87" s="271"/>
      <c r="AU87" s="271"/>
      <c r="AV87" s="271"/>
      <c r="AW87" s="271"/>
      <c r="AX87" s="271"/>
      <c r="AY87" s="271"/>
      <c r="AZ87" s="271"/>
      <c r="BA87" s="271"/>
      <c r="BB87" s="271"/>
      <c r="BC87" s="271"/>
      <c r="BD87" s="271"/>
      <c r="BE87" s="271"/>
      <c r="BF87" s="271"/>
      <c r="BG87" s="271"/>
      <c r="BH87" s="271"/>
      <c r="BI87" s="271"/>
      <c r="BJ87" s="271"/>
      <c r="BK87" s="271"/>
      <c r="BL87" s="271"/>
      <c r="BM87" s="271"/>
      <c r="BN87" s="271"/>
      <c r="BO87" s="271"/>
      <c r="BP87" s="271"/>
      <c r="BQ87" s="271"/>
      <c r="BR87" s="271"/>
      <c r="BS87" s="271"/>
    </row>
    <row r="88" spans="1:83" x14ac:dyDescent="0.3">
      <c r="A88" s="271"/>
      <c r="B88" s="271">
        <v>321</v>
      </c>
      <c r="C88" s="271" t="s">
        <v>1755</v>
      </c>
      <c r="D88" s="271" t="s">
        <v>405</v>
      </c>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71"/>
      <c r="AE88" s="271"/>
      <c r="AF88" s="271"/>
      <c r="AG88" s="271"/>
      <c r="AH88" s="271"/>
      <c r="AI88" s="271"/>
      <c r="AJ88" s="271"/>
      <c r="AK88" s="271"/>
      <c r="AL88" s="271"/>
      <c r="AM88" s="271"/>
      <c r="AN88" s="271"/>
      <c r="AO88" s="271"/>
      <c r="AP88" s="271"/>
      <c r="AQ88" s="271"/>
      <c r="AR88" s="271"/>
      <c r="AS88" s="271"/>
      <c r="AT88" s="271"/>
      <c r="AU88" s="271"/>
      <c r="AV88" s="271"/>
      <c r="AW88" s="271"/>
      <c r="AX88" s="271"/>
      <c r="AY88" s="271"/>
      <c r="AZ88" s="271"/>
      <c r="BA88" s="271"/>
      <c r="BB88" s="271"/>
      <c r="BC88" s="271"/>
      <c r="BD88" s="271"/>
      <c r="BE88" s="271"/>
      <c r="BF88" s="271"/>
      <c r="BG88" s="271"/>
      <c r="BH88" s="271"/>
      <c r="BI88" s="271"/>
      <c r="BJ88" s="271"/>
      <c r="BK88" s="271"/>
      <c r="BL88" s="271"/>
      <c r="BM88" s="271"/>
      <c r="BN88" s="271"/>
      <c r="BO88" s="271"/>
      <c r="BP88" s="271"/>
      <c r="BQ88" s="271"/>
      <c r="BR88" s="271"/>
      <c r="BS88" s="271"/>
    </row>
    <row r="89" spans="1:83" x14ac:dyDescent="0.3">
      <c r="A89" s="271"/>
      <c r="B89" s="271">
        <v>322</v>
      </c>
      <c r="C89" s="271" t="s">
        <v>260</v>
      </c>
      <c r="D89" s="271" t="s">
        <v>406</v>
      </c>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271"/>
      <c r="AE89" s="271"/>
      <c r="AF89" s="271"/>
      <c r="AG89" s="271"/>
      <c r="AH89" s="271"/>
      <c r="AI89" s="271"/>
      <c r="AJ89" s="271"/>
      <c r="AK89" s="271"/>
      <c r="AL89" s="271"/>
      <c r="AM89" s="271"/>
      <c r="AN89" s="271"/>
      <c r="AO89" s="271"/>
      <c r="AP89" s="271"/>
      <c r="AQ89" s="271"/>
      <c r="AR89" s="271"/>
      <c r="AS89" s="271"/>
      <c r="AT89" s="271"/>
      <c r="AU89" s="271"/>
      <c r="AV89" s="271"/>
      <c r="AW89" s="271"/>
      <c r="AX89" s="271"/>
      <c r="AY89" s="271"/>
      <c r="AZ89" s="271"/>
      <c r="BA89" s="271"/>
      <c r="BB89" s="271"/>
      <c r="BC89" s="271"/>
      <c r="BD89" s="271"/>
      <c r="BE89" s="271"/>
      <c r="BF89" s="271"/>
      <c r="BG89" s="271"/>
      <c r="BH89" s="271"/>
      <c r="BI89" s="271"/>
      <c r="BJ89" s="271"/>
      <c r="BK89" s="271"/>
      <c r="BL89" s="271"/>
      <c r="BM89" s="271"/>
      <c r="BN89" s="271"/>
      <c r="BO89" s="271"/>
      <c r="BP89" s="271"/>
      <c r="BQ89" s="271"/>
      <c r="BR89" s="271"/>
      <c r="BS89" s="271"/>
    </row>
    <row r="90" spans="1:83" x14ac:dyDescent="0.3">
      <c r="A90" s="271"/>
      <c r="B90" s="271">
        <v>323</v>
      </c>
      <c r="C90" s="271" t="s">
        <v>259</v>
      </c>
      <c r="D90" s="271" t="s">
        <v>407</v>
      </c>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1"/>
      <c r="AI90" s="271"/>
      <c r="AJ90" s="271"/>
      <c r="AK90" s="271"/>
      <c r="AL90" s="271"/>
      <c r="AM90" s="271"/>
      <c r="AN90" s="271"/>
      <c r="AO90" s="271"/>
      <c r="AP90" s="271"/>
      <c r="AQ90" s="271"/>
      <c r="AR90" s="271"/>
      <c r="AS90" s="271"/>
      <c r="AT90" s="271"/>
      <c r="AU90" s="271"/>
      <c r="AV90" s="271"/>
      <c r="AW90" s="271"/>
      <c r="AX90" s="271"/>
      <c r="AY90" s="271"/>
      <c r="AZ90" s="271"/>
      <c r="BA90" s="271"/>
      <c r="BB90" s="271"/>
      <c r="BC90" s="271"/>
      <c r="BD90" s="271"/>
      <c r="BE90" s="271"/>
      <c r="BF90" s="271"/>
      <c r="BG90" s="271"/>
      <c r="BH90" s="271"/>
      <c r="BI90" s="271"/>
      <c r="BJ90" s="271"/>
      <c r="BK90" s="271"/>
      <c r="BL90" s="271"/>
      <c r="BM90" s="271"/>
      <c r="BN90" s="271"/>
      <c r="BO90" s="271"/>
      <c r="BP90" s="271"/>
      <c r="BQ90" s="271"/>
      <c r="BR90" s="271"/>
      <c r="BS90" s="271"/>
    </row>
    <row r="91" spans="1:83" x14ac:dyDescent="0.3">
      <c r="A91" s="271"/>
      <c r="B91" s="271">
        <v>324</v>
      </c>
      <c r="C91" s="271" t="s">
        <v>257</v>
      </c>
      <c r="D91" s="271" t="s">
        <v>408</v>
      </c>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271"/>
      <c r="AF91" s="271"/>
      <c r="AG91" s="271"/>
      <c r="AH91" s="271"/>
      <c r="AI91" s="271"/>
      <c r="AJ91" s="271"/>
      <c r="AK91" s="271"/>
      <c r="AL91" s="271"/>
      <c r="AM91" s="271"/>
      <c r="AN91" s="271"/>
      <c r="AO91" s="271"/>
      <c r="AP91" s="271"/>
      <c r="AQ91" s="271"/>
      <c r="AR91" s="271"/>
      <c r="AS91" s="271"/>
      <c r="AT91" s="271"/>
      <c r="AU91" s="271"/>
      <c r="AV91" s="271"/>
      <c r="AW91" s="271"/>
      <c r="AX91" s="271"/>
      <c r="AY91" s="271"/>
      <c r="AZ91" s="271"/>
      <c r="BA91" s="271"/>
      <c r="BB91" s="271"/>
      <c r="BC91" s="271"/>
      <c r="BD91" s="271"/>
      <c r="BE91" s="271"/>
      <c r="BF91" s="271"/>
      <c r="BG91" s="271"/>
      <c r="BH91" s="271"/>
      <c r="BI91" s="271"/>
      <c r="BJ91" s="271"/>
      <c r="BK91" s="271"/>
      <c r="BL91" s="271"/>
      <c r="BM91" s="271"/>
      <c r="BN91" s="271"/>
      <c r="BO91" s="271"/>
      <c r="BP91" s="271"/>
      <c r="BQ91" s="271"/>
      <c r="BR91" s="271"/>
      <c r="BS91" s="271"/>
    </row>
    <row r="92" spans="1:83" x14ac:dyDescent="0.3">
      <c r="A92" s="271"/>
      <c r="B92" s="271">
        <v>325</v>
      </c>
      <c r="C92" s="271" t="s">
        <v>261</v>
      </c>
      <c r="D92" s="271" t="s">
        <v>409</v>
      </c>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1"/>
      <c r="AI92" s="271"/>
      <c r="AJ92" s="271"/>
      <c r="AK92" s="271"/>
      <c r="AL92" s="271"/>
      <c r="AM92" s="271"/>
      <c r="AN92" s="271"/>
      <c r="AO92" s="271"/>
      <c r="AP92" s="271"/>
      <c r="AQ92" s="271"/>
      <c r="AR92" s="271"/>
      <c r="AS92" s="271"/>
      <c r="AT92" s="271"/>
      <c r="AU92" s="271"/>
      <c r="AV92" s="271"/>
      <c r="AW92" s="271"/>
      <c r="AX92" s="271"/>
      <c r="AY92" s="271"/>
      <c r="AZ92" s="271"/>
      <c r="BA92" s="271"/>
      <c r="BB92" s="271"/>
      <c r="BC92" s="271"/>
      <c r="BD92" s="271"/>
      <c r="BE92" s="271"/>
      <c r="BF92" s="271"/>
      <c r="BG92" s="271"/>
      <c r="BH92" s="271"/>
      <c r="BI92" s="271"/>
      <c r="BJ92" s="271"/>
      <c r="BK92" s="271"/>
      <c r="BL92" s="271"/>
      <c r="BM92" s="271"/>
      <c r="BN92" s="271"/>
      <c r="BO92" s="271"/>
      <c r="BP92" s="271"/>
      <c r="BQ92" s="271"/>
      <c r="BR92" s="271"/>
      <c r="BS92" s="271"/>
    </row>
    <row r="93" spans="1:83" x14ac:dyDescent="0.3">
      <c r="A93" s="271"/>
      <c r="B93" s="271">
        <v>326</v>
      </c>
      <c r="C93" s="271" t="s">
        <v>1756</v>
      </c>
      <c r="D93" s="271" t="s">
        <v>410</v>
      </c>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71"/>
      <c r="AE93" s="271"/>
      <c r="AF93" s="271"/>
      <c r="AG93" s="271"/>
      <c r="AH93" s="271"/>
      <c r="AI93" s="271"/>
      <c r="AJ93" s="271"/>
      <c r="AK93" s="271"/>
      <c r="AL93" s="271"/>
      <c r="AM93" s="271"/>
      <c r="AN93" s="271"/>
      <c r="AO93" s="271"/>
      <c r="AP93" s="271"/>
      <c r="AQ93" s="271"/>
      <c r="AR93" s="271"/>
      <c r="AS93" s="271"/>
      <c r="AT93" s="271"/>
      <c r="AU93" s="271"/>
      <c r="AV93" s="271"/>
      <c r="AW93" s="271"/>
      <c r="AX93" s="271"/>
      <c r="AY93" s="271"/>
      <c r="AZ93" s="271"/>
      <c r="BA93" s="271"/>
      <c r="BB93" s="271"/>
      <c r="BC93" s="271"/>
      <c r="BD93" s="271"/>
      <c r="BE93" s="271"/>
      <c r="BF93" s="271"/>
      <c r="BG93" s="271"/>
      <c r="BH93" s="271"/>
      <c r="BI93" s="271"/>
      <c r="BJ93" s="271"/>
      <c r="BK93" s="271"/>
      <c r="BL93" s="271"/>
      <c r="BM93" s="271"/>
      <c r="BN93" s="271"/>
      <c r="BO93" s="271"/>
      <c r="BP93" s="271"/>
      <c r="BQ93" s="271"/>
      <c r="BR93" s="271"/>
      <c r="BS93" s="271"/>
    </row>
    <row r="94" spans="1:83" x14ac:dyDescent="0.3">
      <c r="A94" s="271">
        <v>327</v>
      </c>
      <c r="B94" s="271">
        <v>327</v>
      </c>
      <c r="C94" s="271" t="s">
        <v>634</v>
      </c>
      <c r="D94" s="271" t="s">
        <v>411</v>
      </c>
      <c r="E94" s="1113">
        <v>10626</v>
      </c>
      <c r="F94" s="1113">
        <v>7091</v>
      </c>
      <c r="G94" s="1113">
        <v>0</v>
      </c>
      <c r="H94" s="1113">
        <v>338738</v>
      </c>
      <c r="I94" s="271">
        <v>7337</v>
      </c>
      <c r="J94" s="1113">
        <v>0</v>
      </c>
      <c r="K94" s="1113">
        <v>0</v>
      </c>
      <c r="L94" s="1113">
        <v>5700</v>
      </c>
      <c r="M94" s="1113">
        <v>189134</v>
      </c>
      <c r="N94" s="271">
        <v>0</v>
      </c>
      <c r="O94" s="1113">
        <v>0</v>
      </c>
      <c r="P94" s="271">
        <v>0</v>
      </c>
      <c r="Q94" s="1113">
        <v>0</v>
      </c>
      <c r="R94" s="1113">
        <v>177882</v>
      </c>
      <c r="S94" s="271">
        <v>0</v>
      </c>
      <c r="T94" s="271">
        <v>0</v>
      </c>
      <c r="U94" s="1113">
        <v>48416</v>
      </c>
      <c r="V94" s="1113">
        <v>85035</v>
      </c>
      <c r="W94" s="1113">
        <v>1025550</v>
      </c>
      <c r="X94" s="1113">
        <v>0</v>
      </c>
      <c r="Y94" s="1113">
        <v>42275</v>
      </c>
      <c r="Z94" s="271">
        <v>215800</v>
      </c>
      <c r="AA94" s="1113">
        <v>457070</v>
      </c>
      <c r="AB94" s="1113">
        <v>0</v>
      </c>
      <c r="AC94" s="1113">
        <v>51113</v>
      </c>
      <c r="AD94" s="1113">
        <v>0</v>
      </c>
      <c r="AE94" s="1113">
        <v>0</v>
      </c>
      <c r="AF94" s="271">
        <v>0</v>
      </c>
      <c r="AG94" s="271">
        <v>12277593</v>
      </c>
      <c r="AH94" s="1113">
        <v>0</v>
      </c>
      <c r="AI94" s="271">
        <v>12410</v>
      </c>
      <c r="AJ94" s="1113">
        <v>18591</v>
      </c>
      <c r="AK94" s="1113">
        <v>0</v>
      </c>
      <c r="AL94" s="271">
        <v>0</v>
      </c>
      <c r="AM94" s="271">
        <v>0</v>
      </c>
      <c r="AN94" s="1113">
        <v>0</v>
      </c>
      <c r="AO94" s="271">
        <v>1281547</v>
      </c>
      <c r="AP94" s="1113">
        <v>0</v>
      </c>
      <c r="AQ94" s="271">
        <v>165740</v>
      </c>
      <c r="AR94" s="1113">
        <v>0</v>
      </c>
      <c r="AS94" s="1113">
        <v>0</v>
      </c>
      <c r="AT94" s="271">
        <v>20097</v>
      </c>
      <c r="AU94" s="1113">
        <v>36050</v>
      </c>
      <c r="AV94" s="271">
        <v>44773852</v>
      </c>
      <c r="AW94" s="1113">
        <v>3780635</v>
      </c>
      <c r="AX94" s="1113">
        <v>0</v>
      </c>
      <c r="AY94" s="1113">
        <v>11826</v>
      </c>
      <c r="AZ94" s="271">
        <v>328737</v>
      </c>
      <c r="BA94" s="271">
        <v>11712</v>
      </c>
      <c r="BB94" s="271">
        <v>0</v>
      </c>
      <c r="BC94" s="1113">
        <v>243585</v>
      </c>
      <c r="BD94" s="271">
        <v>130000</v>
      </c>
      <c r="BE94" s="1113">
        <v>0</v>
      </c>
      <c r="BF94" s="1113">
        <v>3281</v>
      </c>
      <c r="BG94" s="1113">
        <v>858549</v>
      </c>
      <c r="BH94" s="271">
        <v>0</v>
      </c>
      <c r="BI94" s="1113">
        <v>306658</v>
      </c>
      <c r="BJ94" s="1113">
        <v>1040</v>
      </c>
      <c r="BK94" s="1113">
        <v>0</v>
      </c>
      <c r="BL94" s="271">
        <v>0</v>
      </c>
      <c r="BM94" s="1113">
        <v>5352310</v>
      </c>
      <c r="BN94" s="1113">
        <v>2856684</v>
      </c>
      <c r="BO94" s="1113">
        <v>379893</v>
      </c>
      <c r="BP94" s="1113">
        <v>1384534</v>
      </c>
      <c r="BQ94" s="1113">
        <v>7717480</v>
      </c>
      <c r="BR94" s="1113">
        <v>50</v>
      </c>
      <c r="BS94" s="271">
        <v>399040</v>
      </c>
      <c r="BT94" s="300">
        <v>0</v>
      </c>
      <c r="BU94" s="300">
        <v>6132444</v>
      </c>
      <c r="BV94" s="300">
        <v>40050</v>
      </c>
      <c r="BW94" s="300">
        <v>0</v>
      </c>
      <c r="BX94" s="300">
        <v>140295</v>
      </c>
      <c r="BY94" s="300">
        <v>0</v>
      </c>
      <c r="BZ94" s="300">
        <v>153725</v>
      </c>
      <c r="CA94" s="300">
        <v>0</v>
      </c>
      <c r="CB94" s="300">
        <v>0</v>
      </c>
      <c r="CC94" s="300">
        <v>4000</v>
      </c>
      <c r="CD94" s="300">
        <v>0</v>
      </c>
      <c r="CE94" s="300">
        <v>0</v>
      </c>
    </row>
    <row r="95" spans="1:83" x14ac:dyDescent="0.3">
      <c r="A95" s="271">
        <v>328</v>
      </c>
      <c r="B95" s="271">
        <v>328</v>
      </c>
      <c r="C95" s="271" t="s">
        <v>551</v>
      </c>
      <c r="D95" s="271" t="s">
        <v>412</v>
      </c>
      <c r="E95" s="1113">
        <v>632275</v>
      </c>
      <c r="F95" s="271">
        <v>3500</v>
      </c>
      <c r="G95" s="271">
        <v>0</v>
      </c>
      <c r="H95" s="1113">
        <v>387163</v>
      </c>
      <c r="I95" s="271">
        <v>0</v>
      </c>
      <c r="J95" s="1113">
        <v>0</v>
      </c>
      <c r="K95" s="271">
        <v>0</v>
      </c>
      <c r="L95" s="271">
        <v>2266385</v>
      </c>
      <c r="M95" s="1113">
        <v>700853</v>
      </c>
      <c r="N95" s="271">
        <v>0</v>
      </c>
      <c r="O95" s="1113">
        <v>0</v>
      </c>
      <c r="P95" s="271">
        <v>0</v>
      </c>
      <c r="Q95" s="271">
        <v>625413</v>
      </c>
      <c r="R95" s="1113">
        <v>264654</v>
      </c>
      <c r="S95" s="271">
        <v>0</v>
      </c>
      <c r="T95" s="271">
        <v>0</v>
      </c>
      <c r="U95" s="271">
        <v>0</v>
      </c>
      <c r="V95" s="1113">
        <v>0</v>
      </c>
      <c r="W95" s="1113">
        <v>0</v>
      </c>
      <c r="X95" s="271">
        <v>0</v>
      </c>
      <c r="Y95" s="1113">
        <v>0</v>
      </c>
      <c r="Z95" s="271">
        <v>856</v>
      </c>
      <c r="AA95" s="271">
        <v>3906197</v>
      </c>
      <c r="AB95" s="1113">
        <v>0</v>
      </c>
      <c r="AC95" s="271">
        <v>853</v>
      </c>
      <c r="AD95" s="271">
        <v>0</v>
      </c>
      <c r="AE95" s="1113">
        <v>0</v>
      </c>
      <c r="AF95" s="271">
        <v>0</v>
      </c>
      <c r="AG95" s="271">
        <v>76255696</v>
      </c>
      <c r="AH95" s="271">
        <v>0</v>
      </c>
      <c r="AI95" s="271">
        <v>0</v>
      </c>
      <c r="AJ95" s="271">
        <v>247878</v>
      </c>
      <c r="AK95" s="1113">
        <v>0</v>
      </c>
      <c r="AL95" s="271">
        <v>25650</v>
      </c>
      <c r="AM95" s="271">
        <v>0</v>
      </c>
      <c r="AN95" s="1113">
        <v>0</v>
      </c>
      <c r="AO95" s="271">
        <v>642352</v>
      </c>
      <c r="AP95" s="1113">
        <v>0</v>
      </c>
      <c r="AQ95" s="271">
        <v>43997</v>
      </c>
      <c r="AR95" s="271">
        <v>0</v>
      </c>
      <c r="AS95" s="271">
        <v>0</v>
      </c>
      <c r="AT95" s="271">
        <v>318971</v>
      </c>
      <c r="AU95" s="271">
        <v>266390</v>
      </c>
      <c r="AV95" s="271">
        <v>115878014</v>
      </c>
      <c r="AW95" s="271">
        <v>14407873</v>
      </c>
      <c r="AX95" s="271">
        <v>7085</v>
      </c>
      <c r="AY95" s="1113">
        <v>0</v>
      </c>
      <c r="AZ95" s="271">
        <v>0</v>
      </c>
      <c r="BA95" s="271">
        <v>0</v>
      </c>
      <c r="BB95" s="1113">
        <v>0</v>
      </c>
      <c r="BC95" s="1113">
        <v>0</v>
      </c>
      <c r="BD95" s="271">
        <v>0</v>
      </c>
      <c r="BE95" s="271">
        <v>0</v>
      </c>
      <c r="BF95" s="271">
        <v>0</v>
      </c>
      <c r="BG95" s="1113">
        <v>824089</v>
      </c>
      <c r="BH95" s="271">
        <v>0</v>
      </c>
      <c r="BI95" s="271">
        <v>699933</v>
      </c>
      <c r="BJ95" s="271">
        <v>97580</v>
      </c>
      <c r="BK95" s="1113">
        <v>0</v>
      </c>
      <c r="BL95" s="271">
        <v>0</v>
      </c>
      <c r="BM95" s="1113">
        <v>7163439</v>
      </c>
      <c r="BN95" s="1113">
        <v>8426971</v>
      </c>
      <c r="BO95" s="271">
        <v>57287</v>
      </c>
      <c r="BP95" s="1113">
        <v>11687456</v>
      </c>
      <c r="BQ95" s="1113">
        <v>73659574</v>
      </c>
      <c r="BR95" s="1113">
        <v>235060</v>
      </c>
      <c r="BS95" s="271">
        <v>1222411</v>
      </c>
      <c r="BT95" s="300">
        <v>0</v>
      </c>
      <c r="BU95" s="300">
        <v>9205410</v>
      </c>
      <c r="BV95" s="300">
        <v>0</v>
      </c>
      <c r="BW95" s="300">
        <v>0</v>
      </c>
      <c r="BX95" s="300">
        <v>0</v>
      </c>
      <c r="BY95" s="300">
        <v>0</v>
      </c>
      <c r="BZ95" s="300">
        <v>1199217</v>
      </c>
      <c r="CA95" s="300">
        <v>717858</v>
      </c>
      <c r="CB95" s="300">
        <v>0</v>
      </c>
      <c r="CC95" s="300">
        <v>23030</v>
      </c>
      <c r="CD95" s="300">
        <v>0</v>
      </c>
      <c r="CE95" s="300">
        <v>0</v>
      </c>
    </row>
    <row r="96" spans="1:83" x14ac:dyDescent="0.3">
      <c r="A96" s="271"/>
      <c r="B96" s="271">
        <v>330</v>
      </c>
      <c r="C96" s="271" t="s">
        <v>635</v>
      </c>
      <c r="D96" s="271" t="s">
        <v>413</v>
      </c>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1"/>
      <c r="AI96" s="271"/>
      <c r="AJ96" s="271"/>
      <c r="AK96" s="271"/>
      <c r="AL96" s="271"/>
      <c r="AM96" s="271"/>
      <c r="AN96" s="271"/>
      <c r="AO96" s="271"/>
      <c r="AP96" s="271"/>
      <c r="AQ96" s="271"/>
      <c r="AR96" s="271"/>
      <c r="AS96" s="271"/>
      <c r="AT96" s="271"/>
      <c r="AU96" s="271"/>
      <c r="AV96" s="271"/>
      <c r="AW96" s="271"/>
      <c r="AX96" s="271"/>
      <c r="AY96" s="271"/>
      <c r="AZ96" s="271"/>
      <c r="BA96" s="271"/>
      <c r="BB96" s="271"/>
      <c r="BC96" s="271"/>
      <c r="BD96" s="271"/>
      <c r="BE96" s="271"/>
      <c r="BF96" s="271"/>
      <c r="BG96" s="271"/>
      <c r="BH96" s="271"/>
      <c r="BI96" s="271"/>
      <c r="BJ96" s="271"/>
      <c r="BK96" s="271"/>
      <c r="BL96" s="271"/>
      <c r="BM96" s="271"/>
      <c r="BN96" s="271"/>
      <c r="BO96" s="271"/>
      <c r="BP96" s="271"/>
      <c r="BQ96" s="271"/>
      <c r="BR96" s="271"/>
      <c r="BS96" s="271"/>
    </row>
    <row r="97" spans="1:83" x14ac:dyDescent="0.3">
      <c r="A97" s="271">
        <v>331</v>
      </c>
      <c r="B97" s="271">
        <v>331</v>
      </c>
      <c r="C97" s="271" t="s">
        <v>247</v>
      </c>
      <c r="D97" s="271" t="s">
        <v>414</v>
      </c>
      <c r="E97" s="271">
        <v>311500</v>
      </c>
      <c r="F97" s="1113">
        <v>69500</v>
      </c>
      <c r="G97" s="1113">
        <v>0</v>
      </c>
      <c r="H97" s="1113">
        <v>25086</v>
      </c>
      <c r="I97" s="271">
        <v>30000</v>
      </c>
      <c r="J97" s="1113">
        <v>0</v>
      </c>
      <c r="K97" s="1113">
        <v>0</v>
      </c>
      <c r="L97" s="1113">
        <v>0</v>
      </c>
      <c r="M97" s="1113">
        <v>467556</v>
      </c>
      <c r="N97" s="271">
        <v>0</v>
      </c>
      <c r="O97" s="1113">
        <v>0</v>
      </c>
      <c r="P97" s="271">
        <v>0</v>
      </c>
      <c r="Q97" s="1113">
        <v>0</v>
      </c>
      <c r="R97" s="1113">
        <v>93532</v>
      </c>
      <c r="S97" s="271">
        <v>0</v>
      </c>
      <c r="T97" s="1113">
        <v>0</v>
      </c>
      <c r="U97" s="1113">
        <v>59167</v>
      </c>
      <c r="V97" s="1113">
        <v>89294</v>
      </c>
      <c r="W97" s="271">
        <v>833826</v>
      </c>
      <c r="X97" s="1113">
        <v>0</v>
      </c>
      <c r="Y97" s="1113">
        <v>10266</v>
      </c>
      <c r="Z97" s="271">
        <v>67203</v>
      </c>
      <c r="AA97" s="1113">
        <v>2527941</v>
      </c>
      <c r="AB97" s="1113">
        <v>0</v>
      </c>
      <c r="AC97" s="1113">
        <v>12719</v>
      </c>
      <c r="AD97" s="1113">
        <v>0</v>
      </c>
      <c r="AE97" s="1113">
        <v>0</v>
      </c>
      <c r="AF97" s="271">
        <v>0</v>
      </c>
      <c r="AG97" s="271">
        <v>6084248</v>
      </c>
      <c r="AH97" s="1113">
        <v>0</v>
      </c>
      <c r="AI97" s="1113">
        <v>0</v>
      </c>
      <c r="AJ97" s="1113">
        <v>47801</v>
      </c>
      <c r="AK97" s="1113">
        <v>0</v>
      </c>
      <c r="AL97" s="271">
        <v>0</v>
      </c>
      <c r="AM97" s="271">
        <v>0</v>
      </c>
      <c r="AN97" s="1113">
        <v>48946</v>
      </c>
      <c r="AO97" s="271">
        <v>531800</v>
      </c>
      <c r="AP97" s="1113">
        <v>0</v>
      </c>
      <c r="AQ97" s="271">
        <v>149470</v>
      </c>
      <c r="AR97" s="1113">
        <v>0</v>
      </c>
      <c r="AS97" s="1113">
        <v>0</v>
      </c>
      <c r="AT97" s="271">
        <v>169376</v>
      </c>
      <c r="AU97" s="1113">
        <v>0</v>
      </c>
      <c r="AV97" s="271">
        <v>16135000</v>
      </c>
      <c r="AW97" s="1113">
        <v>8960650</v>
      </c>
      <c r="AX97" s="1113">
        <v>31500</v>
      </c>
      <c r="AY97" s="1113">
        <v>12297</v>
      </c>
      <c r="AZ97" s="271">
        <v>0</v>
      </c>
      <c r="BA97" s="271">
        <v>0</v>
      </c>
      <c r="BB97" s="271">
        <v>0</v>
      </c>
      <c r="BC97" s="1113">
        <v>106250</v>
      </c>
      <c r="BD97" s="271">
        <v>4000</v>
      </c>
      <c r="BE97" s="1113">
        <v>0</v>
      </c>
      <c r="BF97" s="1113">
        <v>19041</v>
      </c>
      <c r="BG97" s="1113">
        <v>1378320</v>
      </c>
      <c r="BH97" s="1113">
        <v>0</v>
      </c>
      <c r="BI97" s="1113">
        <v>540038</v>
      </c>
      <c r="BJ97" s="1113">
        <v>13000</v>
      </c>
      <c r="BK97" s="1113">
        <v>0</v>
      </c>
      <c r="BL97" s="271">
        <v>0</v>
      </c>
      <c r="BM97" s="271">
        <v>2416733</v>
      </c>
      <c r="BN97" s="1113">
        <v>1914347</v>
      </c>
      <c r="BO97" s="1113">
        <v>382980</v>
      </c>
      <c r="BP97" s="1113">
        <v>2718538</v>
      </c>
      <c r="BQ97" s="1113">
        <v>9520828</v>
      </c>
      <c r="BR97" s="1113">
        <v>0</v>
      </c>
      <c r="BS97" s="271">
        <v>93349</v>
      </c>
      <c r="BT97" s="300">
        <v>0</v>
      </c>
      <c r="BU97" s="300">
        <v>1171275</v>
      </c>
      <c r="BV97" s="300">
        <v>0</v>
      </c>
      <c r="BW97" s="300">
        <v>0</v>
      </c>
      <c r="BX97" s="300">
        <v>709646</v>
      </c>
      <c r="BY97" s="300">
        <v>0</v>
      </c>
      <c r="BZ97" s="300">
        <v>2821190</v>
      </c>
      <c r="CA97" s="300">
        <v>8208</v>
      </c>
      <c r="CB97" s="300">
        <v>0</v>
      </c>
      <c r="CC97" s="300">
        <v>19098</v>
      </c>
      <c r="CD97" s="300">
        <v>0</v>
      </c>
      <c r="CE97" s="300">
        <v>0</v>
      </c>
    </row>
    <row r="98" spans="1:83" x14ac:dyDescent="0.3">
      <c r="A98" s="271">
        <v>332</v>
      </c>
      <c r="B98" s="271">
        <v>332</v>
      </c>
      <c r="C98" s="271" t="s">
        <v>248</v>
      </c>
      <c r="D98" s="271" t="s">
        <v>415</v>
      </c>
      <c r="E98" s="1113">
        <v>108587</v>
      </c>
      <c r="F98" s="1113">
        <v>406251</v>
      </c>
      <c r="G98" s="271">
        <v>0</v>
      </c>
      <c r="H98" s="1113">
        <v>415630</v>
      </c>
      <c r="I98" s="271">
        <v>0</v>
      </c>
      <c r="J98" s="1113">
        <v>0</v>
      </c>
      <c r="K98" s="1113">
        <v>0</v>
      </c>
      <c r="L98" s="1113">
        <v>2217007</v>
      </c>
      <c r="M98" s="1113">
        <v>928917</v>
      </c>
      <c r="N98" s="271">
        <v>0</v>
      </c>
      <c r="O98" s="1113">
        <v>0</v>
      </c>
      <c r="P98" s="271">
        <v>0</v>
      </c>
      <c r="Q98" s="1113">
        <v>531811</v>
      </c>
      <c r="R98" s="1113">
        <v>910953</v>
      </c>
      <c r="S98" s="271">
        <v>0</v>
      </c>
      <c r="T98" s="271">
        <v>1021896</v>
      </c>
      <c r="U98" s="1113">
        <v>83897</v>
      </c>
      <c r="V98" s="1113">
        <v>30484</v>
      </c>
      <c r="W98" s="271">
        <v>2380063</v>
      </c>
      <c r="X98" s="271">
        <v>0</v>
      </c>
      <c r="Y98" s="1113">
        <v>115995</v>
      </c>
      <c r="Z98" s="271">
        <v>490837</v>
      </c>
      <c r="AA98" s="271">
        <v>3273050</v>
      </c>
      <c r="AB98" s="1113">
        <v>0</v>
      </c>
      <c r="AC98" s="1113">
        <v>170511</v>
      </c>
      <c r="AD98" s="1113">
        <v>0</v>
      </c>
      <c r="AE98" s="1113">
        <v>0</v>
      </c>
      <c r="AF98" s="271">
        <v>0</v>
      </c>
      <c r="AG98" s="271">
        <v>10701425</v>
      </c>
      <c r="AH98" s="1113">
        <v>0</v>
      </c>
      <c r="AI98" s="1113">
        <v>0</v>
      </c>
      <c r="AJ98" s="271">
        <v>352240</v>
      </c>
      <c r="AK98" s="1113">
        <v>0</v>
      </c>
      <c r="AL98" s="271">
        <v>4950</v>
      </c>
      <c r="AM98" s="271">
        <v>0</v>
      </c>
      <c r="AN98" s="1113">
        <v>331024</v>
      </c>
      <c r="AO98" s="1113">
        <v>618969</v>
      </c>
      <c r="AP98" s="1113">
        <v>0</v>
      </c>
      <c r="AQ98" s="271">
        <v>484970</v>
      </c>
      <c r="AR98" s="271">
        <v>0</v>
      </c>
      <c r="AS98" s="1113">
        <v>0</v>
      </c>
      <c r="AT98" s="271">
        <v>253444</v>
      </c>
      <c r="AU98" s="1113">
        <v>38000</v>
      </c>
      <c r="AV98" s="271">
        <v>75258798</v>
      </c>
      <c r="AW98" s="1113">
        <v>7860570</v>
      </c>
      <c r="AX98" s="271">
        <v>120611</v>
      </c>
      <c r="AY98" s="1113">
        <v>0</v>
      </c>
      <c r="AZ98" s="271">
        <v>55423</v>
      </c>
      <c r="BA98" s="271">
        <v>2245</v>
      </c>
      <c r="BB98" s="271">
        <v>0</v>
      </c>
      <c r="BC98" s="1113">
        <v>87481</v>
      </c>
      <c r="BD98" s="271">
        <v>0</v>
      </c>
      <c r="BE98" s="271">
        <v>0</v>
      </c>
      <c r="BF98" s="1113">
        <v>0</v>
      </c>
      <c r="BG98" s="1113">
        <v>2392388</v>
      </c>
      <c r="BH98" s="271">
        <v>0</v>
      </c>
      <c r="BI98" s="1113">
        <v>762636</v>
      </c>
      <c r="BJ98" s="271">
        <v>175872</v>
      </c>
      <c r="BK98" s="1113">
        <v>0</v>
      </c>
      <c r="BL98" s="271">
        <v>0</v>
      </c>
      <c r="BM98" s="1113">
        <v>5835212</v>
      </c>
      <c r="BN98" s="1113">
        <v>4932399</v>
      </c>
      <c r="BO98" s="1113">
        <v>20609</v>
      </c>
      <c r="BP98" s="1113">
        <v>5079051</v>
      </c>
      <c r="BQ98" s="1113">
        <v>14973028</v>
      </c>
      <c r="BR98" s="1113">
        <v>145782</v>
      </c>
      <c r="BS98" s="271">
        <v>1631959</v>
      </c>
      <c r="BT98" s="300">
        <v>0</v>
      </c>
      <c r="BU98" s="300">
        <v>6172577</v>
      </c>
      <c r="BV98" s="300">
        <v>0</v>
      </c>
      <c r="BW98" s="300">
        <v>0</v>
      </c>
      <c r="BX98" s="300">
        <v>1603287</v>
      </c>
      <c r="BY98" s="300">
        <v>0</v>
      </c>
      <c r="BZ98" s="300">
        <v>1297996</v>
      </c>
      <c r="CA98" s="300">
        <v>28270</v>
      </c>
      <c r="CB98" s="300">
        <v>0</v>
      </c>
      <c r="CC98" s="300">
        <v>11450</v>
      </c>
      <c r="CD98" s="300">
        <v>0</v>
      </c>
      <c r="CE98" s="300">
        <v>0</v>
      </c>
    </row>
    <row r="99" spans="1:83" x14ac:dyDescent="0.3">
      <c r="A99" s="271">
        <v>333</v>
      </c>
      <c r="B99" s="271">
        <v>333</v>
      </c>
      <c r="C99" s="271" t="s">
        <v>184</v>
      </c>
      <c r="D99" s="271" t="s">
        <v>416</v>
      </c>
      <c r="E99" s="1113">
        <v>409601</v>
      </c>
      <c r="F99" s="1113">
        <v>737056</v>
      </c>
      <c r="G99" s="1113">
        <v>426750</v>
      </c>
      <c r="H99" s="1113">
        <v>974918</v>
      </c>
      <c r="I99" s="1113">
        <v>612745</v>
      </c>
      <c r="J99" s="1113">
        <v>173652</v>
      </c>
      <c r="K99" s="1113">
        <v>97959</v>
      </c>
      <c r="L99" s="1113">
        <v>451483</v>
      </c>
      <c r="M99" s="1113">
        <v>2688990</v>
      </c>
      <c r="N99" s="1113">
        <v>99184223</v>
      </c>
      <c r="O99" s="1113">
        <v>3092539</v>
      </c>
      <c r="P99" s="1113">
        <v>3897399</v>
      </c>
      <c r="Q99" s="1113">
        <v>101497</v>
      </c>
      <c r="R99" s="1113">
        <v>4311690</v>
      </c>
      <c r="S99" s="271">
        <v>125495</v>
      </c>
      <c r="T99" s="1113">
        <v>480095</v>
      </c>
      <c r="U99" s="1113">
        <v>454497</v>
      </c>
      <c r="V99" s="1113">
        <v>1030579</v>
      </c>
      <c r="W99" s="1113">
        <v>2968894</v>
      </c>
      <c r="X99" s="1113">
        <v>1012922</v>
      </c>
      <c r="Y99" s="1113">
        <v>523822</v>
      </c>
      <c r="Z99" s="1113">
        <v>172128</v>
      </c>
      <c r="AA99" s="1113">
        <v>38845755</v>
      </c>
      <c r="AB99" s="1113">
        <v>4089872</v>
      </c>
      <c r="AC99" s="1113">
        <v>706874</v>
      </c>
      <c r="AD99" s="1113">
        <v>31193353</v>
      </c>
      <c r="AE99" s="1113">
        <v>400595</v>
      </c>
      <c r="AF99" s="1113">
        <v>0</v>
      </c>
      <c r="AG99" s="1113">
        <v>30658904</v>
      </c>
      <c r="AH99" s="1113">
        <v>823858</v>
      </c>
      <c r="AI99" s="1113">
        <v>281499</v>
      </c>
      <c r="AJ99" s="1113">
        <v>2494793</v>
      </c>
      <c r="AK99" s="1113">
        <v>735914</v>
      </c>
      <c r="AL99" s="271">
        <v>38623</v>
      </c>
      <c r="AM99" s="1113">
        <v>0</v>
      </c>
      <c r="AN99" s="1113">
        <v>559548</v>
      </c>
      <c r="AO99" s="1113">
        <v>11828699</v>
      </c>
      <c r="AP99" s="1113">
        <v>50284</v>
      </c>
      <c r="AQ99" s="1113">
        <v>2886787</v>
      </c>
      <c r="AR99" s="1113">
        <v>1974749</v>
      </c>
      <c r="AS99" s="1113">
        <v>197349</v>
      </c>
      <c r="AT99" s="1113">
        <v>564113</v>
      </c>
      <c r="AU99" s="1113">
        <v>466810</v>
      </c>
      <c r="AV99" s="271">
        <v>149607861</v>
      </c>
      <c r="AW99" s="1113">
        <v>38393662</v>
      </c>
      <c r="AX99" s="1113">
        <v>690046</v>
      </c>
      <c r="AY99" s="1113">
        <v>255862</v>
      </c>
      <c r="AZ99" s="1113">
        <v>241793</v>
      </c>
      <c r="BA99" s="1113">
        <v>95057</v>
      </c>
      <c r="BB99" s="1113">
        <v>0</v>
      </c>
      <c r="BC99" s="1113">
        <v>2616300</v>
      </c>
      <c r="BD99" s="1113">
        <v>1117806</v>
      </c>
      <c r="BE99" s="1113">
        <v>194170</v>
      </c>
      <c r="BF99" s="1113">
        <v>113502</v>
      </c>
      <c r="BG99" s="1113">
        <v>9664143</v>
      </c>
      <c r="BH99" s="1113">
        <v>61413</v>
      </c>
      <c r="BI99" s="1113">
        <v>10219042</v>
      </c>
      <c r="BJ99" s="1113">
        <v>372065</v>
      </c>
      <c r="BK99" s="1113">
        <v>398002</v>
      </c>
      <c r="BL99" s="1113">
        <v>478727</v>
      </c>
      <c r="BM99" s="1113">
        <v>11299385</v>
      </c>
      <c r="BN99" s="1113">
        <v>5849729</v>
      </c>
      <c r="BO99" s="1113">
        <v>1436647</v>
      </c>
      <c r="BP99" s="1113">
        <v>44158477</v>
      </c>
      <c r="BQ99" s="1113">
        <v>48171951</v>
      </c>
      <c r="BR99" s="1113">
        <v>230131</v>
      </c>
      <c r="BS99" s="1113">
        <v>4687316</v>
      </c>
      <c r="BT99" s="300">
        <v>2452329</v>
      </c>
      <c r="BU99" s="300">
        <v>5362995</v>
      </c>
      <c r="BV99" s="300">
        <v>236798</v>
      </c>
      <c r="BW99" s="300">
        <v>970292</v>
      </c>
      <c r="BX99" s="300">
        <v>9253743</v>
      </c>
      <c r="BY99" s="300">
        <v>0</v>
      </c>
      <c r="BZ99" s="300">
        <v>33048965</v>
      </c>
      <c r="CA99" s="300">
        <v>288357</v>
      </c>
      <c r="CB99" s="300">
        <v>7111755</v>
      </c>
      <c r="CC99" s="300">
        <v>353649</v>
      </c>
      <c r="CD99" s="300">
        <v>1499521</v>
      </c>
      <c r="CE99" s="300">
        <v>42954800</v>
      </c>
    </row>
    <row r="100" spans="1:83" x14ac:dyDescent="0.3">
      <c r="A100" s="271">
        <v>334</v>
      </c>
      <c r="B100" s="271">
        <v>334</v>
      </c>
      <c r="C100" s="271" t="s">
        <v>276</v>
      </c>
      <c r="D100" s="271" t="s">
        <v>417</v>
      </c>
      <c r="E100" s="1113">
        <v>927262</v>
      </c>
      <c r="F100" s="1113">
        <v>4083471</v>
      </c>
      <c r="G100" s="1113">
        <v>1517236</v>
      </c>
      <c r="H100" s="1113">
        <v>1145284</v>
      </c>
      <c r="I100" s="1113">
        <v>1364104</v>
      </c>
      <c r="J100" s="1113">
        <v>488714</v>
      </c>
      <c r="K100" s="1113">
        <v>151151</v>
      </c>
      <c r="L100" s="1113">
        <v>105289</v>
      </c>
      <c r="M100" s="1113">
        <v>10086932</v>
      </c>
      <c r="N100" s="1113">
        <v>719093461</v>
      </c>
      <c r="O100" s="1113">
        <v>3774782</v>
      </c>
      <c r="P100" s="1113">
        <v>14693793</v>
      </c>
      <c r="Q100" s="1113">
        <v>76699</v>
      </c>
      <c r="R100" s="1113">
        <v>25604231</v>
      </c>
      <c r="S100" s="271">
        <v>269105</v>
      </c>
      <c r="T100" s="1113">
        <v>553383</v>
      </c>
      <c r="U100" s="1113">
        <v>2835128</v>
      </c>
      <c r="V100" s="1113">
        <v>1339144</v>
      </c>
      <c r="W100" s="1113">
        <v>9793996</v>
      </c>
      <c r="X100" s="1113">
        <v>1886884</v>
      </c>
      <c r="Y100" s="1113">
        <v>864577</v>
      </c>
      <c r="Z100" s="1113">
        <v>1949024</v>
      </c>
      <c r="AA100" s="1113">
        <v>102421824</v>
      </c>
      <c r="AB100" s="1113">
        <v>1149423</v>
      </c>
      <c r="AC100" s="1113">
        <v>726670</v>
      </c>
      <c r="AD100" s="1113">
        <v>134837140</v>
      </c>
      <c r="AE100" s="1113">
        <v>2055789</v>
      </c>
      <c r="AF100" s="1113">
        <v>0</v>
      </c>
      <c r="AG100" s="1113">
        <v>426966739</v>
      </c>
      <c r="AH100" s="1113">
        <v>534624</v>
      </c>
      <c r="AI100" s="1113">
        <v>364477</v>
      </c>
      <c r="AJ100" s="1113">
        <v>8788798</v>
      </c>
      <c r="AK100" s="1113">
        <v>1723812</v>
      </c>
      <c r="AL100" s="271">
        <v>671242</v>
      </c>
      <c r="AM100" s="1113">
        <v>0</v>
      </c>
      <c r="AN100" s="1113">
        <v>882914</v>
      </c>
      <c r="AO100" s="1113">
        <v>27983054</v>
      </c>
      <c r="AP100" s="1113">
        <v>0</v>
      </c>
      <c r="AQ100" s="1113">
        <v>7552483</v>
      </c>
      <c r="AR100" s="1113">
        <v>4575900</v>
      </c>
      <c r="AS100" s="1113">
        <v>300791</v>
      </c>
      <c r="AT100" s="1113">
        <v>3145606</v>
      </c>
      <c r="AU100" s="1113">
        <v>510519</v>
      </c>
      <c r="AV100" s="271">
        <v>775443271</v>
      </c>
      <c r="AW100" s="1113">
        <v>291685435</v>
      </c>
      <c r="AX100" s="1113">
        <v>8460838</v>
      </c>
      <c r="AY100" s="1113">
        <v>628684</v>
      </c>
      <c r="AZ100" s="1113">
        <v>540415</v>
      </c>
      <c r="BA100" s="1113">
        <v>178469</v>
      </c>
      <c r="BB100" s="1113">
        <v>0</v>
      </c>
      <c r="BC100" s="1113">
        <v>22119031</v>
      </c>
      <c r="BD100" s="271">
        <v>734432</v>
      </c>
      <c r="BE100" s="1113">
        <v>433421</v>
      </c>
      <c r="BF100" s="1113">
        <v>54824</v>
      </c>
      <c r="BG100" s="1113">
        <v>25912487</v>
      </c>
      <c r="BH100" s="1113">
        <v>63857</v>
      </c>
      <c r="BI100" s="1113">
        <v>20539102</v>
      </c>
      <c r="BJ100" s="1113">
        <v>5251587</v>
      </c>
      <c r="BK100" s="1113">
        <v>1254013</v>
      </c>
      <c r="BL100" s="1113">
        <v>274596</v>
      </c>
      <c r="BM100" s="1113">
        <v>41962936</v>
      </c>
      <c r="BN100" s="1113">
        <v>44544715</v>
      </c>
      <c r="BO100" s="1113">
        <v>4309067</v>
      </c>
      <c r="BP100" s="1113">
        <v>135953350</v>
      </c>
      <c r="BQ100" s="1113">
        <v>730212457</v>
      </c>
      <c r="BR100" s="1113">
        <v>1523627</v>
      </c>
      <c r="BS100" s="1113">
        <v>22591629</v>
      </c>
      <c r="BT100" s="300">
        <v>4012860</v>
      </c>
      <c r="BU100" s="300">
        <v>26798143</v>
      </c>
      <c r="BV100" s="300">
        <v>2113840</v>
      </c>
      <c r="BW100" s="300">
        <v>1217434</v>
      </c>
      <c r="BX100" s="300">
        <v>6335347</v>
      </c>
      <c r="BY100" s="300">
        <v>0</v>
      </c>
      <c r="BZ100" s="300">
        <v>133085387</v>
      </c>
      <c r="CA100" s="300">
        <v>1908668</v>
      </c>
      <c r="CB100" s="300">
        <v>36819766</v>
      </c>
      <c r="CC100" s="300">
        <v>1101945</v>
      </c>
      <c r="CD100" s="300">
        <v>6290559</v>
      </c>
      <c r="CE100" s="300">
        <v>131598047</v>
      </c>
    </row>
    <row r="101" spans="1:83" x14ac:dyDescent="0.3">
      <c r="A101" s="271">
        <v>335</v>
      </c>
      <c r="B101" s="271">
        <v>335</v>
      </c>
      <c r="C101" s="271" t="s">
        <v>117</v>
      </c>
      <c r="D101" s="271" t="s">
        <v>418</v>
      </c>
      <c r="E101" s="271">
        <v>0</v>
      </c>
      <c r="F101" s="271">
        <v>0</v>
      </c>
      <c r="G101" s="271">
        <v>0</v>
      </c>
      <c r="H101" s="271">
        <v>0</v>
      </c>
      <c r="I101" s="1113">
        <v>0</v>
      </c>
      <c r="J101" s="271">
        <v>0</v>
      </c>
      <c r="K101" s="271">
        <v>0</v>
      </c>
      <c r="L101" s="271">
        <v>0</v>
      </c>
      <c r="M101" s="271">
        <v>0</v>
      </c>
      <c r="N101" s="271">
        <v>667748</v>
      </c>
      <c r="O101" s="271">
        <v>0</v>
      </c>
      <c r="P101" s="271">
        <v>0</v>
      </c>
      <c r="Q101" s="1113">
        <v>6610</v>
      </c>
      <c r="R101" s="1113">
        <v>0</v>
      </c>
      <c r="S101" s="271">
        <v>0</v>
      </c>
      <c r="T101" s="271">
        <v>0</v>
      </c>
      <c r="U101" s="271">
        <v>0</v>
      </c>
      <c r="V101" s="271">
        <v>0</v>
      </c>
      <c r="W101" s="271">
        <v>0</v>
      </c>
      <c r="X101" s="271">
        <v>0</v>
      </c>
      <c r="Y101" s="271">
        <v>0</v>
      </c>
      <c r="Z101" s="271">
        <v>0</v>
      </c>
      <c r="AA101" s="271">
        <v>995165</v>
      </c>
      <c r="AB101" s="271">
        <v>0</v>
      </c>
      <c r="AC101" s="271">
        <v>0</v>
      </c>
      <c r="AD101" s="271">
        <v>0</v>
      </c>
      <c r="AE101" s="271">
        <v>0</v>
      </c>
      <c r="AF101" s="271">
        <v>0</v>
      </c>
      <c r="AG101" s="271">
        <v>0</v>
      </c>
      <c r="AH101" s="271">
        <v>0</v>
      </c>
      <c r="AI101" s="271">
        <v>0</v>
      </c>
      <c r="AJ101" s="271">
        <v>0</v>
      </c>
      <c r="AK101" s="271">
        <v>0</v>
      </c>
      <c r="AL101" s="271">
        <v>0</v>
      </c>
      <c r="AM101" s="271">
        <v>0</v>
      </c>
      <c r="AN101" s="271">
        <v>0</v>
      </c>
      <c r="AO101" s="271">
        <v>0</v>
      </c>
      <c r="AP101" s="271">
        <v>0</v>
      </c>
      <c r="AQ101" s="271">
        <v>0</v>
      </c>
      <c r="AR101" s="271">
        <v>0</v>
      </c>
      <c r="AS101" s="271">
        <v>0</v>
      </c>
      <c r="AT101" s="271">
        <v>0</v>
      </c>
      <c r="AU101" s="271">
        <v>0</v>
      </c>
      <c r="AV101" s="271">
        <v>2919735</v>
      </c>
      <c r="AW101" s="271">
        <v>0</v>
      </c>
      <c r="AX101" s="271">
        <v>0</v>
      </c>
      <c r="AY101" s="271">
        <v>0</v>
      </c>
      <c r="AZ101" s="271">
        <v>0</v>
      </c>
      <c r="BA101" s="271">
        <v>0</v>
      </c>
      <c r="BB101" s="271">
        <v>0</v>
      </c>
      <c r="BC101" s="271">
        <v>0</v>
      </c>
      <c r="BD101" s="271">
        <v>0</v>
      </c>
      <c r="BE101" s="271">
        <v>0</v>
      </c>
      <c r="BF101" s="271">
        <v>0</v>
      </c>
      <c r="BG101" s="271">
        <v>31700</v>
      </c>
      <c r="BH101" s="271">
        <v>0</v>
      </c>
      <c r="BI101" s="271">
        <v>109291</v>
      </c>
      <c r="BJ101" s="271">
        <v>0</v>
      </c>
      <c r="BK101" s="271">
        <v>0</v>
      </c>
      <c r="BL101" s="271">
        <v>0</v>
      </c>
      <c r="BM101" s="271">
        <v>0</v>
      </c>
      <c r="BN101" s="271">
        <v>1600</v>
      </c>
      <c r="BO101" s="271">
        <v>0</v>
      </c>
      <c r="BP101" s="271">
        <v>0</v>
      </c>
      <c r="BQ101" s="271">
        <v>0</v>
      </c>
      <c r="BR101" s="271">
        <v>0</v>
      </c>
      <c r="BS101" s="1113">
        <v>0</v>
      </c>
      <c r="BT101" s="300">
        <v>0</v>
      </c>
      <c r="BU101" s="300">
        <v>27381</v>
      </c>
      <c r="BV101" s="300">
        <v>0</v>
      </c>
      <c r="BW101" s="300">
        <v>0</v>
      </c>
      <c r="BX101" s="300">
        <v>0</v>
      </c>
      <c r="BY101" s="300">
        <v>0</v>
      </c>
      <c r="BZ101" s="300">
        <v>0</v>
      </c>
      <c r="CA101" s="300">
        <v>0</v>
      </c>
      <c r="CB101" s="300">
        <v>0</v>
      </c>
      <c r="CC101" s="300">
        <v>0</v>
      </c>
      <c r="CD101" s="300">
        <v>4525</v>
      </c>
      <c r="CE101" s="300">
        <v>362609</v>
      </c>
    </row>
    <row r="102" spans="1:83" x14ac:dyDescent="0.3">
      <c r="A102" s="271">
        <v>336</v>
      </c>
      <c r="B102" s="271">
        <v>336</v>
      </c>
      <c r="C102" s="271" t="s">
        <v>636</v>
      </c>
      <c r="D102" s="271" t="s">
        <v>419</v>
      </c>
      <c r="E102" s="1113">
        <v>2329</v>
      </c>
      <c r="F102" s="1113">
        <v>73078</v>
      </c>
      <c r="G102" s="1113">
        <v>69760</v>
      </c>
      <c r="H102" s="1113">
        <v>44129</v>
      </c>
      <c r="I102" s="1113">
        <v>166368</v>
      </c>
      <c r="J102" s="1113">
        <v>7226</v>
      </c>
      <c r="K102" s="1113">
        <v>467</v>
      </c>
      <c r="L102" s="1113">
        <v>998</v>
      </c>
      <c r="M102" s="1113">
        <v>362673</v>
      </c>
      <c r="N102" s="271">
        <v>25459937</v>
      </c>
      <c r="O102" s="1113">
        <v>17769</v>
      </c>
      <c r="P102" s="1113">
        <v>704264</v>
      </c>
      <c r="Q102" s="1113">
        <v>9891</v>
      </c>
      <c r="R102" s="1113">
        <v>1000757</v>
      </c>
      <c r="S102" s="271">
        <v>0</v>
      </c>
      <c r="T102" s="1113">
        <v>12510</v>
      </c>
      <c r="U102" s="1113">
        <v>106689</v>
      </c>
      <c r="V102" s="1113">
        <v>50606</v>
      </c>
      <c r="W102" s="1113">
        <v>238471</v>
      </c>
      <c r="X102" s="1113">
        <v>19618</v>
      </c>
      <c r="Y102" s="1113">
        <v>64065</v>
      </c>
      <c r="Z102" s="1113">
        <v>197578</v>
      </c>
      <c r="AA102" s="1113">
        <v>10647275</v>
      </c>
      <c r="AB102" s="1113">
        <v>2766</v>
      </c>
      <c r="AC102" s="1113">
        <v>30187</v>
      </c>
      <c r="AD102" s="1113">
        <v>5235052</v>
      </c>
      <c r="AE102" s="1113">
        <v>59927</v>
      </c>
      <c r="AF102" s="1113">
        <v>0</v>
      </c>
      <c r="AG102" s="271">
        <v>11899529</v>
      </c>
      <c r="AH102" s="1113">
        <v>12398</v>
      </c>
      <c r="AI102" s="1113">
        <v>7112</v>
      </c>
      <c r="AJ102" s="1113">
        <v>727647</v>
      </c>
      <c r="AK102" s="1113">
        <v>6057</v>
      </c>
      <c r="AL102" s="271">
        <v>2046</v>
      </c>
      <c r="AM102" s="271">
        <v>0</v>
      </c>
      <c r="AN102" s="1113">
        <v>0</v>
      </c>
      <c r="AO102" s="1113">
        <v>469772</v>
      </c>
      <c r="AP102" s="1113">
        <v>1400</v>
      </c>
      <c r="AQ102" s="1113">
        <v>229570</v>
      </c>
      <c r="AR102" s="1113">
        <v>235543</v>
      </c>
      <c r="AS102" s="1113">
        <v>976</v>
      </c>
      <c r="AT102" s="1113">
        <v>87366</v>
      </c>
      <c r="AU102" s="1113">
        <v>16843</v>
      </c>
      <c r="AV102" s="271">
        <v>77023347</v>
      </c>
      <c r="AW102" s="1113">
        <v>10509590</v>
      </c>
      <c r="AX102" s="1113">
        <v>111439</v>
      </c>
      <c r="AY102" s="1113">
        <v>3060</v>
      </c>
      <c r="AZ102" s="271">
        <v>23021</v>
      </c>
      <c r="BA102" s="1113">
        <v>0</v>
      </c>
      <c r="BB102" s="1113">
        <v>0</v>
      </c>
      <c r="BC102" s="1113">
        <v>262469</v>
      </c>
      <c r="BD102" s="1113">
        <v>3027</v>
      </c>
      <c r="BE102" s="1113">
        <v>3010</v>
      </c>
      <c r="BF102" s="1113">
        <v>3688</v>
      </c>
      <c r="BG102" s="1113">
        <v>1122858</v>
      </c>
      <c r="BH102" s="1113">
        <v>0</v>
      </c>
      <c r="BI102" s="1113">
        <v>870176</v>
      </c>
      <c r="BJ102" s="1113">
        <v>113296</v>
      </c>
      <c r="BK102" s="1113">
        <v>9812</v>
      </c>
      <c r="BL102" s="1113">
        <v>784</v>
      </c>
      <c r="BM102" s="1113">
        <v>1044292</v>
      </c>
      <c r="BN102" s="1113">
        <v>1863540</v>
      </c>
      <c r="BO102" s="1113">
        <v>166832</v>
      </c>
      <c r="BP102" s="1113">
        <v>6343664</v>
      </c>
      <c r="BQ102" s="1113">
        <v>28546949</v>
      </c>
      <c r="BR102" s="1113">
        <v>30792</v>
      </c>
      <c r="BS102" s="1113">
        <v>713267</v>
      </c>
      <c r="BT102" s="300">
        <v>26870</v>
      </c>
      <c r="BU102" s="300">
        <v>1323628</v>
      </c>
      <c r="BV102" s="300">
        <v>5210</v>
      </c>
      <c r="BW102" s="300">
        <v>23981</v>
      </c>
      <c r="BX102" s="300">
        <v>1587274</v>
      </c>
      <c r="BY102" s="300">
        <v>0</v>
      </c>
      <c r="BZ102" s="300">
        <v>13359255</v>
      </c>
      <c r="CA102" s="300">
        <v>187935</v>
      </c>
      <c r="CB102" s="300">
        <v>1776979</v>
      </c>
      <c r="CC102" s="300">
        <v>27492</v>
      </c>
      <c r="CD102" s="300">
        <v>181574</v>
      </c>
      <c r="CE102" s="300">
        <v>6815827</v>
      </c>
    </row>
    <row r="103" spans="1:83" x14ac:dyDescent="0.3">
      <c r="A103" s="271">
        <v>337</v>
      </c>
      <c r="B103" s="271">
        <v>337</v>
      </c>
      <c r="C103" s="271" t="s">
        <v>254</v>
      </c>
      <c r="D103" s="271" t="s">
        <v>420</v>
      </c>
      <c r="E103" s="1113">
        <v>700000</v>
      </c>
      <c r="F103" s="1113">
        <v>108964</v>
      </c>
      <c r="G103" s="271">
        <v>600000</v>
      </c>
      <c r="H103" s="1113">
        <v>0</v>
      </c>
      <c r="I103" s="271">
        <v>114577</v>
      </c>
      <c r="J103" s="271">
        <v>0</v>
      </c>
      <c r="K103" s="1113">
        <v>0</v>
      </c>
      <c r="L103" s="271">
        <v>0</v>
      </c>
      <c r="M103" s="1113">
        <v>109670</v>
      </c>
      <c r="N103" s="271">
        <v>90961336</v>
      </c>
      <c r="O103" s="271">
        <v>0</v>
      </c>
      <c r="P103" s="1113">
        <v>6833276</v>
      </c>
      <c r="Q103" s="1113">
        <v>0</v>
      </c>
      <c r="R103" s="1113">
        <v>621270</v>
      </c>
      <c r="S103" s="271">
        <v>0</v>
      </c>
      <c r="T103" s="1113">
        <v>178714</v>
      </c>
      <c r="U103" s="1113">
        <v>918275</v>
      </c>
      <c r="V103" s="1113">
        <v>40495</v>
      </c>
      <c r="W103" s="271">
        <v>779674</v>
      </c>
      <c r="X103" s="271">
        <v>0</v>
      </c>
      <c r="Y103" s="1113">
        <v>0</v>
      </c>
      <c r="Z103" s="271">
        <v>117842</v>
      </c>
      <c r="AA103" s="1113">
        <v>46260417</v>
      </c>
      <c r="AB103" s="1113">
        <v>0</v>
      </c>
      <c r="AC103" s="1113">
        <v>50507</v>
      </c>
      <c r="AD103" s="1113">
        <v>0</v>
      </c>
      <c r="AE103" s="271">
        <v>949665</v>
      </c>
      <c r="AF103" s="1113">
        <v>0</v>
      </c>
      <c r="AG103" s="271">
        <v>40630433</v>
      </c>
      <c r="AH103" s="1113">
        <v>0</v>
      </c>
      <c r="AI103" s="1113">
        <v>0</v>
      </c>
      <c r="AJ103" s="1113">
        <v>2025270</v>
      </c>
      <c r="AK103" s="1113">
        <v>0</v>
      </c>
      <c r="AL103" s="271">
        <v>0</v>
      </c>
      <c r="AM103" s="271">
        <v>0</v>
      </c>
      <c r="AN103" s="1113">
        <v>0</v>
      </c>
      <c r="AO103" s="271">
        <v>0</v>
      </c>
      <c r="AP103" s="1113">
        <v>0</v>
      </c>
      <c r="AQ103" s="271">
        <v>162680</v>
      </c>
      <c r="AR103" s="1113">
        <v>200000</v>
      </c>
      <c r="AS103" s="1113">
        <v>0</v>
      </c>
      <c r="AT103" s="1113">
        <v>1905164</v>
      </c>
      <c r="AU103" s="1113">
        <v>0</v>
      </c>
      <c r="AV103" s="271">
        <v>378283261</v>
      </c>
      <c r="AW103" s="1113">
        <v>33109020</v>
      </c>
      <c r="AX103" s="1113">
        <v>1265253</v>
      </c>
      <c r="AY103" s="1113">
        <v>0</v>
      </c>
      <c r="AZ103" s="271">
        <v>0</v>
      </c>
      <c r="BA103" s="271">
        <v>16600</v>
      </c>
      <c r="BB103" s="1113">
        <v>0</v>
      </c>
      <c r="BC103" s="1113">
        <v>108550</v>
      </c>
      <c r="BD103" s="271">
        <v>0</v>
      </c>
      <c r="BE103" s="271">
        <v>0</v>
      </c>
      <c r="BF103" s="1113">
        <v>0</v>
      </c>
      <c r="BG103" s="271">
        <v>8222787</v>
      </c>
      <c r="BH103" s="1113">
        <v>0</v>
      </c>
      <c r="BI103" s="1113">
        <v>6154022</v>
      </c>
      <c r="BJ103" s="1113">
        <v>220717</v>
      </c>
      <c r="BK103" s="1113">
        <v>0</v>
      </c>
      <c r="BL103" s="271">
        <v>0</v>
      </c>
      <c r="BM103" s="271">
        <v>2166590</v>
      </c>
      <c r="BN103" s="271">
        <v>8949261</v>
      </c>
      <c r="BO103" s="271">
        <v>712400</v>
      </c>
      <c r="BP103" s="1113">
        <v>17644693</v>
      </c>
      <c r="BQ103" s="1113">
        <v>104746798</v>
      </c>
      <c r="BR103" s="271">
        <v>195000</v>
      </c>
      <c r="BS103" s="1113">
        <v>4722164</v>
      </c>
      <c r="BT103" s="300">
        <v>0</v>
      </c>
      <c r="BU103" s="300">
        <v>4632280</v>
      </c>
      <c r="BV103" s="300">
        <v>30352</v>
      </c>
      <c r="BW103" s="300">
        <v>0</v>
      </c>
      <c r="BX103" s="300">
        <v>11191954</v>
      </c>
      <c r="BY103" s="300">
        <v>0</v>
      </c>
      <c r="BZ103" s="300">
        <v>36631911</v>
      </c>
      <c r="CA103" s="300">
        <v>31021</v>
      </c>
      <c r="CB103" s="300">
        <v>5865714</v>
      </c>
      <c r="CC103" s="300">
        <v>162356</v>
      </c>
      <c r="CD103" s="300">
        <v>183363</v>
      </c>
      <c r="CE103" s="300">
        <v>34861233</v>
      </c>
    </row>
    <row r="104" spans="1:83" x14ac:dyDescent="0.3">
      <c r="A104" s="271">
        <v>338</v>
      </c>
      <c r="B104" s="271">
        <v>338</v>
      </c>
      <c r="C104" s="271" t="s">
        <v>116</v>
      </c>
      <c r="D104" s="271" t="s">
        <v>421</v>
      </c>
      <c r="E104" s="1113">
        <v>940543</v>
      </c>
      <c r="F104" s="1113">
        <v>2151222</v>
      </c>
      <c r="G104" s="1113">
        <v>629774</v>
      </c>
      <c r="H104" s="1113">
        <v>320767</v>
      </c>
      <c r="I104" s="1113">
        <v>283023</v>
      </c>
      <c r="J104" s="1113">
        <v>10587</v>
      </c>
      <c r="K104" s="1113">
        <v>467</v>
      </c>
      <c r="L104" s="1113">
        <v>998</v>
      </c>
      <c r="M104" s="1113">
        <v>4014073</v>
      </c>
      <c r="N104" s="271">
        <v>216395840</v>
      </c>
      <c r="O104" s="1113">
        <v>62719</v>
      </c>
      <c r="P104" s="1113">
        <v>8429411</v>
      </c>
      <c r="Q104" s="1113">
        <v>9891</v>
      </c>
      <c r="R104" s="1113">
        <v>15731616</v>
      </c>
      <c r="S104" s="271">
        <v>0</v>
      </c>
      <c r="T104" s="1113">
        <v>184037</v>
      </c>
      <c r="U104" s="1113">
        <v>1252092</v>
      </c>
      <c r="V104" s="1113">
        <v>231570</v>
      </c>
      <c r="W104" s="1113">
        <v>3812328</v>
      </c>
      <c r="X104" s="1113">
        <v>567306</v>
      </c>
      <c r="Y104" s="1113">
        <v>73077</v>
      </c>
      <c r="Z104" s="1113">
        <v>885321</v>
      </c>
      <c r="AA104" s="1113">
        <v>62559206</v>
      </c>
      <c r="AB104" s="1113">
        <v>2766</v>
      </c>
      <c r="AC104" s="1113">
        <v>93114</v>
      </c>
      <c r="AD104" s="1113">
        <v>65984058</v>
      </c>
      <c r="AE104" s="1113">
        <v>1088664</v>
      </c>
      <c r="AF104" s="1113">
        <v>0</v>
      </c>
      <c r="AG104" s="271">
        <v>127979241</v>
      </c>
      <c r="AH104" s="1113">
        <v>12398</v>
      </c>
      <c r="AI104" s="1113">
        <v>23482</v>
      </c>
      <c r="AJ104" s="1113">
        <v>4679063</v>
      </c>
      <c r="AK104" s="1113">
        <v>188121</v>
      </c>
      <c r="AL104" s="271">
        <v>2046</v>
      </c>
      <c r="AM104" s="1113">
        <v>0</v>
      </c>
      <c r="AN104" s="1113">
        <v>263</v>
      </c>
      <c r="AO104" s="1113">
        <v>15045473</v>
      </c>
      <c r="AP104" s="1113">
        <v>1400</v>
      </c>
      <c r="AQ104" s="1113">
        <v>1467498</v>
      </c>
      <c r="AR104" s="1113">
        <v>843093</v>
      </c>
      <c r="AS104" s="1113">
        <v>976</v>
      </c>
      <c r="AT104" s="1113">
        <v>2049060</v>
      </c>
      <c r="AU104" s="1113">
        <v>16843</v>
      </c>
      <c r="AV104" s="271">
        <v>636737058</v>
      </c>
      <c r="AW104" s="1113">
        <v>116084309</v>
      </c>
      <c r="AX104" s="1113">
        <v>1589182</v>
      </c>
      <c r="AY104" s="1113">
        <v>24832</v>
      </c>
      <c r="AZ104" s="271">
        <v>49368</v>
      </c>
      <c r="BA104" s="1113">
        <v>16719</v>
      </c>
      <c r="BB104" s="1113">
        <v>0</v>
      </c>
      <c r="BC104" s="1113">
        <v>8302763</v>
      </c>
      <c r="BD104" s="1113">
        <v>3027</v>
      </c>
      <c r="BE104" s="1113">
        <v>3010</v>
      </c>
      <c r="BF104" s="1113">
        <v>3688</v>
      </c>
      <c r="BG104" s="1113">
        <v>11036181</v>
      </c>
      <c r="BH104" s="1113">
        <v>0</v>
      </c>
      <c r="BI104" s="1113">
        <v>12078665</v>
      </c>
      <c r="BJ104" s="1113">
        <v>1981840</v>
      </c>
      <c r="BK104" s="1113">
        <v>9812</v>
      </c>
      <c r="BL104" s="1113">
        <v>784</v>
      </c>
      <c r="BM104" s="1113">
        <v>17732498</v>
      </c>
      <c r="BN104" s="1113">
        <v>16274506</v>
      </c>
      <c r="BO104" s="1113">
        <v>1209086</v>
      </c>
      <c r="BP104" s="1113">
        <v>57474569</v>
      </c>
      <c r="BQ104" s="1113">
        <v>178019706</v>
      </c>
      <c r="BR104" s="1113">
        <v>200792</v>
      </c>
      <c r="BS104" s="1113">
        <v>6405982</v>
      </c>
      <c r="BT104" s="300">
        <v>155730</v>
      </c>
      <c r="BU104" s="300">
        <v>8823598</v>
      </c>
      <c r="BV104" s="300">
        <v>48061</v>
      </c>
      <c r="BW104" s="300">
        <v>23981</v>
      </c>
      <c r="BX104" s="300">
        <v>12164543</v>
      </c>
      <c r="BY104" s="300">
        <v>0</v>
      </c>
      <c r="BZ104" s="300">
        <v>58859825</v>
      </c>
      <c r="CA104" s="300">
        <v>233459</v>
      </c>
      <c r="CB104" s="300">
        <v>18445484</v>
      </c>
      <c r="CC104" s="300">
        <v>180685</v>
      </c>
      <c r="CD104" s="300">
        <v>1134169</v>
      </c>
      <c r="CE104" s="300">
        <v>49665107</v>
      </c>
    </row>
    <row r="105" spans="1:83" x14ac:dyDescent="0.3">
      <c r="A105" s="271">
        <v>339</v>
      </c>
      <c r="B105" s="271">
        <v>339</v>
      </c>
      <c r="C105" s="271" t="s">
        <v>190</v>
      </c>
      <c r="D105" s="271" t="s">
        <v>422</v>
      </c>
      <c r="E105" s="1113">
        <v>89017</v>
      </c>
      <c r="F105" s="1113">
        <v>238096</v>
      </c>
      <c r="G105" s="1113">
        <v>21880</v>
      </c>
      <c r="H105" s="1113">
        <v>123122</v>
      </c>
      <c r="I105" s="1113">
        <v>19759</v>
      </c>
      <c r="J105" s="1113">
        <v>7495</v>
      </c>
      <c r="K105" s="1113">
        <v>2425</v>
      </c>
      <c r="L105" s="1113">
        <v>0</v>
      </c>
      <c r="M105" s="1113">
        <v>1009657</v>
      </c>
      <c r="N105" s="271">
        <v>16962010</v>
      </c>
      <c r="O105" s="1113">
        <v>5095</v>
      </c>
      <c r="P105" s="1113">
        <v>129198</v>
      </c>
      <c r="Q105" s="1113">
        <v>140793</v>
      </c>
      <c r="R105" s="1113">
        <v>1901982</v>
      </c>
      <c r="S105" s="271">
        <v>0</v>
      </c>
      <c r="T105" s="1113">
        <v>35387</v>
      </c>
      <c r="U105" s="1113">
        <v>378704</v>
      </c>
      <c r="V105" s="1113">
        <v>37709</v>
      </c>
      <c r="W105" s="1113">
        <v>148887</v>
      </c>
      <c r="X105" s="1113">
        <v>60762</v>
      </c>
      <c r="Y105" s="1113">
        <v>65329</v>
      </c>
      <c r="Z105" s="271">
        <v>106732</v>
      </c>
      <c r="AA105" s="1113">
        <v>5315991</v>
      </c>
      <c r="AB105" s="1113">
        <v>350</v>
      </c>
      <c r="AC105" s="1113">
        <v>137695</v>
      </c>
      <c r="AD105" s="1113">
        <v>3157240</v>
      </c>
      <c r="AE105" s="1113">
        <v>102151</v>
      </c>
      <c r="AF105" s="1113">
        <v>0</v>
      </c>
      <c r="AG105" s="1113">
        <v>12236423</v>
      </c>
      <c r="AH105" s="1113">
        <v>1200</v>
      </c>
      <c r="AI105" s="1113">
        <v>44046</v>
      </c>
      <c r="AJ105" s="1113">
        <v>480577</v>
      </c>
      <c r="AK105" s="1113">
        <v>47895</v>
      </c>
      <c r="AL105" s="271">
        <v>0</v>
      </c>
      <c r="AM105" s="271">
        <v>0</v>
      </c>
      <c r="AN105" s="1113">
        <v>10450</v>
      </c>
      <c r="AO105" s="1113">
        <v>1204718</v>
      </c>
      <c r="AP105" s="1113">
        <v>5000</v>
      </c>
      <c r="AQ105" s="271">
        <v>321920</v>
      </c>
      <c r="AR105" s="1113">
        <v>142111</v>
      </c>
      <c r="AS105" s="1113">
        <v>0</v>
      </c>
      <c r="AT105" s="1113">
        <v>50975</v>
      </c>
      <c r="AU105" s="1113">
        <v>3800</v>
      </c>
      <c r="AV105" s="271">
        <v>35446781</v>
      </c>
      <c r="AW105" s="1113">
        <v>11725556</v>
      </c>
      <c r="AX105" s="1113">
        <v>152251</v>
      </c>
      <c r="AY105" s="1113">
        <v>2451</v>
      </c>
      <c r="AZ105" s="271">
        <v>50886</v>
      </c>
      <c r="BA105" s="271">
        <v>39111</v>
      </c>
      <c r="BB105" s="1113">
        <v>0</v>
      </c>
      <c r="BC105" s="1113">
        <v>795319</v>
      </c>
      <c r="BD105" s="271">
        <v>8800</v>
      </c>
      <c r="BE105" s="1113">
        <v>12638</v>
      </c>
      <c r="BF105" s="1113">
        <v>5548</v>
      </c>
      <c r="BG105" s="1113">
        <v>791531</v>
      </c>
      <c r="BH105" s="1113">
        <v>0</v>
      </c>
      <c r="BI105" s="1113">
        <v>1746716</v>
      </c>
      <c r="BJ105" s="1113">
        <v>124794</v>
      </c>
      <c r="BK105" s="1113">
        <v>2555</v>
      </c>
      <c r="BL105" s="1113">
        <v>8660</v>
      </c>
      <c r="BM105" s="1113">
        <v>3754123</v>
      </c>
      <c r="BN105" s="1113">
        <v>876782</v>
      </c>
      <c r="BO105" s="1113">
        <v>265783</v>
      </c>
      <c r="BP105" s="1113">
        <v>9768164</v>
      </c>
      <c r="BQ105" s="1113">
        <v>27259832</v>
      </c>
      <c r="BR105" s="1113">
        <v>37886</v>
      </c>
      <c r="BS105" s="1113">
        <v>473005</v>
      </c>
      <c r="BT105" s="300">
        <v>29887</v>
      </c>
      <c r="BU105" s="300">
        <v>210734</v>
      </c>
      <c r="BV105" s="300">
        <v>38617</v>
      </c>
      <c r="BW105" s="300">
        <v>8145</v>
      </c>
      <c r="BX105" s="300">
        <v>357687</v>
      </c>
      <c r="BY105" s="300">
        <v>0</v>
      </c>
      <c r="BZ105" s="300">
        <v>12967129</v>
      </c>
      <c r="CA105" s="300">
        <v>68816</v>
      </c>
      <c r="CB105" s="300">
        <v>1546050</v>
      </c>
      <c r="CC105" s="300">
        <v>479</v>
      </c>
      <c r="CD105" s="300">
        <v>398218</v>
      </c>
      <c r="CE105" s="300">
        <v>2085808</v>
      </c>
    </row>
    <row r="106" spans="1:83" x14ac:dyDescent="0.3">
      <c r="A106" s="271"/>
      <c r="B106" s="271">
        <v>340</v>
      </c>
      <c r="C106" s="271" t="s">
        <v>637</v>
      </c>
      <c r="D106" s="271" t="s">
        <v>423</v>
      </c>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71"/>
      <c r="AE106" s="271"/>
      <c r="AF106" s="271"/>
      <c r="AG106" s="271"/>
      <c r="AH106" s="271"/>
      <c r="AI106" s="271"/>
      <c r="AJ106" s="271"/>
      <c r="AK106" s="271"/>
      <c r="AL106" s="271"/>
      <c r="AM106" s="271"/>
      <c r="AN106" s="271"/>
      <c r="AO106" s="271"/>
      <c r="AP106" s="271"/>
      <c r="AQ106" s="271"/>
      <c r="AR106" s="271"/>
      <c r="AS106" s="271"/>
      <c r="AT106" s="271"/>
      <c r="AU106" s="271"/>
      <c r="AV106" s="271"/>
      <c r="AW106" s="271"/>
      <c r="AX106" s="271"/>
      <c r="AY106" s="271"/>
      <c r="AZ106" s="271"/>
      <c r="BA106" s="271"/>
      <c r="BB106" s="271"/>
      <c r="BC106" s="271"/>
      <c r="BD106" s="271"/>
      <c r="BE106" s="271"/>
      <c r="BF106" s="271"/>
      <c r="BG106" s="271"/>
      <c r="BH106" s="271"/>
      <c r="BI106" s="271"/>
      <c r="BJ106" s="271"/>
      <c r="BK106" s="271"/>
      <c r="BL106" s="271"/>
      <c r="BM106" s="271"/>
      <c r="BN106" s="271"/>
      <c r="BO106" s="271"/>
      <c r="BP106" s="271"/>
      <c r="BQ106" s="271"/>
      <c r="BR106" s="271"/>
      <c r="BS106" s="271"/>
    </row>
    <row r="107" spans="1:83" x14ac:dyDescent="0.3">
      <c r="A107" s="271">
        <v>341</v>
      </c>
      <c r="B107" s="271">
        <v>341</v>
      </c>
      <c r="C107" s="271" t="s">
        <v>193</v>
      </c>
      <c r="D107" s="271" t="s">
        <v>424</v>
      </c>
      <c r="E107" s="1113">
        <v>607752</v>
      </c>
      <c r="F107" s="1113">
        <v>2020146</v>
      </c>
      <c r="G107" s="1113">
        <v>277487</v>
      </c>
      <c r="H107" s="1113">
        <v>667995</v>
      </c>
      <c r="I107" s="1113">
        <v>569140</v>
      </c>
      <c r="J107" s="1113">
        <v>128774</v>
      </c>
      <c r="K107" s="1113">
        <v>47123</v>
      </c>
      <c r="L107" s="1113">
        <v>72794</v>
      </c>
      <c r="M107" s="1113">
        <v>3445337</v>
      </c>
      <c r="N107" s="1113">
        <v>144542330</v>
      </c>
      <c r="O107" s="1113">
        <v>1752113</v>
      </c>
      <c r="P107" s="1113">
        <v>6746930</v>
      </c>
      <c r="Q107" s="1113">
        <v>13342</v>
      </c>
      <c r="R107" s="1113">
        <v>7854766</v>
      </c>
      <c r="S107" s="271">
        <v>71258</v>
      </c>
      <c r="T107" s="1113">
        <v>270033</v>
      </c>
      <c r="U107" s="1113">
        <v>1408155</v>
      </c>
      <c r="V107" s="1113">
        <v>283619</v>
      </c>
      <c r="W107" s="1113">
        <v>4687726</v>
      </c>
      <c r="X107" s="1113">
        <v>1531396</v>
      </c>
      <c r="Y107" s="1113">
        <v>554145</v>
      </c>
      <c r="Z107" s="1113">
        <v>684811</v>
      </c>
      <c r="AA107" s="1113">
        <v>25007007</v>
      </c>
      <c r="AB107" s="1113">
        <v>1140645</v>
      </c>
      <c r="AC107" s="1113">
        <v>470263</v>
      </c>
      <c r="AD107" s="1113">
        <v>30318330</v>
      </c>
      <c r="AE107" s="1113">
        <v>557735</v>
      </c>
      <c r="AF107" s="1113">
        <v>0</v>
      </c>
      <c r="AG107" s="1113">
        <v>56338261</v>
      </c>
      <c r="AH107" s="1113">
        <v>163857</v>
      </c>
      <c r="AI107" s="1113">
        <v>197352</v>
      </c>
      <c r="AJ107" s="1113">
        <v>5379473</v>
      </c>
      <c r="AK107" s="1113">
        <v>783209</v>
      </c>
      <c r="AL107" s="271">
        <v>68360</v>
      </c>
      <c r="AM107" s="1113">
        <v>0</v>
      </c>
      <c r="AN107" s="1113">
        <v>158766</v>
      </c>
      <c r="AO107" s="1113">
        <v>10882772</v>
      </c>
      <c r="AP107" s="1113">
        <v>40218</v>
      </c>
      <c r="AQ107" s="1113">
        <v>3583294</v>
      </c>
      <c r="AR107" s="1113">
        <v>2003295</v>
      </c>
      <c r="AS107" s="1113">
        <v>68092</v>
      </c>
      <c r="AT107" s="1113">
        <v>987371</v>
      </c>
      <c r="AU107" s="1113">
        <v>267348</v>
      </c>
      <c r="AV107" s="271">
        <v>269374143</v>
      </c>
      <c r="AW107" s="1113">
        <v>72784634</v>
      </c>
      <c r="AX107" s="1113">
        <v>1348093</v>
      </c>
      <c r="AY107" s="1113">
        <v>264693</v>
      </c>
      <c r="AZ107" s="1113">
        <v>230948</v>
      </c>
      <c r="BA107" s="1113">
        <v>134210</v>
      </c>
      <c r="BB107" s="1113">
        <v>0</v>
      </c>
      <c r="BC107" s="1113">
        <v>4455338</v>
      </c>
      <c r="BD107" s="1113">
        <v>233159</v>
      </c>
      <c r="BE107" s="1113">
        <v>95492</v>
      </c>
      <c r="BF107" s="1113">
        <v>41837</v>
      </c>
      <c r="BG107" s="1113">
        <v>11776778</v>
      </c>
      <c r="BH107" s="1113">
        <v>19501</v>
      </c>
      <c r="BI107" s="1113">
        <v>9443949</v>
      </c>
      <c r="BJ107" s="1113">
        <v>1888460</v>
      </c>
      <c r="BK107" s="1113">
        <v>190408</v>
      </c>
      <c r="BL107" s="1113">
        <v>71838</v>
      </c>
      <c r="BM107" s="1113">
        <v>11352342</v>
      </c>
      <c r="BN107" s="1113">
        <v>14524698</v>
      </c>
      <c r="BO107" s="1113">
        <v>1253525</v>
      </c>
      <c r="BP107" s="1113">
        <v>47756396</v>
      </c>
      <c r="BQ107" s="1113">
        <v>99585732</v>
      </c>
      <c r="BR107" s="1113">
        <v>242202</v>
      </c>
      <c r="BS107" s="1113">
        <v>4527721</v>
      </c>
      <c r="BT107" s="300">
        <v>916218</v>
      </c>
      <c r="BU107" s="300">
        <v>9621429</v>
      </c>
      <c r="BV107" s="300">
        <v>118455</v>
      </c>
      <c r="BW107" s="300">
        <v>229112</v>
      </c>
      <c r="BX107" s="300">
        <v>6645457</v>
      </c>
      <c r="BY107" s="300">
        <v>0</v>
      </c>
      <c r="BZ107" s="300">
        <v>31410427</v>
      </c>
      <c r="CA107" s="300">
        <v>171204</v>
      </c>
      <c r="CB107" s="300">
        <v>11685614</v>
      </c>
      <c r="CC107" s="300">
        <v>559886</v>
      </c>
      <c r="CD107" s="300">
        <v>2530953</v>
      </c>
      <c r="CE107" s="300">
        <v>40760208</v>
      </c>
    </row>
    <row r="108" spans="1:83" x14ac:dyDescent="0.3">
      <c r="A108" s="271"/>
      <c r="B108" s="271">
        <v>342</v>
      </c>
      <c r="C108" s="271" t="s">
        <v>638</v>
      </c>
      <c r="D108" s="271" t="s">
        <v>425</v>
      </c>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71"/>
      <c r="AE108" s="271"/>
      <c r="AF108" s="271"/>
      <c r="AG108" s="271"/>
      <c r="AH108" s="271"/>
      <c r="AI108" s="271"/>
      <c r="AJ108" s="271"/>
      <c r="AK108" s="271"/>
      <c r="AL108" s="271"/>
      <c r="AM108" s="271"/>
      <c r="AN108" s="271"/>
      <c r="AO108" s="271"/>
      <c r="AP108" s="271"/>
      <c r="AQ108" s="271"/>
      <c r="AR108" s="271"/>
      <c r="AS108" s="271"/>
      <c r="AT108" s="271"/>
      <c r="AU108" s="271"/>
      <c r="AV108" s="271"/>
      <c r="AW108" s="271"/>
      <c r="AX108" s="271"/>
      <c r="AY108" s="271"/>
      <c r="AZ108" s="271"/>
      <c r="BA108" s="271"/>
      <c r="BB108" s="271"/>
      <c r="BC108" s="271"/>
      <c r="BD108" s="271"/>
      <c r="BE108" s="271"/>
      <c r="BF108" s="271"/>
      <c r="BG108" s="271"/>
      <c r="BH108" s="271"/>
      <c r="BI108" s="271"/>
      <c r="BJ108" s="271"/>
      <c r="BK108" s="271"/>
      <c r="BL108" s="271"/>
      <c r="BM108" s="271"/>
      <c r="BN108" s="271"/>
      <c r="BO108" s="271"/>
      <c r="BP108" s="271"/>
      <c r="BQ108" s="271"/>
      <c r="BR108" s="271"/>
      <c r="BS108" s="271"/>
    </row>
    <row r="109" spans="1:83" x14ac:dyDescent="0.3">
      <c r="A109" s="271">
        <v>343</v>
      </c>
      <c r="B109" s="271">
        <v>343</v>
      </c>
      <c r="C109" s="271" t="s">
        <v>255</v>
      </c>
      <c r="D109" s="271" t="s">
        <v>426</v>
      </c>
      <c r="E109" s="1113">
        <v>26743</v>
      </c>
      <c r="F109" s="1113">
        <v>24918</v>
      </c>
      <c r="G109" s="271">
        <v>0</v>
      </c>
      <c r="H109" s="1113">
        <v>0</v>
      </c>
      <c r="I109" s="271">
        <v>33827</v>
      </c>
      <c r="J109" s="1113">
        <v>0</v>
      </c>
      <c r="K109" s="1113">
        <v>0</v>
      </c>
      <c r="L109" s="271">
        <v>0</v>
      </c>
      <c r="M109" s="1113">
        <v>75878</v>
      </c>
      <c r="N109" s="271">
        <v>8784805</v>
      </c>
      <c r="O109" s="1113">
        <v>0</v>
      </c>
      <c r="P109" s="1113">
        <v>333682</v>
      </c>
      <c r="Q109" s="1113">
        <v>0</v>
      </c>
      <c r="R109" s="1113">
        <v>205141</v>
      </c>
      <c r="S109" s="271">
        <v>0</v>
      </c>
      <c r="T109" s="1113">
        <v>8235</v>
      </c>
      <c r="U109" s="1113">
        <v>75834</v>
      </c>
      <c r="V109" s="1113">
        <v>782546</v>
      </c>
      <c r="W109" s="271">
        <v>243152</v>
      </c>
      <c r="X109" s="271">
        <v>163471</v>
      </c>
      <c r="Y109" s="1113">
        <v>0</v>
      </c>
      <c r="Z109" s="271">
        <v>124350</v>
      </c>
      <c r="AA109" s="1113">
        <v>1277505</v>
      </c>
      <c r="AB109" s="1113">
        <v>0</v>
      </c>
      <c r="AC109" s="1113">
        <v>4120</v>
      </c>
      <c r="AD109" s="1113">
        <v>0</v>
      </c>
      <c r="AE109" s="271">
        <v>60005</v>
      </c>
      <c r="AF109" s="1113">
        <v>0</v>
      </c>
      <c r="AG109" s="271">
        <v>6512378</v>
      </c>
      <c r="AH109" s="1113">
        <v>0</v>
      </c>
      <c r="AI109" s="1113">
        <v>0</v>
      </c>
      <c r="AJ109" s="1113">
        <v>232283</v>
      </c>
      <c r="AK109" s="1113">
        <v>0</v>
      </c>
      <c r="AL109" s="271">
        <v>0</v>
      </c>
      <c r="AM109" s="271">
        <v>0</v>
      </c>
      <c r="AN109" s="1113">
        <v>0</v>
      </c>
      <c r="AO109" s="271">
        <v>0</v>
      </c>
      <c r="AP109" s="1113">
        <v>0</v>
      </c>
      <c r="AQ109" s="271">
        <v>78555</v>
      </c>
      <c r="AR109" s="1113">
        <v>50000</v>
      </c>
      <c r="AS109" s="1113">
        <v>0</v>
      </c>
      <c r="AT109" s="1113">
        <v>15663</v>
      </c>
      <c r="AU109" s="1113">
        <v>0</v>
      </c>
      <c r="AV109" s="271">
        <v>20174333</v>
      </c>
      <c r="AW109" s="1113">
        <v>4293452</v>
      </c>
      <c r="AX109" s="1113">
        <v>78669</v>
      </c>
      <c r="AY109" s="1113">
        <v>0</v>
      </c>
      <c r="AZ109" s="271">
        <v>0</v>
      </c>
      <c r="BA109" s="271">
        <v>2075</v>
      </c>
      <c r="BB109" s="1113">
        <v>0</v>
      </c>
      <c r="BC109" s="1113">
        <v>127232</v>
      </c>
      <c r="BD109" s="271">
        <v>0</v>
      </c>
      <c r="BE109" s="271">
        <v>0</v>
      </c>
      <c r="BF109" s="1113">
        <v>0</v>
      </c>
      <c r="BG109" s="271">
        <v>699817</v>
      </c>
      <c r="BH109" s="1113">
        <v>0</v>
      </c>
      <c r="BI109" s="1113">
        <v>187406</v>
      </c>
      <c r="BJ109" s="1113">
        <v>81963</v>
      </c>
      <c r="BK109" s="1113">
        <v>11000</v>
      </c>
      <c r="BL109" s="271">
        <v>0</v>
      </c>
      <c r="BM109" s="271">
        <v>519489</v>
      </c>
      <c r="BN109" s="271">
        <v>631138</v>
      </c>
      <c r="BO109" s="271">
        <v>69067</v>
      </c>
      <c r="BP109" s="1113">
        <v>671034</v>
      </c>
      <c r="BQ109" s="1113">
        <v>6680335</v>
      </c>
      <c r="BR109" s="1113">
        <v>55000</v>
      </c>
      <c r="BS109" s="1113">
        <v>61082</v>
      </c>
      <c r="BT109" s="300">
        <v>175600</v>
      </c>
      <c r="BU109" s="300">
        <v>1196951</v>
      </c>
      <c r="BV109" s="300">
        <v>1786</v>
      </c>
      <c r="BW109" s="300">
        <v>0</v>
      </c>
      <c r="BX109" s="300">
        <v>1400000</v>
      </c>
      <c r="BY109" s="300">
        <v>0</v>
      </c>
      <c r="BZ109" s="300">
        <v>3389935</v>
      </c>
      <c r="CA109" s="300">
        <v>9355</v>
      </c>
      <c r="CB109" s="300">
        <v>977267</v>
      </c>
      <c r="CC109" s="300">
        <v>130720</v>
      </c>
      <c r="CD109" s="300">
        <v>66068</v>
      </c>
      <c r="CE109" s="300">
        <v>3649750</v>
      </c>
    </row>
    <row r="110" spans="1:83" x14ac:dyDescent="0.3">
      <c r="A110" s="271">
        <v>344</v>
      </c>
      <c r="B110" s="271">
        <v>344</v>
      </c>
      <c r="C110" s="271" t="s">
        <v>188</v>
      </c>
      <c r="D110" s="271" t="s">
        <v>427</v>
      </c>
      <c r="E110" s="1113">
        <v>499</v>
      </c>
      <c r="F110" s="1113">
        <v>4337</v>
      </c>
      <c r="G110" s="271">
        <v>11604</v>
      </c>
      <c r="H110" s="1113">
        <v>0</v>
      </c>
      <c r="I110" s="271">
        <v>4436</v>
      </c>
      <c r="J110" s="271">
        <v>0</v>
      </c>
      <c r="K110" s="1113">
        <v>0</v>
      </c>
      <c r="L110" s="271">
        <v>0</v>
      </c>
      <c r="M110" s="1113">
        <v>2992</v>
      </c>
      <c r="N110" s="271">
        <v>2662901</v>
      </c>
      <c r="O110" s="1113">
        <v>0</v>
      </c>
      <c r="P110" s="1113">
        <v>275659</v>
      </c>
      <c r="Q110" s="1113">
        <v>0</v>
      </c>
      <c r="R110" s="1113">
        <v>17422</v>
      </c>
      <c r="S110" s="271">
        <v>0</v>
      </c>
      <c r="T110" s="1113">
        <v>6542</v>
      </c>
      <c r="U110" s="1113">
        <v>40010</v>
      </c>
      <c r="V110" s="1113">
        <v>25442</v>
      </c>
      <c r="W110" s="271">
        <v>23246</v>
      </c>
      <c r="X110" s="271">
        <v>5315</v>
      </c>
      <c r="Y110" s="1113">
        <v>0</v>
      </c>
      <c r="Z110" s="271">
        <v>12490</v>
      </c>
      <c r="AA110" s="1113">
        <v>998708</v>
      </c>
      <c r="AB110" s="1113">
        <v>0</v>
      </c>
      <c r="AC110" s="1113">
        <v>689</v>
      </c>
      <c r="AD110" s="1113">
        <v>1146684</v>
      </c>
      <c r="AE110" s="271">
        <v>43632</v>
      </c>
      <c r="AF110" s="1113">
        <v>0</v>
      </c>
      <c r="AG110" s="271">
        <v>1614413</v>
      </c>
      <c r="AH110" s="1113">
        <v>0</v>
      </c>
      <c r="AI110" s="1113">
        <v>0</v>
      </c>
      <c r="AJ110" s="1113">
        <v>72254</v>
      </c>
      <c r="AK110" s="1113">
        <v>0</v>
      </c>
      <c r="AL110" s="271">
        <v>0</v>
      </c>
      <c r="AM110" s="271">
        <v>0</v>
      </c>
      <c r="AN110" s="1113">
        <v>0</v>
      </c>
      <c r="AO110" s="271">
        <v>0</v>
      </c>
      <c r="AP110" s="1113">
        <v>0</v>
      </c>
      <c r="AQ110" s="271">
        <v>9404</v>
      </c>
      <c r="AR110" s="1113">
        <v>9166</v>
      </c>
      <c r="AS110" s="1113">
        <v>0</v>
      </c>
      <c r="AT110" s="1113">
        <v>1261</v>
      </c>
      <c r="AU110" s="271">
        <v>0</v>
      </c>
      <c r="AV110" s="271">
        <v>10974782</v>
      </c>
      <c r="AW110" s="1113">
        <v>1112654</v>
      </c>
      <c r="AX110" s="1113">
        <v>48314</v>
      </c>
      <c r="AY110" s="1113">
        <v>0</v>
      </c>
      <c r="AZ110" s="271">
        <v>0</v>
      </c>
      <c r="BA110" s="271">
        <v>0</v>
      </c>
      <c r="BB110" s="1113">
        <v>0</v>
      </c>
      <c r="BC110" s="1113">
        <v>7709</v>
      </c>
      <c r="BD110" s="271">
        <v>0</v>
      </c>
      <c r="BE110" s="271">
        <v>0</v>
      </c>
      <c r="BF110" s="1113">
        <v>0</v>
      </c>
      <c r="BG110" s="271">
        <v>299081</v>
      </c>
      <c r="BH110" s="1113">
        <v>0</v>
      </c>
      <c r="BI110" s="1113">
        <v>153973</v>
      </c>
      <c r="BJ110" s="271">
        <v>6881</v>
      </c>
      <c r="BK110" s="1113">
        <v>447</v>
      </c>
      <c r="BL110" s="271">
        <v>0</v>
      </c>
      <c r="BM110" s="271">
        <v>76958</v>
      </c>
      <c r="BN110" s="271">
        <v>253558</v>
      </c>
      <c r="BO110" s="271">
        <v>27334</v>
      </c>
      <c r="BP110" s="1113">
        <v>579073</v>
      </c>
      <c r="BQ110" s="1113">
        <v>3947980</v>
      </c>
      <c r="BR110" s="1113">
        <v>7299</v>
      </c>
      <c r="BS110" s="1113">
        <v>56820</v>
      </c>
      <c r="BT110" s="300">
        <v>0</v>
      </c>
      <c r="BU110" s="300">
        <v>140004</v>
      </c>
      <c r="BV110" s="300">
        <v>1362</v>
      </c>
      <c r="BW110" s="300">
        <v>0</v>
      </c>
      <c r="BX110" s="300">
        <v>291694</v>
      </c>
      <c r="BY110" s="300">
        <v>0</v>
      </c>
      <c r="BZ110" s="300">
        <v>788902</v>
      </c>
      <c r="CA110" s="300">
        <v>1352</v>
      </c>
      <c r="CB110" s="300">
        <v>158051</v>
      </c>
      <c r="CC110" s="300">
        <v>4358</v>
      </c>
      <c r="CD110" s="300">
        <v>1991</v>
      </c>
      <c r="CE110" s="300">
        <v>1314244</v>
      </c>
    </row>
    <row r="111" spans="1:83" x14ac:dyDescent="0.3">
      <c r="A111" s="271"/>
      <c r="B111" s="271">
        <v>346</v>
      </c>
      <c r="C111" s="271" t="s">
        <v>639</v>
      </c>
      <c r="D111" s="271" t="s">
        <v>428</v>
      </c>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71"/>
      <c r="AE111" s="271"/>
      <c r="AF111" s="271"/>
      <c r="AG111" s="271"/>
      <c r="AH111" s="271"/>
      <c r="AI111" s="271"/>
      <c r="AJ111" s="271"/>
      <c r="AK111" s="271"/>
      <c r="AL111" s="271"/>
      <c r="AM111" s="271"/>
      <c r="AN111" s="271"/>
      <c r="AO111" s="271"/>
      <c r="AP111" s="271"/>
      <c r="AQ111" s="271"/>
      <c r="AR111" s="271"/>
      <c r="AS111" s="271"/>
      <c r="AT111" s="271"/>
      <c r="AU111" s="271"/>
      <c r="AV111" s="271"/>
      <c r="AW111" s="271"/>
      <c r="AX111" s="271"/>
      <c r="AY111" s="271"/>
      <c r="AZ111" s="271"/>
      <c r="BA111" s="271"/>
      <c r="BB111" s="271"/>
      <c r="BC111" s="271"/>
      <c r="BD111" s="271"/>
      <c r="BE111" s="271"/>
      <c r="BF111" s="271"/>
      <c r="BG111" s="271"/>
      <c r="BH111" s="271"/>
      <c r="BI111" s="271"/>
      <c r="BJ111" s="271"/>
      <c r="BK111" s="271"/>
      <c r="BL111" s="271"/>
      <c r="BM111" s="271"/>
      <c r="BN111" s="271"/>
      <c r="BO111" s="271"/>
      <c r="BP111" s="271"/>
      <c r="BQ111" s="271"/>
      <c r="BR111" s="271"/>
      <c r="BS111" s="271"/>
    </row>
    <row r="112" spans="1:83" x14ac:dyDescent="0.3">
      <c r="A112" s="271"/>
      <c r="B112" s="271">
        <v>347</v>
      </c>
      <c r="C112" s="271" t="s">
        <v>640</v>
      </c>
      <c r="D112" s="271" t="s">
        <v>429</v>
      </c>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271"/>
      <c r="AF112" s="271"/>
      <c r="AG112" s="271"/>
      <c r="AH112" s="271"/>
      <c r="AI112" s="271"/>
      <c r="AJ112" s="271"/>
      <c r="AK112" s="271"/>
      <c r="AL112" s="271"/>
      <c r="AM112" s="271"/>
      <c r="AN112" s="271"/>
      <c r="AO112" s="271"/>
      <c r="AP112" s="271"/>
      <c r="AQ112" s="271"/>
      <c r="AR112" s="271"/>
      <c r="AS112" s="271"/>
      <c r="AT112" s="271"/>
      <c r="AU112" s="271"/>
      <c r="AV112" s="271"/>
      <c r="AW112" s="271"/>
      <c r="AX112" s="271"/>
      <c r="AY112" s="271"/>
      <c r="AZ112" s="271"/>
      <c r="BA112" s="271"/>
      <c r="BB112" s="271"/>
      <c r="BC112" s="271"/>
      <c r="BD112" s="271"/>
      <c r="BE112" s="271"/>
      <c r="BF112" s="271"/>
      <c r="BG112" s="271"/>
      <c r="BH112" s="271"/>
      <c r="BI112" s="271"/>
      <c r="BJ112" s="271"/>
      <c r="BK112" s="271"/>
      <c r="BL112" s="271"/>
      <c r="BM112" s="271"/>
      <c r="BN112" s="271"/>
      <c r="BO112" s="271"/>
      <c r="BP112" s="271"/>
      <c r="BQ112" s="271"/>
      <c r="BR112" s="271"/>
      <c r="BS112" s="271"/>
    </row>
    <row r="113" spans="1:83" x14ac:dyDescent="0.3">
      <c r="A113" s="271">
        <v>349</v>
      </c>
      <c r="B113" s="271">
        <v>349</v>
      </c>
      <c r="C113" s="271" t="s">
        <v>122</v>
      </c>
      <c r="D113" s="271" t="s">
        <v>430</v>
      </c>
      <c r="E113" s="1113">
        <v>159854</v>
      </c>
      <c r="F113" s="1113">
        <v>3273114</v>
      </c>
      <c r="G113" s="1113">
        <v>0</v>
      </c>
      <c r="H113" s="1113">
        <v>822212</v>
      </c>
      <c r="I113" s="271">
        <v>1421372</v>
      </c>
      <c r="J113" s="1113">
        <v>42716</v>
      </c>
      <c r="K113" s="1113">
        <v>0</v>
      </c>
      <c r="L113" s="1113">
        <v>2065150</v>
      </c>
      <c r="M113" s="1113">
        <v>12276699</v>
      </c>
      <c r="N113" s="271">
        <v>0</v>
      </c>
      <c r="O113" s="1113">
        <v>0</v>
      </c>
      <c r="P113" s="271">
        <v>0</v>
      </c>
      <c r="Q113" s="1113">
        <v>120936</v>
      </c>
      <c r="R113" s="1113">
        <v>5051294</v>
      </c>
      <c r="S113" s="271">
        <v>0</v>
      </c>
      <c r="T113" s="1113">
        <v>322331</v>
      </c>
      <c r="U113" s="1113">
        <v>856317</v>
      </c>
      <c r="V113" s="1113">
        <v>172806</v>
      </c>
      <c r="W113" s="1113">
        <v>10199951</v>
      </c>
      <c r="X113" s="1113">
        <v>0</v>
      </c>
      <c r="Y113" s="1113">
        <v>412039</v>
      </c>
      <c r="Z113" s="271">
        <v>1534435</v>
      </c>
      <c r="AA113" s="1113">
        <v>45803508</v>
      </c>
      <c r="AB113" s="1113">
        <v>0</v>
      </c>
      <c r="AC113" s="1113">
        <v>257647</v>
      </c>
      <c r="AD113" s="1113">
        <v>0</v>
      </c>
      <c r="AE113" s="1113">
        <v>0</v>
      </c>
      <c r="AF113" s="271">
        <v>0</v>
      </c>
      <c r="AG113" s="271">
        <v>76128934</v>
      </c>
      <c r="AH113" s="1113">
        <v>1959</v>
      </c>
      <c r="AI113" s="1113">
        <v>29963</v>
      </c>
      <c r="AJ113" s="1113">
        <v>715982</v>
      </c>
      <c r="AK113" s="1113">
        <v>471</v>
      </c>
      <c r="AL113" s="271">
        <v>93579</v>
      </c>
      <c r="AM113" s="271">
        <v>0</v>
      </c>
      <c r="AN113" s="1113">
        <v>2819808</v>
      </c>
      <c r="AO113" s="271">
        <v>8728922</v>
      </c>
      <c r="AP113" s="1113">
        <v>0</v>
      </c>
      <c r="AQ113" s="271">
        <v>3103230</v>
      </c>
      <c r="AR113" s="1113">
        <v>0</v>
      </c>
      <c r="AS113" s="1113">
        <v>0</v>
      </c>
      <c r="AT113" s="1113">
        <v>3608154</v>
      </c>
      <c r="AU113" s="1113">
        <v>247965</v>
      </c>
      <c r="AV113" s="271">
        <v>338071942</v>
      </c>
      <c r="AW113" s="1113">
        <v>116562441</v>
      </c>
      <c r="AX113" s="1113">
        <v>760565</v>
      </c>
      <c r="AY113" s="1113">
        <v>523117</v>
      </c>
      <c r="AZ113" s="271">
        <v>91733</v>
      </c>
      <c r="BA113" s="271">
        <v>14448</v>
      </c>
      <c r="BB113" s="271">
        <v>0</v>
      </c>
      <c r="BC113" s="1113">
        <v>3017824</v>
      </c>
      <c r="BD113" s="271">
        <v>224826</v>
      </c>
      <c r="BE113" s="1113">
        <v>0</v>
      </c>
      <c r="BF113" s="1113">
        <v>339185</v>
      </c>
      <c r="BG113" s="1113">
        <v>14517408</v>
      </c>
      <c r="BH113" s="1113">
        <v>0</v>
      </c>
      <c r="BI113" s="1113">
        <v>15704281</v>
      </c>
      <c r="BJ113" s="1113">
        <v>1502728</v>
      </c>
      <c r="BK113" s="1113">
        <v>0</v>
      </c>
      <c r="BL113" s="271">
        <v>0</v>
      </c>
      <c r="BM113" s="271">
        <v>27051055</v>
      </c>
      <c r="BN113" s="1113">
        <v>22595989</v>
      </c>
      <c r="BO113" s="1113">
        <v>7528023</v>
      </c>
      <c r="BP113" s="1113">
        <v>33505675</v>
      </c>
      <c r="BQ113" s="1113">
        <v>192843777</v>
      </c>
      <c r="BR113" s="1113">
        <v>33261</v>
      </c>
      <c r="BS113" s="271">
        <v>1777261</v>
      </c>
      <c r="BT113" s="300">
        <v>0</v>
      </c>
      <c r="BU113" s="300">
        <v>29887166</v>
      </c>
      <c r="BV113" s="300">
        <v>41899</v>
      </c>
      <c r="BW113" s="300">
        <v>0</v>
      </c>
      <c r="BX113" s="300">
        <v>1372362</v>
      </c>
      <c r="BY113" s="300">
        <v>0</v>
      </c>
      <c r="BZ113" s="300">
        <v>42300905</v>
      </c>
      <c r="CA113" s="300">
        <v>440076</v>
      </c>
      <c r="CB113" s="300">
        <v>0</v>
      </c>
      <c r="CC113" s="300">
        <v>157410</v>
      </c>
      <c r="CD113" s="300">
        <v>0</v>
      </c>
      <c r="CE113" s="300">
        <v>0</v>
      </c>
    </row>
    <row r="114" spans="1:83" x14ac:dyDescent="0.3">
      <c r="A114" s="271">
        <v>350</v>
      </c>
      <c r="B114" s="271">
        <v>350</v>
      </c>
      <c r="C114" s="271" t="s">
        <v>231</v>
      </c>
      <c r="D114" s="271" t="s">
        <v>431</v>
      </c>
      <c r="E114" s="1113">
        <v>516597</v>
      </c>
      <c r="F114" s="1113">
        <v>209525</v>
      </c>
      <c r="G114" s="1113">
        <v>0</v>
      </c>
      <c r="H114" s="1113">
        <v>7450</v>
      </c>
      <c r="I114" s="271">
        <v>711</v>
      </c>
      <c r="J114" s="1113">
        <v>1309</v>
      </c>
      <c r="K114" s="1113">
        <v>0</v>
      </c>
      <c r="L114" s="271">
        <v>420656</v>
      </c>
      <c r="M114" s="1113">
        <v>61634</v>
      </c>
      <c r="N114" s="271">
        <v>0</v>
      </c>
      <c r="O114" s="1113">
        <v>0</v>
      </c>
      <c r="P114" s="271">
        <v>0</v>
      </c>
      <c r="Q114" s="1113">
        <v>0</v>
      </c>
      <c r="R114" s="1113">
        <v>162744</v>
      </c>
      <c r="S114" s="271">
        <v>0</v>
      </c>
      <c r="T114" s="271">
        <v>1685</v>
      </c>
      <c r="U114" s="1113">
        <v>7362</v>
      </c>
      <c r="V114" s="271">
        <v>452</v>
      </c>
      <c r="W114" s="271">
        <v>122992</v>
      </c>
      <c r="X114" s="271">
        <v>0</v>
      </c>
      <c r="Y114" s="1113">
        <v>0</v>
      </c>
      <c r="Z114" s="271">
        <v>33591</v>
      </c>
      <c r="AA114" s="1113">
        <v>4017913</v>
      </c>
      <c r="AB114" s="271">
        <v>0</v>
      </c>
      <c r="AC114" s="1113">
        <v>0</v>
      </c>
      <c r="AD114" s="1113">
        <v>0</v>
      </c>
      <c r="AE114" s="271">
        <v>0</v>
      </c>
      <c r="AF114" s="271">
        <v>0</v>
      </c>
      <c r="AG114" s="271">
        <v>464673</v>
      </c>
      <c r="AH114" s="1113">
        <v>0</v>
      </c>
      <c r="AI114" s="1113">
        <v>20713</v>
      </c>
      <c r="AJ114" s="271">
        <v>495</v>
      </c>
      <c r="AK114" s="1113">
        <v>0</v>
      </c>
      <c r="AL114" s="271">
        <v>0</v>
      </c>
      <c r="AM114" s="271">
        <v>0</v>
      </c>
      <c r="AN114" s="1113">
        <v>518839</v>
      </c>
      <c r="AO114" s="1113">
        <v>217253</v>
      </c>
      <c r="AP114" s="1113">
        <v>0</v>
      </c>
      <c r="AQ114" s="271">
        <v>328385</v>
      </c>
      <c r="AR114" s="271">
        <v>0</v>
      </c>
      <c r="AS114" s="1113">
        <v>0</v>
      </c>
      <c r="AT114" s="1113">
        <v>24029</v>
      </c>
      <c r="AU114" s="1113">
        <v>32410</v>
      </c>
      <c r="AV114" s="271">
        <v>3811152</v>
      </c>
      <c r="AW114" s="1113">
        <v>2111511</v>
      </c>
      <c r="AX114" s="1113">
        <v>152806</v>
      </c>
      <c r="AY114" s="1113">
        <v>1867</v>
      </c>
      <c r="AZ114" s="271">
        <v>83164</v>
      </c>
      <c r="BA114" s="271">
        <v>0</v>
      </c>
      <c r="BB114" s="271">
        <v>0</v>
      </c>
      <c r="BC114" s="1113">
        <v>81420</v>
      </c>
      <c r="BD114" s="271">
        <v>1670</v>
      </c>
      <c r="BE114" s="1113">
        <v>0</v>
      </c>
      <c r="BF114" s="1113">
        <v>2390</v>
      </c>
      <c r="BG114" s="271">
        <v>157250</v>
      </c>
      <c r="BH114" s="1113">
        <v>0</v>
      </c>
      <c r="BI114" s="271">
        <v>81240</v>
      </c>
      <c r="BJ114" s="271">
        <v>11464</v>
      </c>
      <c r="BK114" s="1113">
        <v>0</v>
      </c>
      <c r="BL114" s="271">
        <v>0</v>
      </c>
      <c r="BM114" s="271">
        <v>247829</v>
      </c>
      <c r="BN114" s="1113">
        <v>822971</v>
      </c>
      <c r="BO114" s="271">
        <v>102760</v>
      </c>
      <c r="BP114" s="1113">
        <v>1046320</v>
      </c>
      <c r="BQ114" s="1113">
        <v>2899903</v>
      </c>
      <c r="BR114" s="1113">
        <v>136170</v>
      </c>
      <c r="BS114" s="271">
        <v>11867</v>
      </c>
      <c r="BT114" s="300">
        <v>0</v>
      </c>
      <c r="BU114" s="300">
        <v>323891</v>
      </c>
      <c r="BV114" s="300">
        <v>0</v>
      </c>
      <c r="BW114" s="300">
        <v>0</v>
      </c>
      <c r="BX114" s="300">
        <v>1683185</v>
      </c>
      <c r="BY114" s="300">
        <v>0</v>
      </c>
      <c r="BZ114" s="300">
        <v>796779</v>
      </c>
      <c r="CA114" s="300">
        <v>59</v>
      </c>
      <c r="CB114" s="300">
        <v>0</v>
      </c>
      <c r="CC114" s="300">
        <v>23030</v>
      </c>
      <c r="CD114" s="300">
        <v>0</v>
      </c>
      <c r="CE114" s="300">
        <v>0</v>
      </c>
    </row>
    <row r="115" spans="1:83" x14ac:dyDescent="0.3">
      <c r="A115" s="271">
        <v>351</v>
      </c>
      <c r="B115" s="271">
        <v>351</v>
      </c>
      <c r="C115" s="271" t="s">
        <v>232</v>
      </c>
      <c r="D115" s="271" t="s">
        <v>432</v>
      </c>
      <c r="E115" s="1113">
        <v>15091</v>
      </c>
      <c r="F115" s="1113">
        <v>112792</v>
      </c>
      <c r="G115" s="271">
        <v>0</v>
      </c>
      <c r="H115" s="1113">
        <v>0</v>
      </c>
      <c r="I115" s="271">
        <v>64244</v>
      </c>
      <c r="J115" s="1113">
        <v>0</v>
      </c>
      <c r="K115" s="1113">
        <v>0</v>
      </c>
      <c r="L115" s="1113">
        <v>63586</v>
      </c>
      <c r="M115" s="1113">
        <v>362989</v>
      </c>
      <c r="N115" s="271">
        <v>0</v>
      </c>
      <c r="O115" s="1113">
        <v>0</v>
      </c>
      <c r="P115" s="271">
        <v>0</v>
      </c>
      <c r="Q115" s="1113">
        <v>0</v>
      </c>
      <c r="R115" s="1113">
        <v>2314</v>
      </c>
      <c r="S115" s="271">
        <v>0</v>
      </c>
      <c r="T115" s="1113">
        <v>0</v>
      </c>
      <c r="U115" s="1113">
        <v>50436</v>
      </c>
      <c r="V115" s="1113">
        <v>69886</v>
      </c>
      <c r="W115" s="271">
        <v>201371</v>
      </c>
      <c r="X115" s="1113">
        <v>0</v>
      </c>
      <c r="Y115" s="1113">
        <v>11261</v>
      </c>
      <c r="Z115" s="271">
        <v>34307</v>
      </c>
      <c r="AA115" s="1113">
        <v>1439049</v>
      </c>
      <c r="AB115" s="1113">
        <v>0</v>
      </c>
      <c r="AC115" s="1113">
        <v>0</v>
      </c>
      <c r="AD115" s="1113">
        <v>0</v>
      </c>
      <c r="AE115" s="1113">
        <v>0</v>
      </c>
      <c r="AF115" s="271">
        <v>0</v>
      </c>
      <c r="AG115" s="271">
        <v>964162</v>
      </c>
      <c r="AH115" s="1113">
        <v>0</v>
      </c>
      <c r="AI115" s="1113">
        <v>0</v>
      </c>
      <c r="AJ115" s="1113">
        <v>917</v>
      </c>
      <c r="AK115" s="1113">
        <v>0</v>
      </c>
      <c r="AL115" s="271">
        <v>0</v>
      </c>
      <c r="AM115" s="271">
        <v>0</v>
      </c>
      <c r="AN115" s="1113">
        <v>77054</v>
      </c>
      <c r="AO115" s="271">
        <v>131193</v>
      </c>
      <c r="AP115" s="1113">
        <v>0</v>
      </c>
      <c r="AQ115" s="271">
        <v>104346</v>
      </c>
      <c r="AR115" s="1113">
        <v>0</v>
      </c>
      <c r="AS115" s="1113">
        <v>0</v>
      </c>
      <c r="AT115" s="271">
        <v>156959</v>
      </c>
      <c r="AU115" s="1113">
        <v>0</v>
      </c>
      <c r="AV115" s="271">
        <v>7362236</v>
      </c>
      <c r="AW115" s="1113">
        <v>2652357</v>
      </c>
      <c r="AX115" s="271">
        <v>18292</v>
      </c>
      <c r="AY115" s="1113">
        <v>15783</v>
      </c>
      <c r="AZ115" s="271">
        <v>0</v>
      </c>
      <c r="BA115" s="271">
        <v>0</v>
      </c>
      <c r="BB115" s="271">
        <v>0</v>
      </c>
      <c r="BC115" s="1113">
        <v>4865</v>
      </c>
      <c r="BD115" s="271">
        <v>9581</v>
      </c>
      <c r="BE115" s="271">
        <v>0</v>
      </c>
      <c r="BF115" s="1113">
        <v>17061</v>
      </c>
      <c r="BG115" s="271">
        <v>428949</v>
      </c>
      <c r="BH115" s="1113">
        <v>0</v>
      </c>
      <c r="BI115" s="1113">
        <v>480926</v>
      </c>
      <c r="BJ115" s="1113">
        <v>19908</v>
      </c>
      <c r="BK115" s="1113">
        <v>0</v>
      </c>
      <c r="BL115" s="271">
        <v>0</v>
      </c>
      <c r="BM115" s="271">
        <v>1650061</v>
      </c>
      <c r="BN115" s="1113">
        <v>398649</v>
      </c>
      <c r="BO115" s="1113">
        <v>226260</v>
      </c>
      <c r="BP115" s="1113">
        <v>713552</v>
      </c>
      <c r="BQ115" s="1113">
        <v>8631195</v>
      </c>
      <c r="BR115" s="1113">
        <v>0</v>
      </c>
      <c r="BS115" s="271">
        <v>0</v>
      </c>
      <c r="BT115" s="300">
        <v>0</v>
      </c>
      <c r="BU115" s="300">
        <v>832828</v>
      </c>
      <c r="BV115" s="300">
        <v>0</v>
      </c>
      <c r="BW115" s="300">
        <v>0</v>
      </c>
      <c r="BX115" s="300">
        <v>1196221</v>
      </c>
      <c r="BY115" s="300">
        <v>0</v>
      </c>
      <c r="BZ115" s="300">
        <v>2960051</v>
      </c>
      <c r="CA115" s="300">
        <v>17522</v>
      </c>
      <c r="CB115" s="300">
        <v>0</v>
      </c>
      <c r="CC115" s="300">
        <v>6223</v>
      </c>
      <c r="CD115" s="300">
        <v>0</v>
      </c>
      <c r="CE115" s="300">
        <v>0</v>
      </c>
    </row>
    <row r="116" spans="1:83" x14ac:dyDescent="0.3">
      <c r="A116" s="271">
        <v>352</v>
      </c>
      <c r="B116" s="271">
        <v>352</v>
      </c>
      <c r="C116" s="271" t="s">
        <v>234</v>
      </c>
      <c r="D116" s="271" t="s">
        <v>433</v>
      </c>
      <c r="E116" s="271">
        <v>0</v>
      </c>
      <c r="F116" s="271">
        <v>0</v>
      </c>
      <c r="G116" s="271">
        <v>0</v>
      </c>
      <c r="H116" s="271">
        <v>0</v>
      </c>
      <c r="I116" s="271">
        <v>0</v>
      </c>
      <c r="J116" s="271">
        <v>0</v>
      </c>
      <c r="K116" s="271">
        <v>0</v>
      </c>
      <c r="L116" s="271">
        <v>0</v>
      </c>
      <c r="M116" s="271">
        <v>0</v>
      </c>
      <c r="N116" s="271">
        <v>0</v>
      </c>
      <c r="O116" s="271">
        <v>0</v>
      </c>
      <c r="P116" s="271">
        <v>0</v>
      </c>
      <c r="Q116" s="271">
        <v>0</v>
      </c>
      <c r="R116" s="271">
        <v>0</v>
      </c>
      <c r="S116" s="271">
        <v>0</v>
      </c>
      <c r="T116" s="271">
        <v>0</v>
      </c>
      <c r="U116" s="271">
        <v>0</v>
      </c>
      <c r="V116" s="271">
        <v>0</v>
      </c>
      <c r="W116" s="271">
        <v>0</v>
      </c>
      <c r="X116" s="271">
        <v>0</v>
      </c>
      <c r="Y116" s="271">
        <v>0</v>
      </c>
      <c r="Z116" s="271">
        <v>67600</v>
      </c>
      <c r="AA116" s="271">
        <v>0</v>
      </c>
      <c r="AB116" s="271">
        <v>0</v>
      </c>
      <c r="AC116" s="271">
        <v>0</v>
      </c>
      <c r="AD116" s="271">
        <v>0</v>
      </c>
      <c r="AE116" s="271">
        <v>0</v>
      </c>
      <c r="AF116" s="271">
        <v>0</v>
      </c>
      <c r="AG116" s="271">
        <v>0</v>
      </c>
      <c r="AH116" s="271">
        <v>0</v>
      </c>
      <c r="AI116" s="1113">
        <v>0</v>
      </c>
      <c r="AJ116" s="271">
        <v>0</v>
      </c>
      <c r="AK116" s="271">
        <v>4000</v>
      </c>
      <c r="AL116" s="271">
        <v>0</v>
      </c>
      <c r="AM116" s="271">
        <v>0</v>
      </c>
      <c r="AN116" s="271">
        <v>0</v>
      </c>
      <c r="AO116" s="271">
        <v>0</v>
      </c>
      <c r="AP116" s="271">
        <v>0</v>
      </c>
      <c r="AQ116" s="271">
        <v>0</v>
      </c>
      <c r="AR116" s="271">
        <v>0</v>
      </c>
      <c r="AS116" s="271">
        <v>0</v>
      </c>
      <c r="AT116" s="271">
        <v>0</v>
      </c>
      <c r="AU116" s="1113">
        <v>0</v>
      </c>
      <c r="AV116" s="271">
        <v>0</v>
      </c>
      <c r="AW116" s="271">
        <v>0</v>
      </c>
      <c r="AX116" s="271">
        <v>0</v>
      </c>
      <c r="AY116" s="271">
        <v>0</v>
      </c>
      <c r="AZ116" s="271">
        <v>0</v>
      </c>
      <c r="BA116" s="271">
        <v>0</v>
      </c>
      <c r="BB116" s="271">
        <v>0</v>
      </c>
      <c r="BC116" s="271">
        <v>0</v>
      </c>
      <c r="BD116" s="271">
        <v>0</v>
      </c>
      <c r="BE116" s="271">
        <v>0</v>
      </c>
      <c r="BF116" s="271">
        <v>0</v>
      </c>
      <c r="BG116" s="271">
        <v>0</v>
      </c>
      <c r="BH116" s="271">
        <v>0</v>
      </c>
      <c r="BI116" s="1113">
        <v>0</v>
      </c>
      <c r="BJ116" s="271">
        <v>0</v>
      </c>
      <c r="BK116" s="271">
        <v>0</v>
      </c>
      <c r="BL116" s="271">
        <v>0</v>
      </c>
      <c r="BM116" s="1113">
        <v>516230</v>
      </c>
      <c r="BN116" s="1113">
        <v>0</v>
      </c>
      <c r="BO116" s="271">
        <v>0</v>
      </c>
      <c r="BP116" s="271">
        <v>2200000</v>
      </c>
      <c r="BQ116" s="271">
        <v>0</v>
      </c>
      <c r="BR116" s="271">
        <v>0</v>
      </c>
      <c r="BS116" s="271">
        <v>1694364</v>
      </c>
      <c r="BT116" s="300">
        <v>0</v>
      </c>
      <c r="BU116" s="300">
        <v>175449</v>
      </c>
      <c r="BV116" s="300">
        <v>0</v>
      </c>
      <c r="BW116" s="300">
        <v>0</v>
      </c>
      <c r="BX116" s="300">
        <v>0</v>
      </c>
      <c r="BY116" s="300">
        <v>0</v>
      </c>
      <c r="BZ116" s="300">
        <v>11814690</v>
      </c>
      <c r="CA116" s="300">
        <v>0</v>
      </c>
      <c r="CB116" s="300">
        <v>0</v>
      </c>
      <c r="CC116" s="300">
        <v>79300</v>
      </c>
      <c r="CD116" s="300">
        <v>0</v>
      </c>
      <c r="CE116" s="300">
        <v>0</v>
      </c>
    </row>
    <row r="117" spans="1:83" x14ac:dyDescent="0.3">
      <c r="A117" s="271">
        <v>353</v>
      </c>
      <c r="B117" s="271">
        <v>353</v>
      </c>
      <c r="C117" s="271" t="s">
        <v>235</v>
      </c>
      <c r="D117" s="271" t="s">
        <v>434</v>
      </c>
      <c r="E117" s="271">
        <v>0</v>
      </c>
      <c r="F117" s="1113">
        <v>0</v>
      </c>
      <c r="G117" s="1113">
        <v>0</v>
      </c>
      <c r="H117" s="1113">
        <v>0</v>
      </c>
      <c r="I117" s="271">
        <v>0</v>
      </c>
      <c r="J117" s="271">
        <v>0</v>
      </c>
      <c r="K117" s="1113">
        <v>0</v>
      </c>
      <c r="L117" s="1113">
        <v>0</v>
      </c>
      <c r="M117" s="271">
        <v>161823</v>
      </c>
      <c r="N117" s="271">
        <v>0</v>
      </c>
      <c r="O117" s="271">
        <v>0</v>
      </c>
      <c r="P117" s="271">
        <v>0</v>
      </c>
      <c r="Q117" s="271">
        <v>0</v>
      </c>
      <c r="R117" s="271">
        <v>259245</v>
      </c>
      <c r="S117" s="271">
        <v>0</v>
      </c>
      <c r="T117" s="271">
        <v>0</v>
      </c>
      <c r="U117" s="1113">
        <v>0</v>
      </c>
      <c r="V117" s="271">
        <v>0</v>
      </c>
      <c r="W117" s="271">
        <v>0</v>
      </c>
      <c r="X117" s="271">
        <v>0</v>
      </c>
      <c r="Y117" s="271">
        <v>0</v>
      </c>
      <c r="Z117" s="271">
        <v>0</v>
      </c>
      <c r="AA117" s="271">
        <v>283406</v>
      </c>
      <c r="AB117" s="271">
        <v>0</v>
      </c>
      <c r="AC117" s="271">
        <v>0</v>
      </c>
      <c r="AD117" s="271">
        <v>0</v>
      </c>
      <c r="AE117" s="271">
        <v>0</v>
      </c>
      <c r="AF117" s="271">
        <v>0</v>
      </c>
      <c r="AG117" s="271">
        <v>0</v>
      </c>
      <c r="AH117" s="1113">
        <v>0</v>
      </c>
      <c r="AI117" s="271">
        <v>0</v>
      </c>
      <c r="AJ117" s="271">
        <v>0</v>
      </c>
      <c r="AK117" s="271">
        <v>0</v>
      </c>
      <c r="AL117" s="271">
        <v>0</v>
      </c>
      <c r="AM117" s="271">
        <v>0</v>
      </c>
      <c r="AN117" s="271">
        <v>0</v>
      </c>
      <c r="AO117" s="271">
        <v>0</v>
      </c>
      <c r="AP117" s="271">
        <v>0</v>
      </c>
      <c r="AQ117" s="271">
        <v>0</v>
      </c>
      <c r="AR117" s="271">
        <v>0</v>
      </c>
      <c r="AS117" s="271">
        <v>0</v>
      </c>
      <c r="AT117" s="271">
        <v>0</v>
      </c>
      <c r="AU117" s="1113">
        <v>0</v>
      </c>
      <c r="AV117" s="271">
        <v>0</v>
      </c>
      <c r="AW117" s="271">
        <v>0</v>
      </c>
      <c r="AX117" s="271">
        <v>9000</v>
      </c>
      <c r="AY117" s="271">
        <v>0</v>
      </c>
      <c r="AZ117" s="271">
        <v>0</v>
      </c>
      <c r="BA117" s="271">
        <v>0</v>
      </c>
      <c r="BB117" s="271">
        <v>0</v>
      </c>
      <c r="BC117" s="271">
        <v>0</v>
      </c>
      <c r="BD117" s="271">
        <v>0</v>
      </c>
      <c r="BE117" s="271">
        <v>0</v>
      </c>
      <c r="BF117" s="1113">
        <v>0</v>
      </c>
      <c r="BG117" s="271">
        <v>0</v>
      </c>
      <c r="BH117" s="1113">
        <v>0</v>
      </c>
      <c r="BI117" s="271">
        <v>0</v>
      </c>
      <c r="BJ117" s="1113">
        <v>0</v>
      </c>
      <c r="BK117" s="271">
        <v>0</v>
      </c>
      <c r="BL117" s="271">
        <v>0</v>
      </c>
      <c r="BM117" s="271">
        <v>436330</v>
      </c>
      <c r="BN117" s="271">
        <v>378250</v>
      </c>
      <c r="BO117" s="271">
        <v>0</v>
      </c>
      <c r="BP117" s="271">
        <v>858454</v>
      </c>
      <c r="BQ117" s="1113">
        <v>150000</v>
      </c>
      <c r="BR117" s="271">
        <v>12500</v>
      </c>
      <c r="BS117" s="271">
        <v>0</v>
      </c>
      <c r="BT117" s="300">
        <v>0</v>
      </c>
      <c r="BU117" s="300">
        <v>0</v>
      </c>
      <c r="BV117" s="300">
        <v>0</v>
      </c>
      <c r="BW117" s="300">
        <v>0</v>
      </c>
      <c r="BX117" s="300">
        <v>38599</v>
      </c>
      <c r="BY117" s="300">
        <v>0</v>
      </c>
      <c r="BZ117" s="300">
        <v>15786372</v>
      </c>
      <c r="CA117" s="300">
        <v>0</v>
      </c>
      <c r="CB117" s="300">
        <v>0</v>
      </c>
      <c r="CC117" s="300">
        <v>0</v>
      </c>
      <c r="CD117" s="300">
        <v>0</v>
      </c>
      <c r="CE117" s="300">
        <v>0</v>
      </c>
    </row>
    <row r="118" spans="1:83" x14ac:dyDescent="0.3">
      <c r="A118" s="271">
        <v>356</v>
      </c>
      <c r="B118" s="271">
        <v>356</v>
      </c>
      <c r="C118" s="271" t="s">
        <v>552</v>
      </c>
      <c r="D118" s="271" t="s">
        <v>435</v>
      </c>
      <c r="E118" s="271">
        <v>0</v>
      </c>
      <c r="F118" s="271">
        <v>0</v>
      </c>
      <c r="G118" s="271">
        <v>0</v>
      </c>
      <c r="H118" s="1113">
        <v>0</v>
      </c>
      <c r="I118" s="271">
        <v>0</v>
      </c>
      <c r="J118" s="271">
        <v>0</v>
      </c>
      <c r="K118" s="271">
        <v>0</v>
      </c>
      <c r="L118" s="271">
        <v>0</v>
      </c>
      <c r="M118" s="1113">
        <v>9215204</v>
      </c>
      <c r="N118" s="271">
        <v>0</v>
      </c>
      <c r="O118" s="271">
        <v>0</v>
      </c>
      <c r="P118" s="271">
        <v>0</v>
      </c>
      <c r="Q118" s="271">
        <v>0</v>
      </c>
      <c r="R118" s="271">
        <v>13535802</v>
      </c>
      <c r="S118" s="271">
        <v>0</v>
      </c>
      <c r="T118" s="271">
        <v>772875</v>
      </c>
      <c r="U118" s="271">
        <v>0</v>
      </c>
      <c r="V118" s="271">
        <v>0</v>
      </c>
      <c r="W118" s="271">
        <v>0</v>
      </c>
      <c r="X118" s="271">
        <v>0</v>
      </c>
      <c r="Y118" s="1113">
        <v>0</v>
      </c>
      <c r="Z118" s="271">
        <v>1031857</v>
      </c>
      <c r="AA118" s="271">
        <v>0</v>
      </c>
      <c r="AB118" s="271">
        <v>0</v>
      </c>
      <c r="AC118" s="271">
        <v>0</v>
      </c>
      <c r="AD118" s="271">
        <v>0</v>
      </c>
      <c r="AE118" s="271">
        <v>0</v>
      </c>
      <c r="AF118" s="271">
        <v>0</v>
      </c>
      <c r="AG118" s="271">
        <v>100208711</v>
      </c>
      <c r="AH118" s="271">
        <v>0</v>
      </c>
      <c r="AI118" s="271">
        <v>0</v>
      </c>
      <c r="AJ118" s="1113">
        <v>0</v>
      </c>
      <c r="AK118" s="271">
        <v>0</v>
      </c>
      <c r="AL118" s="271">
        <v>0</v>
      </c>
      <c r="AM118" s="271">
        <v>0</v>
      </c>
      <c r="AN118" s="1113">
        <v>0</v>
      </c>
      <c r="AO118" s="271">
        <v>0</v>
      </c>
      <c r="AP118" s="271">
        <v>0</v>
      </c>
      <c r="AQ118" s="271">
        <v>7214746</v>
      </c>
      <c r="AR118" s="271">
        <v>0</v>
      </c>
      <c r="AS118" s="271">
        <v>0</v>
      </c>
      <c r="AT118" s="271">
        <v>0</v>
      </c>
      <c r="AU118" s="271">
        <v>0</v>
      </c>
      <c r="AV118" s="271">
        <v>0</v>
      </c>
      <c r="AW118" s="271">
        <v>302109064</v>
      </c>
      <c r="AX118" s="271">
        <v>0</v>
      </c>
      <c r="AY118" s="271">
        <v>0</v>
      </c>
      <c r="AZ118" s="271">
        <v>0</v>
      </c>
      <c r="BA118" s="271">
        <v>0</v>
      </c>
      <c r="BB118" s="271">
        <v>0</v>
      </c>
      <c r="BC118" s="271">
        <v>0</v>
      </c>
      <c r="BD118" s="271">
        <v>0</v>
      </c>
      <c r="BE118" s="271">
        <v>0</v>
      </c>
      <c r="BF118" s="271">
        <v>0</v>
      </c>
      <c r="BG118" s="271">
        <v>0</v>
      </c>
      <c r="BH118" s="1113">
        <v>0</v>
      </c>
      <c r="BI118" s="271">
        <v>0</v>
      </c>
      <c r="BJ118" s="271">
        <v>0</v>
      </c>
      <c r="BK118" s="271">
        <v>0</v>
      </c>
      <c r="BL118" s="271">
        <v>0</v>
      </c>
      <c r="BM118" s="271">
        <v>0</v>
      </c>
      <c r="BN118" s="271">
        <v>0</v>
      </c>
      <c r="BO118" s="271">
        <v>2910733</v>
      </c>
      <c r="BP118" s="271">
        <v>0</v>
      </c>
      <c r="BQ118" s="271">
        <v>138070666</v>
      </c>
      <c r="BR118" s="271">
        <v>0</v>
      </c>
      <c r="BS118" s="271">
        <v>3561835</v>
      </c>
      <c r="BT118" s="300">
        <v>0</v>
      </c>
      <c r="BU118" s="300">
        <v>0</v>
      </c>
      <c r="BV118" s="300">
        <v>438651</v>
      </c>
      <c r="BW118" s="300">
        <v>0</v>
      </c>
      <c r="BX118" s="300">
        <v>0</v>
      </c>
      <c r="BY118" s="300">
        <v>0</v>
      </c>
      <c r="BZ118" s="300">
        <v>0</v>
      </c>
      <c r="CA118" s="300">
        <v>742433</v>
      </c>
      <c r="CB118" s="300">
        <v>0</v>
      </c>
      <c r="CC118" s="300">
        <v>0</v>
      </c>
      <c r="CD118" s="300">
        <v>0</v>
      </c>
      <c r="CE118" s="300">
        <v>34308953</v>
      </c>
    </row>
    <row r="119" spans="1:83" x14ac:dyDescent="0.3">
      <c r="A119" s="271">
        <v>357</v>
      </c>
      <c r="B119" s="271">
        <v>357</v>
      </c>
      <c r="C119" s="271" t="s">
        <v>553</v>
      </c>
      <c r="D119" s="271" t="s">
        <v>436</v>
      </c>
      <c r="E119" s="271">
        <v>0</v>
      </c>
      <c r="F119" s="271">
        <v>0</v>
      </c>
      <c r="G119" s="271">
        <v>0</v>
      </c>
      <c r="H119" s="1113">
        <v>0</v>
      </c>
      <c r="I119" s="271">
        <v>0</v>
      </c>
      <c r="J119" s="271">
        <v>0</v>
      </c>
      <c r="K119" s="271">
        <v>0</v>
      </c>
      <c r="L119" s="271">
        <v>0</v>
      </c>
      <c r="M119" s="1113">
        <v>5023062</v>
      </c>
      <c r="N119" s="271">
        <v>0</v>
      </c>
      <c r="O119" s="271">
        <v>0</v>
      </c>
      <c r="P119" s="271">
        <v>0</v>
      </c>
      <c r="Q119" s="271">
        <v>0</v>
      </c>
      <c r="R119" s="271">
        <v>10198504</v>
      </c>
      <c r="S119" s="271">
        <v>0</v>
      </c>
      <c r="T119" s="271">
        <v>590596</v>
      </c>
      <c r="U119" s="271">
        <v>0</v>
      </c>
      <c r="V119" s="271">
        <v>0</v>
      </c>
      <c r="W119" s="271">
        <v>0</v>
      </c>
      <c r="X119" s="271">
        <v>0</v>
      </c>
      <c r="Y119" s="1113">
        <v>0</v>
      </c>
      <c r="Z119" s="271">
        <v>985662</v>
      </c>
      <c r="AA119" s="271">
        <v>0</v>
      </c>
      <c r="AB119" s="271">
        <v>0</v>
      </c>
      <c r="AC119" s="271">
        <v>0</v>
      </c>
      <c r="AD119" s="271">
        <v>0</v>
      </c>
      <c r="AE119" s="271">
        <v>0</v>
      </c>
      <c r="AF119" s="271">
        <v>0</v>
      </c>
      <c r="AG119" s="271">
        <v>62183605</v>
      </c>
      <c r="AH119" s="271">
        <v>0</v>
      </c>
      <c r="AI119" s="271">
        <v>0</v>
      </c>
      <c r="AJ119" s="1113">
        <v>0</v>
      </c>
      <c r="AK119" s="271">
        <v>0</v>
      </c>
      <c r="AL119" s="271">
        <v>0</v>
      </c>
      <c r="AM119" s="271">
        <v>0</v>
      </c>
      <c r="AN119" s="1113">
        <v>0</v>
      </c>
      <c r="AO119" s="271">
        <v>0</v>
      </c>
      <c r="AP119" s="271">
        <v>0</v>
      </c>
      <c r="AQ119" s="271">
        <v>3724672</v>
      </c>
      <c r="AR119" s="271">
        <v>0</v>
      </c>
      <c r="AS119" s="271">
        <v>0</v>
      </c>
      <c r="AT119" s="271">
        <v>0</v>
      </c>
      <c r="AU119" s="271">
        <v>0</v>
      </c>
      <c r="AV119" s="271">
        <v>0</v>
      </c>
      <c r="AW119" s="271">
        <v>198588889</v>
      </c>
      <c r="AX119" s="271">
        <v>0</v>
      </c>
      <c r="AY119" s="271">
        <v>0</v>
      </c>
      <c r="AZ119" s="271">
        <v>0</v>
      </c>
      <c r="BA119" s="271">
        <v>0</v>
      </c>
      <c r="BB119" s="271">
        <v>0</v>
      </c>
      <c r="BC119" s="271">
        <v>0</v>
      </c>
      <c r="BD119" s="271">
        <v>0</v>
      </c>
      <c r="BE119" s="271">
        <v>0</v>
      </c>
      <c r="BF119" s="271">
        <v>0</v>
      </c>
      <c r="BG119" s="271">
        <v>0</v>
      </c>
      <c r="BH119" s="1113">
        <v>0</v>
      </c>
      <c r="BI119" s="271">
        <v>0</v>
      </c>
      <c r="BJ119" s="271">
        <v>0</v>
      </c>
      <c r="BK119" s="271">
        <v>0</v>
      </c>
      <c r="BL119" s="271">
        <v>0</v>
      </c>
      <c r="BM119" s="271">
        <v>0</v>
      </c>
      <c r="BN119" s="271">
        <v>0</v>
      </c>
      <c r="BO119" s="271">
        <v>2382029</v>
      </c>
      <c r="BP119" s="271">
        <v>0</v>
      </c>
      <c r="BQ119" s="271">
        <v>95956595</v>
      </c>
      <c r="BR119" s="271">
        <v>0</v>
      </c>
      <c r="BS119" s="271">
        <v>2510521</v>
      </c>
      <c r="BT119" s="300">
        <v>0</v>
      </c>
      <c r="BU119" s="300">
        <v>0</v>
      </c>
      <c r="BV119" s="300">
        <v>385339</v>
      </c>
      <c r="BW119" s="300">
        <v>0</v>
      </c>
      <c r="BX119" s="300">
        <v>0</v>
      </c>
      <c r="BY119" s="300">
        <v>0</v>
      </c>
      <c r="BZ119" s="300">
        <v>0</v>
      </c>
      <c r="CA119" s="300">
        <v>493402</v>
      </c>
      <c r="CB119" s="300">
        <v>0</v>
      </c>
      <c r="CC119" s="300">
        <v>0</v>
      </c>
      <c r="CD119" s="300">
        <v>0</v>
      </c>
      <c r="CE119" s="300">
        <v>13070466</v>
      </c>
    </row>
    <row r="120" spans="1:83" x14ac:dyDescent="0.3">
      <c r="A120" s="271">
        <v>359</v>
      </c>
      <c r="B120" s="271">
        <v>359</v>
      </c>
      <c r="C120" s="271" t="s">
        <v>256</v>
      </c>
      <c r="D120" s="271" t="s">
        <v>437</v>
      </c>
      <c r="E120" s="271">
        <v>0</v>
      </c>
      <c r="F120" s="271">
        <v>0</v>
      </c>
      <c r="G120" s="271">
        <v>0</v>
      </c>
      <c r="H120" s="1113">
        <v>0</v>
      </c>
      <c r="I120" s="271">
        <v>0</v>
      </c>
      <c r="J120" s="271">
        <v>0</v>
      </c>
      <c r="K120" s="271">
        <v>0</v>
      </c>
      <c r="L120" s="271">
        <v>0</v>
      </c>
      <c r="M120" s="1113">
        <v>740432</v>
      </c>
      <c r="N120" s="271">
        <v>0</v>
      </c>
      <c r="O120" s="271">
        <v>0</v>
      </c>
      <c r="P120" s="271">
        <v>0</v>
      </c>
      <c r="Q120" s="271">
        <v>0</v>
      </c>
      <c r="R120" s="271">
        <v>16612</v>
      </c>
      <c r="S120" s="271">
        <v>0</v>
      </c>
      <c r="T120" s="271">
        <v>0</v>
      </c>
      <c r="U120" s="271">
        <v>0</v>
      </c>
      <c r="V120" s="271">
        <v>0</v>
      </c>
      <c r="W120" s="271">
        <v>0</v>
      </c>
      <c r="X120" s="271">
        <v>0</v>
      </c>
      <c r="Y120" s="1113">
        <v>0</v>
      </c>
      <c r="Z120" s="271">
        <v>1524</v>
      </c>
      <c r="AA120" s="271">
        <v>0</v>
      </c>
      <c r="AB120" s="271">
        <v>0</v>
      </c>
      <c r="AC120" s="271">
        <v>0</v>
      </c>
      <c r="AD120" s="271">
        <v>0</v>
      </c>
      <c r="AE120" s="271">
        <v>0</v>
      </c>
      <c r="AF120" s="271">
        <v>0</v>
      </c>
      <c r="AG120" s="271">
        <v>430000</v>
      </c>
      <c r="AH120" s="271">
        <v>0</v>
      </c>
      <c r="AI120" s="271">
        <v>0</v>
      </c>
      <c r="AJ120" s="271">
        <v>0</v>
      </c>
      <c r="AK120" s="271">
        <v>0</v>
      </c>
      <c r="AL120" s="271">
        <v>0</v>
      </c>
      <c r="AM120" s="271">
        <v>0</v>
      </c>
      <c r="AN120" s="1113">
        <v>0</v>
      </c>
      <c r="AO120" s="271">
        <v>0</v>
      </c>
      <c r="AP120" s="271">
        <v>0</v>
      </c>
      <c r="AQ120" s="271">
        <v>0</v>
      </c>
      <c r="AR120" s="271">
        <v>0</v>
      </c>
      <c r="AS120" s="271">
        <v>0</v>
      </c>
      <c r="AT120" s="271">
        <v>0</v>
      </c>
      <c r="AU120" s="271">
        <v>0</v>
      </c>
      <c r="AV120" s="271">
        <v>0</v>
      </c>
      <c r="AW120" s="271">
        <v>65803369</v>
      </c>
      <c r="AX120" s="271">
        <v>0</v>
      </c>
      <c r="AY120" s="271">
        <v>0</v>
      </c>
      <c r="AZ120" s="271">
        <v>0</v>
      </c>
      <c r="BA120" s="271">
        <v>0</v>
      </c>
      <c r="BB120" s="271">
        <v>0</v>
      </c>
      <c r="BC120" s="271">
        <v>0</v>
      </c>
      <c r="BD120" s="271">
        <v>0</v>
      </c>
      <c r="BE120" s="271">
        <v>0</v>
      </c>
      <c r="BF120" s="271">
        <v>0</v>
      </c>
      <c r="BG120" s="271">
        <v>0</v>
      </c>
      <c r="BH120" s="271">
        <v>0</v>
      </c>
      <c r="BI120" s="271">
        <v>0</v>
      </c>
      <c r="BJ120" s="271">
        <v>0</v>
      </c>
      <c r="BK120" s="271">
        <v>0</v>
      </c>
      <c r="BL120" s="271">
        <v>0</v>
      </c>
      <c r="BM120" s="271">
        <v>0</v>
      </c>
      <c r="BN120" s="271">
        <v>0</v>
      </c>
      <c r="BO120" s="271">
        <v>206281</v>
      </c>
      <c r="BP120" s="271">
        <v>0</v>
      </c>
      <c r="BQ120" s="271">
        <v>0</v>
      </c>
      <c r="BR120" s="271">
        <v>0</v>
      </c>
      <c r="BS120" s="271">
        <v>1600000</v>
      </c>
      <c r="BT120" s="300">
        <v>0</v>
      </c>
      <c r="BU120" s="300">
        <v>0</v>
      </c>
      <c r="BV120" s="300">
        <v>0</v>
      </c>
      <c r="BW120" s="300">
        <v>0</v>
      </c>
      <c r="BX120" s="300">
        <v>0</v>
      </c>
      <c r="BY120" s="300">
        <v>0</v>
      </c>
      <c r="BZ120" s="300">
        <v>0</v>
      </c>
      <c r="CA120" s="300">
        <v>0</v>
      </c>
      <c r="CB120" s="300">
        <v>0</v>
      </c>
      <c r="CC120" s="300">
        <v>0</v>
      </c>
      <c r="CD120" s="300">
        <v>0</v>
      </c>
      <c r="CE120" s="300">
        <v>0</v>
      </c>
    </row>
    <row r="121" spans="1:83" x14ac:dyDescent="0.3">
      <c r="A121" s="271">
        <v>360</v>
      </c>
      <c r="B121" s="271">
        <v>360</v>
      </c>
      <c r="C121" s="271" t="s">
        <v>125</v>
      </c>
      <c r="D121" s="271" t="s">
        <v>438</v>
      </c>
      <c r="E121" s="271">
        <v>0</v>
      </c>
      <c r="F121" s="271">
        <v>0</v>
      </c>
      <c r="G121" s="271">
        <v>0</v>
      </c>
      <c r="H121" s="1113">
        <v>0</v>
      </c>
      <c r="I121" s="271">
        <v>0</v>
      </c>
      <c r="J121" s="271">
        <v>0</v>
      </c>
      <c r="K121" s="271">
        <v>0</v>
      </c>
      <c r="L121" s="271">
        <v>0</v>
      </c>
      <c r="M121" s="1113">
        <v>1858025</v>
      </c>
      <c r="N121" s="271">
        <v>0</v>
      </c>
      <c r="O121" s="271">
        <v>0</v>
      </c>
      <c r="P121" s="271">
        <v>0</v>
      </c>
      <c r="Q121" s="271">
        <v>0</v>
      </c>
      <c r="R121" s="271">
        <v>1996707</v>
      </c>
      <c r="S121" s="271">
        <v>0</v>
      </c>
      <c r="T121" s="271">
        <v>135954</v>
      </c>
      <c r="U121" s="271">
        <v>0</v>
      </c>
      <c r="V121" s="271">
        <v>0</v>
      </c>
      <c r="W121" s="271">
        <v>0</v>
      </c>
      <c r="X121" s="271">
        <v>0</v>
      </c>
      <c r="Y121" s="1113">
        <v>0</v>
      </c>
      <c r="Z121" s="271">
        <v>340281</v>
      </c>
      <c r="AA121" s="271">
        <v>0</v>
      </c>
      <c r="AB121" s="271">
        <v>0</v>
      </c>
      <c r="AC121" s="271">
        <v>0</v>
      </c>
      <c r="AD121" s="271">
        <v>0</v>
      </c>
      <c r="AE121" s="271">
        <v>0</v>
      </c>
      <c r="AF121" s="271">
        <v>0</v>
      </c>
      <c r="AG121" s="271">
        <v>12499331</v>
      </c>
      <c r="AH121" s="271">
        <v>0</v>
      </c>
      <c r="AI121" s="271">
        <v>0</v>
      </c>
      <c r="AJ121" s="1113">
        <v>0</v>
      </c>
      <c r="AK121" s="271">
        <v>0</v>
      </c>
      <c r="AL121" s="271">
        <v>0</v>
      </c>
      <c r="AM121" s="271">
        <v>0</v>
      </c>
      <c r="AN121" s="1113">
        <v>0</v>
      </c>
      <c r="AO121" s="271">
        <v>0</v>
      </c>
      <c r="AP121" s="271">
        <v>0</v>
      </c>
      <c r="AQ121" s="271">
        <v>1162707</v>
      </c>
      <c r="AR121" s="271">
        <v>0</v>
      </c>
      <c r="AS121" s="271">
        <v>0</v>
      </c>
      <c r="AT121" s="271">
        <v>0</v>
      </c>
      <c r="AU121" s="271">
        <v>0</v>
      </c>
      <c r="AV121" s="271">
        <v>0</v>
      </c>
      <c r="AW121" s="271">
        <v>112587654</v>
      </c>
      <c r="AX121" s="271">
        <v>0</v>
      </c>
      <c r="AY121" s="271">
        <v>0</v>
      </c>
      <c r="AZ121" s="271">
        <v>0</v>
      </c>
      <c r="BA121" s="271">
        <v>0</v>
      </c>
      <c r="BB121" s="271">
        <v>0</v>
      </c>
      <c r="BC121" s="271">
        <v>0</v>
      </c>
      <c r="BD121" s="271">
        <v>0</v>
      </c>
      <c r="BE121" s="271">
        <v>0</v>
      </c>
      <c r="BF121" s="271">
        <v>0</v>
      </c>
      <c r="BG121" s="271">
        <v>0</v>
      </c>
      <c r="BH121" s="1113">
        <v>0</v>
      </c>
      <c r="BI121" s="271">
        <v>0</v>
      </c>
      <c r="BJ121" s="271">
        <v>0</v>
      </c>
      <c r="BK121" s="271">
        <v>0</v>
      </c>
      <c r="BL121" s="271">
        <v>0</v>
      </c>
      <c r="BM121" s="271">
        <v>0</v>
      </c>
      <c r="BN121" s="271">
        <v>0</v>
      </c>
      <c r="BO121" s="271">
        <v>614261</v>
      </c>
      <c r="BP121" s="271">
        <v>0</v>
      </c>
      <c r="BQ121" s="271">
        <v>16754383</v>
      </c>
      <c r="BR121" s="271">
        <v>0</v>
      </c>
      <c r="BS121" s="271">
        <v>2226574</v>
      </c>
      <c r="BT121" s="300">
        <v>0</v>
      </c>
      <c r="BU121" s="300">
        <v>0</v>
      </c>
      <c r="BV121" s="300">
        <v>94966</v>
      </c>
      <c r="BW121" s="300">
        <v>0</v>
      </c>
      <c r="BX121" s="300">
        <v>0</v>
      </c>
      <c r="BY121" s="300">
        <v>0</v>
      </c>
      <c r="BZ121" s="300">
        <v>0</v>
      </c>
      <c r="CA121" s="300">
        <v>132539</v>
      </c>
      <c r="CB121" s="300">
        <v>0</v>
      </c>
      <c r="CC121" s="300">
        <v>0</v>
      </c>
      <c r="CD121" s="300">
        <v>0</v>
      </c>
      <c r="CE121" s="300">
        <v>2205197</v>
      </c>
    </row>
    <row r="122" spans="1:83" x14ac:dyDescent="0.3">
      <c r="A122" s="271">
        <v>361</v>
      </c>
      <c r="B122" s="271">
        <v>361</v>
      </c>
      <c r="C122" s="271" t="s">
        <v>106</v>
      </c>
      <c r="D122" s="271" t="s">
        <v>439</v>
      </c>
      <c r="E122" s="271">
        <v>0</v>
      </c>
      <c r="F122" s="271">
        <v>0</v>
      </c>
      <c r="G122" s="271">
        <v>0</v>
      </c>
      <c r="H122" s="1113">
        <v>0</v>
      </c>
      <c r="I122" s="271">
        <v>0</v>
      </c>
      <c r="J122" s="271">
        <v>0</v>
      </c>
      <c r="K122" s="271">
        <v>0</v>
      </c>
      <c r="L122" s="271">
        <v>0</v>
      </c>
      <c r="M122" s="1113">
        <v>1453364</v>
      </c>
      <c r="N122" s="271">
        <v>0</v>
      </c>
      <c r="O122" s="271">
        <v>0</v>
      </c>
      <c r="P122" s="271">
        <v>0</v>
      </c>
      <c r="Q122" s="271">
        <v>0</v>
      </c>
      <c r="R122" s="271">
        <v>5746932</v>
      </c>
      <c r="S122" s="271">
        <v>0</v>
      </c>
      <c r="T122" s="271">
        <v>927122</v>
      </c>
      <c r="U122" s="271">
        <v>0</v>
      </c>
      <c r="V122" s="271">
        <v>0</v>
      </c>
      <c r="W122" s="271">
        <v>0</v>
      </c>
      <c r="X122" s="271">
        <v>0</v>
      </c>
      <c r="Y122" s="1113">
        <v>0</v>
      </c>
      <c r="Z122" s="271">
        <v>350193</v>
      </c>
      <c r="AA122" s="271">
        <v>0</v>
      </c>
      <c r="AB122" s="271">
        <v>0</v>
      </c>
      <c r="AC122" s="271">
        <v>0</v>
      </c>
      <c r="AD122" s="271">
        <v>0</v>
      </c>
      <c r="AE122" s="271">
        <v>0</v>
      </c>
      <c r="AF122" s="271">
        <v>0</v>
      </c>
      <c r="AG122" s="271">
        <v>22045721</v>
      </c>
      <c r="AH122" s="271">
        <v>0</v>
      </c>
      <c r="AI122" s="271">
        <v>0</v>
      </c>
      <c r="AJ122" s="1113">
        <v>0</v>
      </c>
      <c r="AK122" s="271">
        <v>0</v>
      </c>
      <c r="AL122" s="271">
        <v>0</v>
      </c>
      <c r="AM122" s="271">
        <v>0</v>
      </c>
      <c r="AN122" s="1113">
        <v>0</v>
      </c>
      <c r="AO122" s="271">
        <v>0</v>
      </c>
      <c r="AP122" s="271">
        <v>0</v>
      </c>
      <c r="AQ122" s="271">
        <v>4146026</v>
      </c>
      <c r="AR122" s="271">
        <v>0</v>
      </c>
      <c r="AS122" s="271">
        <v>0</v>
      </c>
      <c r="AT122" s="271">
        <v>0</v>
      </c>
      <c r="AU122" s="271">
        <v>0</v>
      </c>
      <c r="AV122" s="271">
        <v>0</v>
      </c>
      <c r="AW122" s="271">
        <v>74023836</v>
      </c>
      <c r="AX122" s="271">
        <v>0</v>
      </c>
      <c r="AY122" s="271">
        <v>0</v>
      </c>
      <c r="AZ122" s="271">
        <v>0</v>
      </c>
      <c r="BA122" s="271">
        <v>0</v>
      </c>
      <c r="BB122" s="271">
        <v>0</v>
      </c>
      <c r="BC122" s="271">
        <v>0</v>
      </c>
      <c r="BD122" s="271">
        <v>0</v>
      </c>
      <c r="BE122" s="271">
        <v>0</v>
      </c>
      <c r="BF122" s="271">
        <v>0</v>
      </c>
      <c r="BG122" s="271">
        <v>0</v>
      </c>
      <c r="BH122" s="1113">
        <v>0</v>
      </c>
      <c r="BI122" s="271">
        <v>0</v>
      </c>
      <c r="BJ122" s="271">
        <v>0</v>
      </c>
      <c r="BK122" s="271">
        <v>0</v>
      </c>
      <c r="BL122" s="271">
        <v>0</v>
      </c>
      <c r="BM122" s="271">
        <v>0</v>
      </c>
      <c r="BN122" s="271">
        <v>0</v>
      </c>
      <c r="BO122" s="271">
        <v>1114267</v>
      </c>
      <c r="BP122" s="271">
        <v>0</v>
      </c>
      <c r="BQ122" s="271">
        <v>59281859</v>
      </c>
      <c r="BR122" s="271">
        <v>0</v>
      </c>
      <c r="BS122" s="271">
        <v>4462114</v>
      </c>
      <c r="BT122" s="300">
        <v>0</v>
      </c>
      <c r="BU122" s="300">
        <v>0</v>
      </c>
      <c r="BV122" s="300">
        <v>360817</v>
      </c>
      <c r="BW122" s="300">
        <v>0</v>
      </c>
      <c r="BX122" s="300">
        <v>0</v>
      </c>
      <c r="BY122" s="300">
        <v>0</v>
      </c>
      <c r="BZ122" s="300">
        <v>0</v>
      </c>
      <c r="CA122" s="300">
        <v>717032</v>
      </c>
      <c r="CB122" s="300">
        <v>0</v>
      </c>
      <c r="CC122" s="300">
        <v>0</v>
      </c>
      <c r="CD122" s="300">
        <v>0</v>
      </c>
      <c r="CE122" s="300">
        <v>2902663</v>
      </c>
    </row>
    <row r="123" spans="1:83" x14ac:dyDescent="0.3">
      <c r="A123" s="271">
        <v>362</v>
      </c>
      <c r="B123" s="271">
        <v>362</v>
      </c>
      <c r="C123" s="271" t="s">
        <v>107</v>
      </c>
      <c r="D123" s="271" t="s">
        <v>440</v>
      </c>
      <c r="E123" s="271">
        <v>0</v>
      </c>
      <c r="F123" s="271">
        <v>0</v>
      </c>
      <c r="G123" s="271">
        <v>0</v>
      </c>
      <c r="H123" s="1113">
        <v>0</v>
      </c>
      <c r="I123" s="271">
        <v>0</v>
      </c>
      <c r="J123" s="271">
        <v>0</v>
      </c>
      <c r="K123" s="271">
        <v>0</v>
      </c>
      <c r="L123" s="271">
        <v>0</v>
      </c>
      <c r="M123" s="1113">
        <v>4963974</v>
      </c>
      <c r="N123" s="271">
        <v>0</v>
      </c>
      <c r="O123" s="271">
        <v>0</v>
      </c>
      <c r="P123" s="271">
        <v>0</v>
      </c>
      <c r="Q123" s="271">
        <v>0</v>
      </c>
      <c r="R123" s="271">
        <v>9183333</v>
      </c>
      <c r="S123" s="271">
        <v>0</v>
      </c>
      <c r="T123" s="271">
        <v>1109401</v>
      </c>
      <c r="U123" s="271">
        <v>0</v>
      </c>
      <c r="V123" s="271">
        <v>0</v>
      </c>
      <c r="W123" s="271">
        <v>0</v>
      </c>
      <c r="X123" s="271">
        <v>0</v>
      </c>
      <c r="Y123" s="1113">
        <v>0</v>
      </c>
      <c r="Z123" s="271">
        <v>532132</v>
      </c>
      <c r="AA123" s="271">
        <v>0</v>
      </c>
      <c r="AB123" s="271">
        <v>0</v>
      </c>
      <c r="AC123" s="271">
        <v>0</v>
      </c>
      <c r="AD123" s="271">
        <v>0</v>
      </c>
      <c r="AE123" s="271">
        <v>0</v>
      </c>
      <c r="AF123" s="271">
        <v>0</v>
      </c>
      <c r="AG123" s="271">
        <v>69392200</v>
      </c>
      <c r="AH123" s="271">
        <v>0</v>
      </c>
      <c r="AI123" s="271">
        <v>0</v>
      </c>
      <c r="AJ123" s="1113">
        <v>0</v>
      </c>
      <c r="AK123" s="271">
        <v>0</v>
      </c>
      <c r="AL123" s="271">
        <v>0</v>
      </c>
      <c r="AM123" s="271">
        <v>0</v>
      </c>
      <c r="AN123" s="1113">
        <v>0</v>
      </c>
      <c r="AO123" s="271">
        <v>0</v>
      </c>
      <c r="AP123" s="271">
        <v>0</v>
      </c>
      <c r="AQ123" s="271">
        <v>7683500</v>
      </c>
      <c r="AR123" s="271">
        <v>0</v>
      </c>
      <c r="AS123" s="271">
        <v>0</v>
      </c>
      <c r="AT123" s="271">
        <v>0</v>
      </c>
      <c r="AU123" s="271">
        <v>0</v>
      </c>
      <c r="AV123" s="271">
        <v>0</v>
      </c>
      <c r="AW123" s="271">
        <v>153143899</v>
      </c>
      <c r="AX123" s="271">
        <v>0</v>
      </c>
      <c r="AY123" s="271">
        <v>0</v>
      </c>
      <c r="AZ123" s="271">
        <v>0</v>
      </c>
      <c r="BA123" s="271">
        <v>0</v>
      </c>
      <c r="BB123" s="271">
        <v>0</v>
      </c>
      <c r="BC123" s="271">
        <v>0</v>
      </c>
      <c r="BD123" s="271">
        <v>0</v>
      </c>
      <c r="BE123" s="271">
        <v>0</v>
      </c>
      <c r="BF123" s="271">
        <v>0</v>
      </c>
      <c r="BG123" s="271">
        <v>0</v>
      </c>
      <c r="BH123" s="1113">
        <v>0</v>
      </c>
      <c r="BI123" s="271">
        <v>0</v>
      </c>
      <c r="BJ123" s="271">
        <v>0</v>
      </c>
      <c r="BK123" s="271">
        <v>0</v>
      </c>
      <c r="BL123" s="271">
        <v>0</v>
      </c>
      <c r="BM123" s="271">
        <v>0</v>
      </c>
      <c r="BN123" s="271">
        <v>0</v>
      </c>
      <c r="BO123" s="271">
        <v>1436690</v>
      </c>
      <c r="BP123" s="271">
        <v>0</v>
      </c>
      <c r="BQ123" s="271">
        <v>128088544</v>
      </c>
      <c r="BR123" s="271">
        <v>0</v>
      </c>
      <c r="BS123" s="271">
        <v>5513428</v>
      </c>
      <c r="BT123" s="300">
        <v>0</v>
      </c>
      <c r="BU123" s="300">
        <v>0</v>
      </c>
      <c r="BV123" s="300">
        <v>414129</v>
      </c>
      <c r="BW123" s="300">
        <v>0</v>
      </c>
      <c r="BX123" s="300">
        <v>0</v>
      </c>
      <c r="BY123" s="300">
        <v>0</v>
      </c>
      <c r="BZ123" s="300">
        <v>0</v>
      </c>
      <c r="CA123" s="300">
        <v>958641</v>
      </c>
      <c r="CB123" s="300">
        <v>0</v>
      </c>
      <c r="CC123" s="300">
        <v>0</v>
      </c>
      <c r="CD123" s="300">
        <v>0</v>
      </c>
      <c r="CE123" s="300">
        <v>24554921</v>
      </c>
    </row>
    <row r="124" spans="1:83" x14ac:dyDescent="0.3">
      <c r="A124" s="271">
        <v>363</v>
      </c>
      <c r="B124" s="271">
        <v>363</v>
      </c>
      <c r="C124" s="271" t="s">
        <v>242</v>
      </c>
      <c r="D124" s="271" t="s">
        <v>441</v>
      </c>
      <c r="E124" s="271">
        <v>0</v>
      </c>
      <c r="F124" s="271">
        <v>0</v>
      </c>
      <c r="G124" s="271">
        <v>0</v>
      </c>
      <c r="H124" s="1113">
        <v>0</v>
      </c>
      <c r="I124" s="271">
        <v>0</v>
      </c>
      <c r="J124" s="271">
        <v>0</v>
      </c>
      <c r="K124" s="271">
        <v>0</v>
      </c>
      <c r="L124" s="271">
        <v>0</v>
      </c>
      <c r="M124" s="1113">
        <v>31692</v>
      </c>
      <c r="N124" s="271">
        <v>0</v>
      </c>
      <c r="O124" s="271">
        <v>0</v>
      </c>
      <c r="P124" s="271">
        <v>0</v>
      </c>
      <c r="Q124" s="271">
        <v>0</v>
      </c>
      <c r="R124" s="271">
        <v>63802</v>
      </c>
      <c r="S124" s="271">
        <v>0</v>
      </c>
      <c r="T124" s="271">
        <v>538</v>
      </c>
      <c r="U124" s="271">
        <v>0</v>
      </c>
      <c r="V124" s="271">
        <v>0</v>
      </c>
      <c r="W124" s="271">
        <v>0</v>
      </c>
      <c r="X124" s="271">
        <v>0</v>
      </c>
      <c r="Y124" s="1113">
        <v>0</v>
      </c>
      <c r="Z124" s="271">
        <v>48763</v>
      </c>
      <c r="AA124" s="271">
        <v>0</v>
      </c>
      <c r="AB124" s="271">
        <v>0</v>
      </c>
      <c r="AC124" s="271">
        <v>0</v>
      </c>
      <c r="AD124" s="271">
        <v>0</v>
      </c>
      <c r="AE124" s="271">
        <v>0</v>
      </c>
      <c r="AF124" s="271">
        <v>0</v>
      </c>
      <c r="AG124" s="271">
        <v>347877</v>
      </c>
      <c r="AH124" s="271">
        <v>0</v>
      </c>
      <c r="AI124" s="271">
        <v>0</v>
      </c>
      <c r="AJ124" s="271">
        <v>0</v>
      </c>
      <c r="AK124" s="271">
        <v>0</v>
      </c>
      <c r="AL124" s="271">
        <v>0</v>
      </c>
      <c r="AM124" s="271">
        <v>0</v>
      </c>
      <c r="AN124" s="1113">
        <v>0</v>
      </c>
      <c r="AO124" s="271">
        <v>0</v>
      </c>
      <c r="AP124" s="271">
        <v>0</v>
      </c>
      <c r="AQ124" s="271">
        <v>62202</v>
      </c>
      <c r="AR124" s="271">
        <v>0</v>
      </c>
      <c r="AS124" s="271">
        <v>0</v>
      </c>
      <c r="AT124" s="271">
        <v>0</v>
      </c>
      <c r="AU124" s="271">
        <v>0</v>
      </c>
      <c r="AV124" s="271">
        <v>0</v>
      </c>
      <c r="AW124" s="271">
        <v>3450192</v>
      </c>
      <c r="AX124" s="271">
        <v>0</v>
      </c>
      <c r="AY124" s="271">
        <v>0</v>
      </c>
      <c r="AZ124" s="271">
        <v>0</v>
      </c>
      <c r="BA124" s="271">
        <v>0</v>
      </c>
      <c r="BB124" s="271">
        <v>0</v>
      </c>
      <c r="BC124" s="271">
        <v>0</v>
      </c>
      <c r="BD124" s="271">
        <v>0</v>
      </c>
      <c r="BE124" s="271">
        <v>0</v>
      </c>
      <c r="BF124" s="271">
        <v>0</v>
      </c>
      <c r="BG124" s="271">
        <v>0</v>
      </c>
      <c r="BH124" s="1113">
        <v>0</v>
      </c>
      <c r="BI124" s="271">
        <v>0</v>
      </c>
      <c r="BJ124" s="271">
        <v>0</v>
      </c>
      <c r="BK124" s="271">
        <v>0</v>
      </c>
      <c r="BL124" s="271">
        <v>0</v>
      </c>
      <c r="BM124" s="271">
        <v>0</v>
      </c>
      <c r="BN124" s="271">
        <v>0</v>
      </c>
      <c r="BO124" s="271">
        <v>17</v>
      </c>
      <c r="BP124" s="271">
        <v>0</v>
      </c>
      <c r="BQ124" s="271">
        <v>1675508</v>
      </c>
      <c r="BR124" s="271">
        <v>0</v>
      </c>
      <c r="BS124" s="271">
        <v>74819</v>
      </c>
      <c r="BT124" s="300">
        <v>0</v>
      </c>
      <c r="BU124" s="300">
        <v>0</v>
      </c>
      <c r="BV124" s="300">
        <v>0</v>
      </c>
      <c r="BW124" s="300">
        <v>0</v>
      </c>
      <c r="BX124" s="300">
        <v>0</v>
      </c>
      <c r="BY124" s="300">
        <v>0</v>
      </c>
      <c r="BZ124" s="300">
        <v>0</v>
      </c>
      <c r="CA124" s="300">
        <v>8753</v>
      </c>
      <c r="CB124" s="300">
        <v>0</v>
      </c>
      <c r="CC124" s="300">
        <v>0</v>
      </c>
      <c r="CD124" s="300">
        <v>0</v>
      </c>
      <c r="CE124" s="300">
        <v>14015</v>
      </c>
    </row>
    <row r="125" spans="1:83" x14ac:dyDescent="0.3">
      <c r="A125" s="271">
        <v>364</v>
      </c>
      <c r="B125" s="271">
        <v>364</v>
      </c>
      <c r="C125" s="271" t="s">
        <v>243</v>
      </c>
      <c r="D125" s="271" t="s">
        <v>442</v>
      </c>
      <c r="E125" s="271">
        <v>0</v>
      </c>
      <c r="F125" s="271">
        <v>0</v>
      </c>
      <c r="G125" s="271">
        <v>0</v>
      </c>
      <c r="H125" s="1113">
        <v>0</v>
      </c>
      <c r="I125" s="271">
        <v>0</v>
      </c>
      <c r="J125" s="271">
        <v>0</v>
      </c>
      <c r="K125" s="271">
        <v>0</v>
      </c>
      <c r="L125" s="271">
        <v>0</v>
      </c>
      <c r="M125" s="1113">
        <v>67437</v>
      </c>
      <c r="N125" s="271">
        <v>0</v>
      </c>
      <c r="O125" s="271">
        <v>0</v>
      </c>
      <c r="P125" s="271">
        <v>0</v>
      </c>
      <c r="Q125" s="271">
        <v>0</v>
      </c>
      <c r="R125" s="271">
        <v>524</v>
      </c>
      <c r="S125" s="271">
        <v>0</v>
      </c>
      <c r="T125" s="271">
        <v>0</v>
      </c>
      <c r="U125" s="271">
        <v>0</v>
      </c>
      <c r="V125" s="271">
        <v>0</v>
      </c>
      <c r="W125" s="271">
        <v>0</v>
      </c>
      <c r="X125" s="271">
        <v>0</v>
      </c>
      <c r="Y125" s="1113">
        <v>0</v>
      </c>
      <c r="Z125" s="271">
        <v>105</v>
      </c>
      <c r="AA125" s="271">
        <v>0</v>
      </c>
      <c r="AB125" s="271">
        <v>0</v>
      </c>
      <c r="AC125" s="271">
        <v>0</v>
      </c>
      <c r="AD125" s="271">
        <v>0</v>
      </c>
      <c r="AE125" s="271">
        <v>0</v>
      </c>
      <c r="AF125" s="271">
        <v>0</v>
      </c>
      <c r="AG125" s="271">
        <v>16869</v>
      </c>
      <c r="AH125" s="271">
        <v>0</v>
      </c>
      <c r="AI125" s="271">
        <v>0</v>
      </c>
      <c r="AJ125" s="271">
        <v>0</v>
      </c>
      <c r="AK125" s="271">
        <v>0</v>
      </c>
      <c r="AL125" s="271">
        <v>0</v>
      </c>
      <c r="AM125" s="271">
        <v>0</v>
      </c>
      <c r="AN125" s="271">
        <v>0</v>
      </c>
      <c r="AO125" s="271">
        <v>0</v>
      </c>
      <c r="AP125" s="271">
        <v>0</v>
      </c>
      <c r="AQ125" s="271">
        <v>0</v>
      </c>
      <c r="AR125" s="271">
        <v>0</v>
      </c>
      <c r="AS125" s="271">
        <v>0</v>
      </c>
      <c r="AT125" s="271">
        <v>0</v>
      </c>
      <c r="AU125" s="271">
        <v>0</v>
      </c>
      <c r="AV125" s="271">
        <v>0</v>
      </c>
      <c r="AW125" s="271">
        <v>1841442</v>
      </c>
      <c r="AX125" s="271">
        <v>0</v>
      </c>
      <c r="AY125" s="271">
        <v>0</v>
      </c>
      <c r="AZ125" s="271">
        <v>0</v>
      </c>
      <c r="BA125" s="271">
        <v>0</v>
      </c>
      <c r="BB125" s="271">
        <v>0</v>
      </c>
      <c r="BC125" s="271">
        <v>0</v>
      </c>
      <c r="BD125" s="271">
        <v>0</v>
      </c>
      <c r="BE125" s="271">
        <v>0</v>
      </c>
      <c r="BF125" s="271">
        <v>0</v>
      </c>
      <c r="BG125" s="271">
        <v>0</v>
      </c>
      <c r="BH125" s="271">
        <v>0</v>
      </c>
      <c r="BI125" s="271">
        <v>0</v>
      </c>
      <c r="BJ125" s="271">
        <v>0</v>
      </c>
      <c r="BK125" s="271">
        <v>0</v>
      </c>
      <c r="BL125" s="271">
        <v>0</v>
      </c>
      <c r="BM125" s="271">
        <v>0</v>
      </c>
      <c r="BN125" s="271">
        <v>0</v>
      </c>
      <c r="BO125" s="271">
        <v>9520</v>
      </c>
      <c r="BP125" s="271">
        <v>0</v>
      </c>
      <c r="BQ125" s="271">
        <v>0</v>
      </c>
      <c r="BR125" s="271">
        <v>0</v>
      </c>
      <c r="BS125" s="271">
        <v>1199747</v>
      </c>
      <c r="BT125" s="300">
        <v>0</v>
      </c>
      <c r="BU125" s="300">
        <v>0</v>
      </c>
      <c r="BV125" s="300">
        <v>0</v>
      </c>
      <c r="BW125" s="300">
        <v>0</v>
      </c>
      <c r="BX125" s="300">
        <v>0</v>
      </c>
      <c r="BY125" s="300">
        <v>0</v>
      </c>
      <c r="BZ125" s="300">
        <v>0</v>
      </c>
      <c r="CA125" s="300">
        <v>597</v>
      </c>
      <c r="CB125" s="300">
        <v>0</v>
      </c>
      <c r="CC125" s="300">
        <v>0</v>
      </c>
      <c r="CD125" s="300">
        <v>0</v>
      </c>
      <c r="CE125" s="300">
        <v>0</v>
      </c>
    </row>
    <row r="126" spans="1:83" x14ac:dyDescent="0.3">
      <c r="A126" s="271">
        <v>365</v>
      </c>
      <c r="B126" s="271">
        <v>365</v>
      </c>
      <c r="C126" s="271" t="s">
        <v>245</v>
      </c>
      <c r="D126" s="271" t="s">
        <v>443</v>
      </c>
      <c r="E126" s="271">
        <v>0</v>
      </c>
      <c r="F126" s="271">
        <v>0</v>
      </c>
      <c r="G126" s="271">
        <v>0</v>
      </c>
      <c r="H126" s="1113">
        <v>0</v>
      </c>
      <c r="I126" s="271">
        <v>0</v>
      </c>
      <c r="J126" s="271">
        <v>0</v>
      </c>
      <c r="K126" s="271">
        <v>0</v>
      </c>
      <c r="L126" s="271">
        <v>0</v>
      </c>
      <c r="M126" s="271">
        <v>0</v>
      </c>
      <c r="N126" s="271">
        <v>0</v>
      </c>
      <c r="O126" s="271">
        <v>0</v>
      </c>
      <c r="P126" s="271">
        <v>0</v>
      </c>
      <c r="Q126" s="271">
        <v>0</v>
      </c>
      <c r="R126" s="271">
        <v>0</v>
      </c>
      <c r="S126" s="271">
        <v>0</v>
      </c>
      <c r="T126" s="271">
        <v>0</v>
      </c>
      <c r="U126" s="271">
        <v>0</v>
      </c>
      <c r="V126" s="271">
        <v>0</v>
      </c>
      <c r="W126" s="271">
        <v>0</v>
      </c>
      <c r="X126" s="271">
        <v>0</v>
      </c>
      <c r="Y126" s="271">
        <v>0</v>
      </c>
      <c r="Z126" s="271">
        <v>0</v>
      </c>
      <c r="AA126" s="271">
        <v>0</v>
      </c>
      <c r="AB126" s="271">
        <v>0</v>
      </c>
      <c r="AC126" s="271">
        <v>0</v>
      </c>
      <c r="AD126" s="271">
        <v>0</v>
      </c>
      <c r="AE126" s="271">
        <v>0</v>
      </c>
      <c r="AF126" s="271">
        <v>0</v>
      </c>
      <c r="AG126" s="271">
        <v>0</v>
      </c>
      <c r="AH126" s="271">
        <v>0</v>
      </c>
      <c r="AI126" s="271">
        <v>0</v>
      </c>
      <c r="AJ126" s="271">
        <v>0</v>
      </c>
      <c r="AK126" s="271">
        <v>0</v>
      </c>
      <c r="AL126" s="271">
        <v>0</v>
      </c>
      <c r="AM126" s="271">
        <v>0</v>
      </c>
      <c r="AN126" s="271">
        <v>0</v>
      </c>
      <c r="AO126" s="271">
        <v>0</v>
      </c>
      <c r="AP126" s="271">
        <v>0</v>
      </c>
      <c r="AQ126" s="271">
        <v>0</v>
      </c>
      <c r="AR126" s="271">
        <v>0</v>
      </c>
      <c r="AS126" s="271">
        <v>0</v>
      </c>
      <c r="AT126" s="271">
        <v>0</v>
      </c>
      <c r="AU126" s="271">
        <v>0</v>
      </c>
      <c r="AV126" s="271">
        <v>0</v>
      </c>
      <c r="AW126" s="271">
        <v>0</v>
      </c>
      <c r="AX126" s="271">
        <v>0</v>
      </c>
      <c r="AY126" s="271">
        <v>0</v>
      </c>
      <c r="AZ126" s="271">
        <v>0</v>
      </c>
      <c r="BA126" s="271">
        <v>0</v>
      </c>
      <c r="BB126" s="271">
        <v>0</v>
      </c>
      <c r="BC126" s="271">
        <v>0</v>
      </c>
      <c r="BD126" s="271">
        <v>0</v>
      </c>
      <c r="BE126" s="271">
        <v>0</v>
      </c>
      <c r="BF126" s="271">
        <v>0</v>
      </c>
      <c r="BG126" s="271">
        <v>0</v>
      </c>
      <c r="BH126" s="271">
        <v>0</v>
      </c>
      <c r="BI126" s="271">
        <v>0</v>
      </c>
      <c r="BJ126" s="271">
        <v>0</v>
      </c>
      <c r="BK126" s="271">
        <v>0</v>
      </c>
      <c r="BL126" s="271">
        <v>0</v>
      </c>
      <c r="BM126" s="271">
        <v>0</v>
      </c>
      <c r="BN126" s="271">
        <v>0</v>
      </c>
      <c r="BO126" s="271">
        <v>0</v>
      </c>
      <c r="BP126" s="271">
        <v>0</v>
      </c>
      <c r="BQ126" s="271">
        <v>0</v>
      </c>
      <c r="BR126" s="271">
        <v>0</v>
      </c>
      <c r="BS126" s="271">
        <v>0</v>
      </c>
      <c r="BT126" s="300">
        <v>0</v>
      </c>
      <c r="BU126" s="300">
        <v>0</v>
      </c>
      <c r="BV126" s="300">
        <v>0</v>
      </c>
      <c r="BW126" s="300">
        <v>0</v>
      </c>
      <c r="BX126" s="300">
        <v>0</v>
      </c>
      <c r="BY126" s="300">
        <v>0</v>
      </c>
      <c r="BZ126" s="300">
        <v>0</v>
      </c>
      <c r="CA126" s="300">
        <v>0</v>
      </c>
      <c r="CB126" s="300">
        <v>0</v>
      </c>
      <c r="CC126" s="300">
        <v>0</v>
      </c>
      <c r="CD126" s="300">
        <v>0</v>
      </c>
      <c r="CE126" s="300">
        <v>0</v>
      </c>
    </row>
    <row r="127" spans="1:83" x14ac:dyDescent="0.3">
      <c r="A127" s="271">
        <v>366</v>
      </c>
      <c r="B127" s="271">
        <v>366</v>
      </c>
      <c r="C127" s="271" t="s">
        <v>536</v>
      </c>
      <c r="D127" s="271" t="s">
        <v>444</v>
      </c>
      <c r="E127" s="271">
        <v>0</v>
      </c>
      <c r="F127" s="271">
        <v>0</v>
      </c>
      <c r="G127" s="271">
        <v>0</v>
      </c>
      <c r="H127" s="1113">
        <v>0</v>
      </c>
      <c r="I127" s="271">
        <v>0</v>
      </c>
      <c r="J127" s="271">
        <v>0</v>
      </c>
      <c r="K127" s="271">
        <v>0</v>
      </c>
      <c r="L127" s="271">
        <v>0</v>
      </c>
      <c r="M127" s="271">
        <v>369670</v>
      </c>
      <c r="N127" s="271">
        <v>0</v>
      </c>
      <c r="O127" s="271">
        <v>0</v>
      </c>
      <c r="P127" s="271">
        <v>0</v>
      </c>
      <c r="Q127" s="271">
        <v>0</v>
      </c>
      <c r="R127" s="271">
        <v>2387240</v>
      </c>
      <c r="S127" s="271">
        <v>0</v>
      </c>
      <c r="T127" s="271">
        <v>0</v>
      </c>
      <c r="U127" s="271">
        <v>0</v>
      </c>
      <c r="V127" s="271">
        <v>0</v>
      </c>
      <c r="W127" s="271">
        <v>0</v>
      </c>
      <c r="X127" s="271">
        <v>0</v>
      </c>
      <c r="Y127" s="1113">
        <v>0</v>
      </c>
      <c r="Z127" s="271">
        <v>85372</v>
      </c>
      <c r="AA127" s="271">
        <v>0</v>
      </c>
      <c r="AB127" s="271">
        <v>0</v>
      </c>
      <c r="AC127" s="271">
        <v>0</v>
      </c>
      <c r="AD127" s="271">
        <v>0</v>
      </c>
      <c r="AE127" s="271">
        <v>0</v>
      </c>
      <c r="AF127" s="271">
        <v>0</v>
      </c>
      <c r="AG127" s="271">
        <v>3100000</v>
      </c>
      <c r="AH127" s="271">
        <v>0</v>
      </c>
      <c r="AI127" s="271">
        <v>0</v>
      </c>
      <c r="AJ127" s="271">
        <v>0</v>
      </c>
      <c r="AK127" s="271">
        <v>0</v>
      </c>
      <c r="AL127" s="271">
        <v>0</v>
      </c>
      <c r="AM127" s="271">
        <v>0</v>
      </c>
      <c r="AN127" s="271">
        <v>0</v>
      </c>
      <c r="AO127" s="271">
        <v>0</v>
      </c>
      <c r="AP127" s="271">
        <v>0</v>
      </c>
      <c r="AQ127" s="271">
        <v>0</v>
      </c>
      <c r="AR127" s="271">
        <v>0</v>
      </c>
      <c r="AS127" s="271">
        <v>0</v>
      </c>
      <c r="AT127" s="271">
        <v>0</v>
      </c>
      <c r="AU127" s="271">
        <v>0</v>
      </c>
      <c r="AV127" s="271">
        <v>0</v>
      </c>
      <c r="AW127" s="271">
        <v>4993763</v>
      </c>
      <c r="AX127" s="271">
        <v>0</v>
      </c>
      <c r="AY127" s="271">
        <v>0</v>
      </c>
      <c r="AZ127" s="271">
        <v>0</v>
      </c>
      <c r="BA127" s="271">
        <v>0</v>
      </c>
      <c r="BB127" s="271">
        <v>0</v>
      </c>
      <c r="BC127" s="271">
        <v>0</v>
      </c>
      <c r="BD127" s="271">
        <v>0</v>
      </c>
      <c r="BE127" s="271">
        <v>0</v>
      </c>
      <c r="BF127" s="271">
        <v>0</v>
      </c>
      <c r="BG127" s="271">
        <v>0</v>
      </c>
      <c r="BH127" s="1113">
        <v>0</v>
      </c>
      <c r="BI127" s="271">
        <v>0</v>
      </c>
      <c r="BJ127" s="271">
        <v>0</v>
      </c>
      <c r="BK127" s="271">
        <v>0</v>
      </c>
      <c r="BL127" s="271">
        <v>0</v>
      </c>
      <c r="BM127" s="271">
        <v>0</v>
      </c>
      <c r="BN127" s="271">
        <v>0</v>
      </c>
      <c r="BO127" s="271">
        <v>84000</v>
      </c>
      <c r="BP127" s="271">
        <v>0</v>
      </c>
      <c r="BQ127" s="271">
        <v>2107139</v>
      </c>
      <c r="BR127" s="271">
        <v>0</v>
      </c>
      <c r="BS127" s="271">
        <v>1573666</v>
      </c>
      <c r="BT127" s="300">
        <v>0</v>
      </c>
      <c r="BU127" s="300">
        <v>0</v>
      </c>
      <c r="BV127" s="300">
        <v>0</v>
      </c>
      <c r="BW127" s="300">
        <v>0</v>
      </c>
      <c r="BX127" s="300">
        <v>0</v>
      </c>
      <c r="BY127" s="300">
        <v>0</v>
      </c>
      <c r="BZ127" s="300">
        <v>0</v>
      </c>
      <c r="CA127" s="300">
        <v>0</v>
      </c>
      <c r="CB127" s="300">
        <v>0</v>
      </c>
      <c r="CC127" s="300">
        <v>0</v>
      </c>
      <c r="CD127" s="300">
        <v>0</v>
      </c>
      <c r="CE127" s="300">
        <v>0</v>
      </c>
    </row>
    <row r="128" spans="1:83" x14ac:dyDescent="0.3">
      <c r="A128" s="271"/>
      <c r="B128" s="271">
        <v>367</v>
      </c>
      <c r="C128" s="271" t="s">
        <v>641</v>
      </c>
      <c r="D128" s="271" t="s">
        <v>445</v>
      </c>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c r="AE128" s="271"/>
      <c r="AF128" s="271"/>
      <c r="AG128" s="271"/>
      <c r="AH128" s="271"/>
      <c r="AI128" s="271"/>
      <c r="AJ128" s="271"/>
      <c r="AK128" s="271"/>
      <c r="AL128" s="271"/>
      <c r="AM128" s="271"/>
      <c r="AN128" s="271"/>
      <c r="AO128" s="271"/>
      <c r="AP128" s="271"/>
      <c r="AQ128" s="271"/>
      <c r="AR128" s="271"/>
      <c r="AS128" s="271"/>
      <c r="AT128" s="271"/>
      <c r="AU128" s="271"/>
      <c r="AV128" s="271"/>
      <c r="AW128" s="271"/>
      <c r="AX128" s="271"/>
      <c r="AY128" s="271"/>
      <c r="AZ128" s="271"/>
      <c r="BA128" s="271"/>
      <c r="BB128" s="271"/>
      <c r="BC128" s="271"/>
      <c r="BD128" s="271"/>
      <c r="BE128" s="271"/>
      <c r="BF128" s="271"/>
      <c r="BG128" s="271"/>
      <c r="BH128" s="271"/>
      <c r="BI128" s="271"/>
      <c r="BJ128" s="271"/>
      <c r="BK128" s="271"/>
      <c r="BL128" s="271"/>
      <c r="BM128" s="271"/>
      <c r="BN128" s="271"/>
      <c r="BO128" s="271"/>
      <c r="BP128" s="271"/>
      <c r="BQ128" s="271"/>
      <c r="BR128" s="271"/>
      <c r="BS128" s="271"/>
    </row>
    <row r="129" spans="1:83" x14ac:dyDescent="0.3">
      <c r="A129" s="271">
        <v>368</v>
      </c>
      <c r="B129" s="271">
        <v>368</v>
      </c>
      <c r="C129" s="271" t="s">
        <v>200</v>
      </c>
      <c r="D129" s="271" t="s">
        <v>446</v>
      </c>
      <c r="E129" s="271">
        <v>0</v>
      </c>
      <c r="F129" s="271">
        <v>0</v>
      </c>
      <c r="G129" s="271">
        <v>0</v>
      </c>
      <c r="H129" s="1113">
        <v>0</v>
      </c>
      <c r="I129" s="271">
        <v>0</v>
      </c>
      <c r="J129" s="271">
        <v>0</v>
      </c>
      <c r="K129" s="271">
        <v>0</v>
      </c>
      <c r="L129" s="271">
        <v>0</v>
      </c>
      <c r="M129" s="271">
        <v>0</v>
      </c>
      <c r="N129" s="271">
        <v>506531</v>
      </c>
      <c r="O129" s="1113">
        <v>0</v>
      </c>
      <c r="P129" s="271">
        <v>0</v>
      </c>
      <c r="Q129" s="271">
        <v>0</v>
      </c>
      <c r="R129" s="271">
        <v>0</v>
      </c>
      <c r="S129" s="271">
        <v>0</v>
      </c>
      <c r="T129" s="271">
        <v>0</v>
      </c>
      <c r="U129" s="271">
        <v>0</v>
      </c>
      <c r="V129" s="271">
        <v>0</v>
      </c>
      <c r="W129" s="271">
        <v>0</v>
      </c>
      <c r="X129" s="271">
        <v>3660</v>
      </c>
      <c r="Y129" s="271">
        <v>0</v>
      </c>
      <c r="Z129" s="1113">
        <v>0</v>
      </c>
      <c r="AA129" s="271">
        <v>0</v>
      </c>
      <c r="AB129" s="271">
        <v>0</v>
      </c>
      <c r="AC129" s="1113">
        <v>0</v>
      </c>
      <c r="AD129" s="271">
        <v>0</v>
      </c>
      <c r="AE129" s="271">
        <v>0</v>
      </c>
      <c r="AF129" s="1113">
        <v>0</v>
      </c>
      <c r="AG129" s="271">
        <v>0</v>
      </c>
      <c r="AH129" s="271">
        <v>0</v>
      </c>
      <c r="AI129" s="271">
        <v>0</v>
      </c>
      <c r="AJ129" s="271">
        <v>0</v>
      </c>
      <c r="AK129" s="1113">
        <v>0</v>
      </c>
      <c r="AL129" s="271">
        <v>0</v>
      </c>
      <c r="AM129" s="271">
        <v>0</v>
      </c>
      <c r="AN129" s="271">
        <v>0</v>
      </c>
      <c r="AO129" s="271">
        <v>35720</v>
      </c>
      <c r="AP129" s="271">
        <v>0</v>
      </c>
      <c r="AQ129" s="271">
        <v>0</v>
      </c>
      <c r="AR129" s="271">
        <v>0</v>
      </c>
      <c r="AS129" s="271">
        <v>0</v>
      </c>
      <c r="AT129" s="271">
        <v>0</v>
      </c>
      <c r="AU129" s="271">
        <v>0</v>
      </c>
      <c r="AV129" s="271">
        <v>1455326</v>
      </c>
      <c r="AW129" s="1113">
        <v>0</v>
      </c>
      <c r="AX129" s="271">
        <v>0</v>
      </c>
      <c r="AY129" s="1113">
        <v>0</v>
      </c>
      <c r="AZ129" s="271">
        <v>0</v>
      </c>
      <c r="BA129" s="271">
        <v>0</v>
      </c>
      <c r="BB129" s="271">
        <v>0</v>
      </c>
      <c r="BC129" s="271">
        <v>0</v>
      </c>
      <c r="BD129" s="271">
        <v>0</v>
      </c>
      <c r="BE129" s="271">
        <v>0</v>
      </c>
      <c r="BF129" s="271">
        <v>0</v>
      </c>
      <c r="BG129" s="271">
        <v>162378</v>
      </c>
      <c r="BH129" s="271">
        <v>0</v>
      </c>
      <c r="BI129" s="1113">
        <v>0</v>
      </c>
      <c r="BJ129" s="271">
        <v>0</v>
      </c>
      <c r="BK129" s="271">
        <v>0</v>
      </c>
      <c r="BL129" s="271">
        <v>0</v>
      </c>
      <c r="BM129" s="271">
        <v>0</v>
      </c>
      <c r="BN129" s="271">
        <v>0</v>
      </c>
      <c r="BO129" s="271">
        <v>0</v>
      </c>
      <c r="BP129" s="271">
        <v>76648</v>
      </c>
      <c r="BQ129" s="271">
        <v>628395</v>
      </c>
      <c r="BR129" s="271">
        <v>0</v>
      </c>
      <c r="BS129" s="1113">
        <v>0</v>
      </c>
      <c r="BT129" s="300">
        <v>1850</v>
      </c>
      <c r="BU129" s="300">
        <v>0</v>
      </c>
      <c r="BV129" s="300">
        <v>0</v>
      </c>
      <c r="BW129" s="300">
        <v>0</v>
      </c>
      <c r="BX129" s="300">
        <v>0</v>
      </c>
      <c r="BY129" s="300">
        <v>0</v>
      </c>
      <c r="BZ129" s="300">
        <v>795237</v>
      </c>
      <c r="CA129" s="300">
        <v>0</v>
      </c>
      <c r="CB129" s="300">
        <v>0</v>
      </c>
      <c r="CC129" s="300">
        <v>0</v>
      </c>
      <c r="CD129" s="300">
        <v>0</v>
      </c>
      <c r="CE129" s="300">
        <v>5819</v>
      </c>
    </row>
    <row r="130" spans="1:83" x14ac:dyDescent="0.3">
      <c r="A130" s="271">
        <v>369</v>
      </c>
      <c r="B130" s="271">
        <v>369</v>
      </c>
      <c r="C130" s="271" t="s">
        <v>205</v>
      </c>
      <c r="D130" s="271" t="s">
        <v>447</v>
      </c>
      <c r="E130" s="1113">
        <v>2241067</v>
      </c>
      <c r="F130" s="1113">
        <v>1263781</v>
      </c>
      <c r="G130" s="1113">
        <v>187386</v>
      </c>
      <c r="H130" s="1113">
        <v>383015</v>
      </c>
      <c r="I130" s="1113">
        <v>345927</v>
      </c>
      <c r="J130" s="1113">
        <v>106082</v>
      </c>
      <c r="K130" s="1113">
        <v>27448</v>
      </c>
      <c r="L130" s="1113">
        <v>65821</v>
      </c>
      <c r="M130" s="1113">
        <v>1815872</v>
      </c>
      <c r="N130" s="1113">
        <v>82739049</v>
      </c>
      <c r="O130" s="1113">
        <v>659535</v>
      </c>
      <c r="P130" s="1113">
        <v>2899766</v>
      </c>
      <c r="Q130" s="1113">
        <v>10591</v>
      </c>
      <c r="R130" s="1113">
        <v>1875626</v>
      </c>
      <c r="S130" s="271">
        <v>39497</v>
      </c>
      <c r="T130" s="1113">
        <v>137093</v>
      </c>
      <c r="U130" s="1113">
        <v>660919</v>
      </c>
      <c r="V130" s="1113">
        <v>419101</v>
      </c>
      <c r="W130" s="1113">
        <v>1653577</v>
      </c>
      <c r="X130" s="1113">
        <v>698944</v>
      </c>
      <c r="Y130" s="1113">
        <v>388495</v>
      </c>
      <c r="Z130" s="1113">
        <v>514910</v>
      </c>
      <c r="AA130" s="1113">
        <v>10522154</v>
      </c>
      <c r="AB130" s="1113">
        <v>120512</v>
      </c>
      <c r="AC130" s="1113">
        <v>275414</v>
      </c>
      <c r="AD130" s="1113">
        <v>3443787</v>
      </c>
      <c r="AE130" s="1113">
        <v>320439</v>
      </c>
      <c r="AF130" s="1113">
        <v>0</v>
      </c>
      <c r="AG130" s="1113">
        <v>5524781</v>
      </c>
      <c r="AH130" s="1113">
        <v>118350</v>
      </c>
      <c r="AI130" s="1113">
        <v>99679</v>
      </c>
      <c r="AJ130" s="1113">
        <v>2179433</v>
      </c>
      <c r="AK130" s="1113">
        <v>552267</v>
      </c>
      <c r="AL130" s="271">
        <v>43209</v>
      </c>
      <c r="AM130" s="1113">
        <v>0</v>
      </c>
      <c r="AN130" s="1113">
        <v>28677</v>
      </c>
      <c r="AO130" s="1113">
        <v>5909983</v>
      </c>
      <c r="AP130" s="1113">
        <v>39785</v>
      </c>
      <c r="AQ130" s="1113">
        <v>686540</v>
      </c>
      <c r="AR130" s="1113">
        <v>1450800</v>
      </c>
      <c r="AS130" s="1113">
        <v>35723</v>
      </c>
      <c r="AT130" s="1113">
        <v>146552</v>
      </c>
      <c r="AU130" s="1113">
        <v>209077</v>
      </c>
      <c r="AV130" s="271">
        <v>33357828</v>
      </c>
      <c r="AW130" s="1113">
        <v>10246347</v>
      </c>
      <c r="AX130" s="1113">
        <v>278360</v>
      </c>
      <c r="AY130" s="1113">
        <v>151689</v>
      </c>
      <c r="AZ130" s="1113">
        <v>75140</v>
      </c>
      <c r="BA130" s="1113">
        <v>32653</v>
      </c>
      <c r="BB130" s="1113">
        <v>0</v>
      </c>
      <c r="BC130" s="1113">
        <v>2463372</v>
      </c>
      <c r="BD130" s="1113">
        <v>48350</v>
      </c>
      <c r="BE130" s="1113">
        <v>76010</v>
      </c>
      <c r="BF130" s="1113">
        <v>18874</v>
      </c>
      <c r="BG130" s="1113">
        <v>4757043</v>
      </c>
      <c r="BH130" s="1113">
        <v>12807</v>
      </c>
      <c r="BI130" s="1113">
        <v>5524247</v>
      </c>
      <c r="BJ130" s="1113">
        <v>1181982</v>
      </c>
      <c r="BK130" s="1113">
        <v>101908</v>
      </c>
      <c r="BL130" s="1113">
        <v>57461</v>
      </c>
      <c r="BM130" s="1113">
        <v>4909942</v>
      </c>
      <c r="BN130" s="1113">
        <v>5576157</v>
      </c>
      <c r="BO130" s="1113">
        <v>791480</v>
      </c>
      <c r="BP130" s="1113">
        <v>3129054</v>
      </c>
      <c r="BQ130" s="1113">
        <v>36961018</v>
      </c>
      <c r="BR130" s="1113">
        <v>162898</v>
      </c>
      <c r="BS130" s="1113">
        <v>1024415</v>
      </c>
      <c r="BT130" s="300">
        <v>212833</v>
      </c>
      <c r="BU130" s="300">
        <v>1360099</v>
      </c>
      <c r="BV130" s="300">
        <v>56939</v>
      </c>
      <c r="BW130" s="300">
        <v>193903</v>
      </c>
      <c r="BX130" s="300">
        <v>422180</v>
      </c>
      <c r="BY130" s="300">
        <v>0</v>
      </c>
      <c r="BZ130" s="300">
        <v>10586685</v>
      </c>
      <c r="CA130" s="300">
        <v>84803</v>
      </c>
      <c r="CB130" s="300">
        <v>5449678</v>
      </c>
      <c r="CC130" s="300">
        <v>234252</v>
      </c>
      <c r="CD130" s="300">
        <v>554853</v>
      </c>
      <c r="CE130" s="300">
        <v>8867218</v>
      </c>
    </row>
    <row r="131" spans="1:83" x14ac:dyDescent="0.3">
      <c r="A131" s="271">
        <v>370</v>
      </c>
      <c r="B131" s="271">
        <v>370</v>
      </c>
      <c r="C131" s="271" t="s">
        <v>207</v>
      </c>
      <c r="D131" s="271" t="s">
        <v>448</v>
      </c>
      <c r="E131" s="1113">
        <v>27242</v>
      </c>
      <c r="F131" s="1113">
        <v>0</v>
      </c>
      <c r="G131" s="271">
        <v>0</v>
      </c>
      <c r="H131" s="1113">
        <v>0</v>
      </c>
      <c r="I131" s="271">
        <v>39629</v>
      </c>
      <c r="J131" s="1113">
        <v>0</v>
      </c>
      <c r="K131" s="1113">
        <v>0</v>
      </c>
      <c r="L131" s="271">
        <v>0</v>
      </c>
      <c r="M131" s="1113">
        <v>80021</v>
      </c>
      <c r="N131" s="271">
        <v>11265141</v>
      </c>
      <c r="O131" s="1113">
        <v>0</v>
      </c>
      <c r="P131" s="1113">
        <v>610528</v>
      </c>
      <c r="Q131" s="1113">
        <v>0</v>
      </c>
      <c r="R131" s="1113">
        <v>222563</v>
      </c>
      <c r="S131" s="271">
        <v>0</v>
      </c>
      <c r="T131" s="1113">
        <v>14778</v>
      </c>
      <c r="U131" s="1113">
        <v>79796</v>
      </c>
      <c r="V131" s="1113">
        <v>807988</v>
      </c>
      <c r="W131" s="271">
        <v>267546</v>
      </c>
      <c r="X131" s="271">
        <v>168786</v>
      </c>
      <c r="Y131" s="1113">
        <v>0</v>
      </c>
      <c r="Z131" s="271">
        <v>114663</v>
      </c>
      <c r="AA131" s="1113">
        <v>0</v>
      </c>
      <c r="AB131" s="1113">
        <v>0</v>
      </c>
      <c r="AC131" s="1113">
        <v>4809</v>
      </c>
      <c r="AD131" s="1113">
        <v>3773106</v>
      </c>
      <c r="AE131" s="271">
        <v>103636</v>
      </c>
      <c r="AF131" s="1113">
        <v>0</v>
      </c>
      <c r="AG131" s="271">
        <v>4732656</v>
      </c>
      <c r="AH131" s="1113">
        <v>0</v>
      </c>
      <c r="AI131" s="1113">
        <v>0</v>
      </c>
      <c r="AJ131" s="1113">
        <v>280527</v>
      </c>
      <c r="AK131" s="1113">
        <v>0</v>
      </c>
      <c r="AL131" s="271">
        <v>0</v>
      </c>
      <c r="AM131" s="271">
        <v>0</v>
      </c>
      <c r="AN131" s="1113">
        <v>0</v>
      </c>
      <c r="AO131" s="271">
        <v>0</v>
      </c>
      <c r="AP131" s="1113">
        <v>0</v>
      </c>
      <c r="AQ131" s="271">
        <v>87959</v>
      </c>
      <c r="AR131" s="1113">
        <v>59166</v>
      </c>
      <c r="AS131" s="1113">
        <v>0</v>
      </c>
      <c r="AT131" s="1113">
        <v>16924</v>
      </c>
      <c r="AU131" s="271">
        <v>0</v>
      </c>
      <c r="AV131" s="271">
        <v>0</v>
      </c>
      <c r="AW131" s="1113">
        <v>0</v>
      </c>
      <c r="AX131" s="1113">
        <v>142859</v>
      </c>
      <c r="AY131" s="1113">
        <v>0</v>
      </c>
      <c r="AZ131" s="271">
        <v>0</v>
      </c>
      <c r="BA131" s="271">
        <v>2075</v>
      </c>
      <c r="BB131" s="1113">
        <v>0</v>
      </c>
      <c r="BC131" s="1113">
        <v>134941</v>
      </c>
      <c r="BD131" s="271">
        <v>0</v>
      </c>
      <c r="BE131" s="271">
        <v>0</v>
      </c>
      <c r="BF131" s="1113">
        <v>0</v>
      </c>
      <c r="BG131" s="271">
        <v>975053</v>
      </c>
      <c r="BH131" s="1113">
        <v>0</v>
      </c>
      <c r="BI131" s="1113">
        <v>341379</v>
      </c>
      <c r="BJ131" s="271">
        <v>86943</v>
      </c>
      <c r="BK131" s="1113">
        <v>11550</v>
      </c>
      <c r="BL131" s="271">
        <v>0</v>
      </c>
      <c r="BM131" s="271">
        <v>564641</v>
      </c>
      <c r="BN131" s="271">
        <v>860850</v>
      </c>
      <c r="BO131" s="271">
        <v>96401</v>
      </c>
      <c r="BP131" s="1113">
        <v>1034050</v>
      </c>
      <c r="BQ131" s="1113">
        <v>409098</v>
      </c>
      <c r="BR131" s="1113">
        <v>62299</v>
      </c>
      <c r="BS131" s="1113">
        <v>66239</v>
      </c>
      <c r="BT131" s="300">
        <v>181922</v>
      </c>
      <c r="BU131" s="300">
        <v>1164783</v>
      </c>
      <c r="BV131" s="300">
        <v>3148</v>
      </c>
      <c r="BW131" s="300">
        <v>0</v>
      </c>
      <c r="BX131" s="300">
        <v>285181</v>
      </c>
      <c r="BY131" s="300">
        <v>0</v>
      </c>
      <c r="BZ131" s="300">
        <v>4539381</v>
      </c>
      <c r="CA131" s="300">
        <v>11414</v>
      </c>
      <c r="CB131" s="300">
        <v>992408</v>
      </c>
      <c r="CC131" s="300">
        <v>140405</v>
      </c>
      <c r="CD131" s="300">
        <v>68059</v>
      </c>
      <c r="CE131" s="300">
        <v>3995299</v>
      </c>
    </row>
    <row r="132" spans="1:83" x14ac:dyDescent="0.3">
      <c r="A132" s="271">
        <v>371</v>
      </c>
      <c r="B132" s="271">
        <v>371</v>
      </c>
      <c r="C132" s="271" t="s">
        <v>262</v>
      </c>
      <c r="D132" s="271" t="s">
        <v>449</v>
      </c>
      <c r="E132" s="271">
        <v>0</v>
      </c>
      <c r="F132" s="271">
        <v>0</v>
      </c>
      <c r="G132" s="271">
        <v>0</v>
      </c>
      <c r="H132" s="271">
        <v>0</v>
      </c>
      <c r="I132" s="271">
        <v>0</v>
      </c>
      <c r="J132" s="271">
        <v>0</v>
      </c>
      <c r="K132" s="271">
        <v>0</v>
      </c>
      <c r="L132" s="271">
        <v>0</v>
      </c>
      <c r="M132" s="271">
        <v>0</v>
      </c>
      <c r="N132" s="271">
        <v>0</v>
      </c>
      <c r="O132" s="271">
        <v>0</v>
      </c>
      <c r="P132" s="271">
        <v>0</v>
      </c>
      <c r="Q132" s="271">
        <v>0</v>
      </c>
      <c r="R132" s="271">
        <v>0</v>
      </c>
      <c r="S132" s="271">
        <v>0</v>
      </c>
      <c r="T132" s="271">
        <v>0</v>
      </c>
      <c r="U132" s="271">
        <v>0</v>
      </c>
      <c r="V132" s="271">
        <v>0</v>
      </c>
      <c r="W132" s="271">
        <v>0</v>
      </c>
      <c r="X132" s="271">
        <v>0</v>
      </c>
      <c r="Y132" s="271">
        <v>0</v>
      </c>
      <c r="Z132" s="271">
        <v>0</v>
      </c>
      <c r="AA132" s="271">
        <v>1494113</v>
      </c>
      <c r="AB132" s="271">
        <v>0</v>
      </c>
      <c r="AC132" s="271">
        <v>0</v>
      </c>
      <c r="AD132" s="271">
        <v>0</v>
      </c>
      <c r="AE132" s="271">
        <v>0</v>
      </c>
      <c r="AF132" s="271">
        <v>0</v>
      </c>
      <c r="AG132" s="271">
        <v>0</v>
      </c>
      <c r="AH132" s="271">
        <v>0</v>
      </c>
      <c r="AI132" s="271">
        <v>0</v>
      </c>
      <c r="AJ132" s="271">
        <v>0</v>
      </c>
      <c r="AK132" s="271">
        <v>0</v>
      </c>
      <c r="AL132" s="271">
        <v>0</v>
      </c>
      <c r="AM132" s="271">
        <v>0</v>
      </c>
      <c r="AN132" s="271">
        <v>0</v>
      </c>
      <c r="AO132" s="271">
        <v>0</v>
      </c>
      <c r="AP132" s="271">
        <v>0</v>
      </c>
      <c r="AQ132" s="271">
        <v>0</v>
      </c>
      <c r="AR132" s="271">
        <v>0</v>
      </c>
      <c r="AS132" s="271">
        <v>0</v>
      </c>
      <c r="AT132" s="271">
        <v>0</v>
      </c>
      <c r="AU132" s="271">
        <v>0</v>
      </c>
      <c r="AV132" s="271">
        <v>23405610</v>
      </c>
      <c r="AW132" s="271">
        <v>4687002</v>
      </c>
      <c r="AX132" s="271">
        <v>0</v>
      </c>
      <c r="AY132" s="271">
        <v>0</v>
      </c>
      <c r="AZ132" s="271">
        <v>0</v>
      </c>
      <c r="BA132" s="271">
        <v>0</v>
      </c>
      <c r="BB132" s="271">
        <v>0</v>
      </c>
      <c r="BC132" s="271">
        <v>0</v>
      </c>
      <c r="BD132" s="271">
        <v>0</v>
      </c>
      <c r="BE132" s="271">
        <v>0</v>
      </c>
      <c r="BF132" s="271">
        <v>0</v>
      </c>
      <c r="BG132" s="271">
        <v>0</v>
      </c>
      <c r="BH132" s="271">
        <v>0</v>
      </c>
      <c r="BI132" s="271">
        <v>0</v>
      </c>
      <c r="BJ132" s="271">
        <v>0</v>
      </c>
      <c r="BK132" s="271">
        <v>0</v>
      </c>
      <c r="BL132" s="271">
        <v>0</v>
      </c>
      <c r="BM132" s="271">
        <v>0</v>
      </c>
      <c r="BN132" s="271">
        <v>0</v>
      </c>
      <c r="BO132" s="271">
        <v>0</v>
      </c>
      <c r="BP132" s="271">
        <v>0</v>
      </c>
      <c r="BQ132" s="271">
        <v>793000</v>
      </c>
      <c r="BR132" s="271">
        <v>0</v>
      </c>
      <c r="BS132" s="271">
        <v>0</v>
      </c>
      <c r="BT132" s="300">
        <v>0</v>
      </c>
      <c r="BU132" s="300">
        <v>0</v>
      </c>
      <c r="BV132" s="300">
        <v>0</v>
      </c>
      <c r="BW132" s="300">
        <v>0</v>
      </c>
      <c r="BX132" s="300">
        <v>0</v>
      </c>
      <c r="BY132" s="300">
        <v>0</v>
      </c>
      <c r="BZ132" s="300">
        <v>0</v>
      </c>
      <c r="CA132" s="300">
        <v>0</v>
      </c>
      <c r="CB132" s="300">
        <v>0</v>
      </c>
      <c r="CC132" s="300">
        <v>0</v>
      </c>
      <c r="CD132" s="300">
        <v>0</v>
      </c>
      <c r="CE132" s="300">
        <v>0</v>
      </c>
    </row>
    <row r="133" spans="1:83" x14ac:dyDescent="0.3">
      <c r="A133" s="271">
        <v>373</v>
      </c>
      <c r="B133" s="271">
        <v>373</v>
      </c>
      <c r="C133" s="271" t="s">
        <v>549</v>
      </c>
      <c r="D133" s="271" t="s">
        <v>450</v>
      </c>
      <c r="E133" s="1113">
        <v>537431</v>
      </c>
      <c r="F133" s="1113">
        <v>3355466</v>
      </c>
      <c r="G133" s="1113">
        <v>214943</v>
      </c>
      <c r="H133" s="1113">
        <v>549788</v>
      </c>
      <c r="I133" s="1113">
        <v>946050</v>
      </c>
      <c r="J133" s="1113">
        <v>368854</v>
      </c>
      <c r="K133" s="1113">
        <v>77810</v>
      </c>
      <c r="L133" s="1113">
        <v>67045</v>
      </c>
      <c r="M133" s="1113">
        <v>5813889</v>
      </c>
      <c r="N133" s="1113">
        <v>397528881</v>
      </c>
      <c r="O133" s="1113">
        <v>1095647</v>
      </c>
      <c r="P133" s="1113">
        <v>3101140</v>
      </c>
      <c r="Q133" s="1113">
        <v>55925</v>
      </c>
      <c r="R133" s="1113">
        <v>12581234</v>
      </c>
      <c r="S133" s="271">
        <v>70402</v>
      </c>
      <c r="T133" s="1113">
        <v>384625</v>
      </c>
      <c r="U133" s="1113">
        <v>1717890</v>
      </c>
      <c r="V133" s="1113">
        <v>433216</v>
      </c>
      <c r="W133" s="1113">
        <v>6637060</v>
      </c>
      <c r="X133" s="1113">
        <v>1213310</v>
      </c>
      <c r="Y133" s="1113">
        <v>571662</v>
      </c>
      <c r="Z133" s="1113">
        <v>1454598</v>
      </c>
      <c r="AA133" s="1113">
        <v>29752635</v>
      </c>
      <c r="AB133" s="1113">
        <v>362810</v>
      </c>
      <c r="AC133" s="1113">
        <v>579733</v>
      </c>
      <c r="AD133" s="1113">
        <v>81349799</v>
      </c>
      <c r="AE133" s="1113">
        <v>943258</v>
      </c>
      <c r="AF133" s="1113">
        <v>0</v>
      </c>
      <c r="AG133" s="1113">
        <v>301383367</v>
      </c>
      <c r="AH133" s="1113">
        <v>410923</v>
      </c>
      <c r="AI133" s="1113">
        <v>272554</v>
      </c>
      <c r="AJ133" s="1113">
        <v>6100316</v>
      </c>
      <c r="AK133" s="1113">
        <v>1230091</v>
      </c>
      <c r="AL133" s="271">
        <v>85530</v>
      </c>
      <c r="AM133" s="1113">
        <v>0</v>
      </c>
      <c r="AN133" s="1113">
        <v>418876</v>
      </c>
      <c r="AO133" s="1113">
        <v>13305283</v>
      </c>
      <c r="AP133" s="1113">
        <v>0</v>
      </c>
      <c r="AQ133" s="1113">
        <v>3268701</v>
      </c>
      <c r="AR133" s="1113">
        <v>2559374</v>
      </c>
      <c r="AS133" s="1113">
        <v>218565</v>
      </c>
      <c r="AT133" s="1113">
        <v>1697842</v>
      </c>
      <c r="AU133" s="1113">
        <v>394585</v>
      </c>
      <c r="AV133" s="271">
        <v>404259056</v>
      </c>
      <c r="AW133" s="1113">
        <v>95494104</v>
      </c>
      <c r="AX133" s="1113">
        <v>6880934</v>
      </c>
      <c r="AY133" s="1113">
        <v>330884</v>
      </c>
      <c r="AZ133" s="1113">
        <v>397151</v>
      </c>
      <c r="BA133" s="1113">
        <v>116854</v>
      </c>
      <c r="BB133" s="1113">
        <v>0</v>
      </c>
      <c r="BC133" s="1113">
        <v>13307432</v>
      </c>
      <c r="BD133" s="271">
        <v>287409</v>
      </c>
      <c r="BE133" s="1113">
        <v>286687</v>
      </c>
      <c r="BF133" s="1113">
        <v>45944</v>
      </c>
      <c r="BG133" s="1113">
        <v>7103874</v>
      </c>
      <c r="BH133" s="1113">
        <v>53485</v>
      </c>
      <c r="BI133" s="1113">
        <v>10629132</v>
      </c>
      <c r="BJ133" s="1113">
        <v>3366731</v>
      </c>
      <c r="BK133" s="1113">
        <v>722043</v>
      </c>
      <c r="BL133" s="1113">
        <v>186326</v>
      </c>
      <c r="BM133" s="1113">
        <v>26002246</v>
      </c>
      <c r="BN133" s="1113">
        <v>22279426</v>
      </c>
      <c r="BO133" s="1113">
        <v>2984690</v>
      </c>
      <c r="BP133" s="1113">
        <v>101502175</v>
      </c>
      <c r="BQ133" s="1113">
        <v>550020405</v>
      </c>
      <c r="BR133" s="1113">
        <v>569265</v>
      </c>
      <c r="BS133" s="1113">
        <v>9974321</v>
      </c>
      <c r="BT133" s="300">
        <v>1414331</v>
      </c>
      <c r="BU133" s="300">
        <v>7484674</v>
      </c>
      <c r="BV133" s="300">
        <v>830103</v>
      </c>
      <c r="BW133" s="300">
        <v>702215</v>
      </c>
      <c r="BX133" s="300">
        <v>1704810</v>
      </c>
      <c r="BY133" s="300">
        <v>0</v>
      </c>
      <c r="BZ133" s="300">
        <v>39246439</v>
      </c>
      <c r="CA133" s="300">
        <v>846847</v>
      </c>
      <c r="CB133" s="300">
        <v>13880240</v>
      </c>
      <c r="CC133" s="300">
        <v>805874</v>
      </c>
      <c r="CD133" s="300">
        <v>3000978</v>
      </c>
      <c r="CE133" s="300">
        <v>53778569</v>
      </c>
    </row>
    <row r="134" spans="1:83" x14ac:dyDescent="0.3">
      <c r="A134" s="271">
        <v>375</v>
      </c>
      <c r="B134" s="271">
        <v>375</v>
      </c>
      <c r="C134" s="271" t="s">
        <v>222</v>
      </c>
      <c r="D134" s="271" t="s">
        <v>451</v>
      </c>
      <c r="E134" s="1113">
        <v>177037</v>
      </c>
      <c r="F134" s="1113">
        <v>-220441</v>
      </c>
      <c r="G134" s="1113">
        <v>0</v>
      </c>
      <c r="H134" s="1113">
        <v>543569</v>
      </c>
      <c r="I134" s="271">
        <v>497416</v>
      </c>
      <c r="J134" s="1113">
        <v>110037</v>
      </c>
      <c r="K134" s="1113">
        <v>0</v>
      </c>
      <c r="L134" s="1113">
        <v>237910</v>
      </c>
      <c r="M134" s="1113">
        <v>3409130</v>
      </c>
      <c r="N134" s="271">
        <v>0</v>
      </c>
      <c r="O134" s="1113">
        <v>0</v>
      </c>
      <c r="P134" s="271">
        <v>0</v>
      </c>
      <c r="Q134" s="1113">
        <v>12574</v>
      </c>
      <c r="R134" s="1113">
        <v>2512832</v>
      </c>
      <c r="S134" s="271">
        <v>0</v>
      </c>
      <c r="T134" s="1113">
        <v>208066</v>
      </c>
      <c r="U134" s="1113">
        <v>1026924</v>
      </c>
      <c r="V134" s="1113">
        <v>533908</v>
      </c>
      <c r="W134" s="1113">
        <v>4820922</v>
      </c>
      <c r="X134" s="1113">
        <v>0</v>
      </c>
      <c r="Y134" s="1113">
        <v>387378</v>
      </c>
      <c r="Z134" s="271">
        <v>-365866</v>
      </c>
      <c r="AA134" s="1113">
        <v>20800317</v>
      </c>
      <c r="AB134" s="1113">
        <v>15647</v>
      </c>
      <c r="AC134" s="1113">
        <v>467026</v>
      </c>
      <c r="AD134" s="1113">
        <v>0</v>
      </c>
      <c r="AE134" s="1113">
        <v>0</v>
      </c>
      <c r="AF134" s="271">
        <v>0</v>
      </c>
      <c r="AG134" s="271">
        <v>17124739</v>
      </c>
      <c r="AH134" s="1113">
        <v>704</v>
      </c>
      <c r="AI134" s="1113">
        <v>887670</v>
      </c>
      <c r="AJ134" s="1113">
        <v>1643592</v>
      </c>
      <c r="AK134" s="1113">
        <v>94170</v>
      </c>
      <c r="AL134" s="271">
        <v>4626</v>
      </c>
      <c r="AM134" s="271">
        <v>0</v>
      </c>
      <c r="AN134" s="1113">
        <v>257904</v>
      </c>
      <c r="AO134" s="1113">
        <v>12268195</v>
      </c>
      <c r="AP134" s="1113">
        <v>0</v>
      </c>
      <c r="AQ134" s="271">
        <v>2616508</v>
      </c>
      <c r="AR134" s="1113">
        <v>0</v>
      </c>
      <c r="AS134" s="1113">
        <v>0</v>
      </c>
      <c r="AT134" s="1113">
        <v>1530134</v>
      </c>
      <c r="AU134" s="1113">
        <v>150039</v>
      </c>
      <c r="AV134" s="271">
        <v>39057716</v>
      </c>
      <c r="AW134" s="1113">
        <v>17606223</v>
      </c>
      <c r="AX134" s="1113">
        <v>522900</v>
      </c>
      <c r="AY134" s="1113">
        <v>102714</v>
      </c>
      <c r="AZ134" s="1113">
        <v>197116</v>
      </c>
      <c r="BA134" s="271">
        <v>68076</v>
      </c>
      <c r="BB134" s="271">
        <v>0</v>
      </c>
      <c r="BC134" s="1113">
        <v>1045805</v>
      </c>
      <c r="BD134" s="271">
        <v>507664</v>
      </c>
      <c r="BE134" s="1113">
        <v>0</v>
      </c>
      <c r="BF134" s="1113">
        <v>142674</v>
      </c>
      <c r="BG134" s="1113">
        <v>9060864</v>
      </c>
      <c r="BH134" s="1113">
        <v>0</v>
      </c>
      <c r="BI134" s="1113">
        <v>9073617</v>
      </c>
      <c r="BJ134" s="1113">
        <v>694275</v>
      </c>
      <c r="BK134" s="1113">
        <v>0</v>
      </c>
      <c r="BL134" s="271">
        <v>0</v>
      </c>
      <c r="BM134" s="1113">
        <v>24289035</v>
      </c>
      <c r="BN134" s="1113">
        <v>13196690</v>
      </c>
      <c r="BO134" s="1113">
        <v>906163</v>
      </c>
      <c r="BP134" s="1113">
        <v>33554579</v>
      </c>
      <c r="BQ134" s="1113">
        <v>47242190</v>
      </c>
      <c r="BR134" s="1113">
        <v>163817</v>
      </c>
      <c r="BS134" s="271">
        <v>1700615</v>
      </c>
      <c r="BT134" s="300">
        <v>0</v>
      </c>
      <c r="BU134" s="300">
        <v>10849705</v>
      </c>
      <c r="BV134" s="300">
        <v>269920</v>
      </c>
      <c r="BW134" s="300">
        <v>0</v>
      </c>
      <c r="BX134" s="300">
        <v>3488566</v>
      </c>
      <c r="BY134" s="300">
        <v>0</v>
      </c>
      <c r="BZ134" s="300">
        <v>41385395</v>
      </c>
      <c r="CA134" s="300">
        <v>532646</v>
      </c>
      <c r="CB134" s="300">
        <v>0</v>
      </c>
      <c r="CC134" s="300">
        <v>118465</v>
      </c>
      <c r="CD134" s="300">
        <v>0</v>
      </c>
      <c r="CE134" s="300">
        <v>0</v>
      </c>
    </row>
    <row r="135" spans="1:83" x14ac:dyDescent="0.3">
      <c r="A135" s="271">
        <v>376</v>
      </c>
      <c r="B135" s="271">
        <v>376</v>
      </c>
      <c r="C135" s="271" t="s">
        <v>108</v>
      </c>
      <c r="D135" s="271" t="s">
        <v>452</v>
      </c>
      <c r="E135" s="271">
        <v>0</v>
      </c>
      <c r="F135" s="271">
        <v>476036</v>
      </c>
      <c r="G135" s="271">
        <v>0</v>
      </c>
      <c r="H135" s="1113">
        <v>0</v>
      </c>
      <c r="I135" s="1113">
        <v>0</v>
      </c>
      <c r="J135" s="271">
        <v>0</v>
      </c>
      <c r="K135" s="271">
        <v>0</v>
      </c>
      <c r="L135" s="271">
        <v>0</v>
      </c>
      <c r="M135" s="1113">
        <v>0</v>
      </c>
      <c r="N135" s="271">
        <v>0</v>
      </c>
      <c r="O135" s="271">
        <v>0</v>
      </c>
      <c r="P135" s="271">
        <v>0</v>
      </c>
      <c r="Q135" s="271">
        <v>0</v>
      </c>
      <c r="R135" s="271">
        <v>154658</v>
      </c>
      <c r="S135" s="271">
        <v>0</v>
      </c>
      <c r="T135" s="271">
        <v>0</v>
      </c>
      <c r="U135" s="271">
        <v>0</v>
      </c>
      <c r="V135" s="271">
        <v>0</v>
      </c>
      <c r="W135" s="271">
        <v>0</v>
      </c>
      <c r="X135" s="271">
        <v>0</v>
      </c>
      <c r="Y135" s="271">
        <v>-46255</v>
      </c>
      <c r="Z135" s="271">
        <v>343454</v>
      </c>
      <c r="AA135" s="271">
        <v>0</v>
      </c>
      <c r="AB135" s="271">
        <v>0</v>
      </c>
      <c r="AC135" s="271">
        <v>0</v>
      </c>
      <c r="AD135" s="271">
        <v>0</v>
      </c>
      <c r="AE135" s="1113">
        <v>3</v>
      </c>
      <c r="AF135" s="271">
        <v>0</v>
      </c>
      <c r="AG135" s="271">
        <v>0</v>
      </c>
      <c r="AH135" s="271">
        <v>0</v>
      </c>
      <c r="AI135" s="271">
        <v>514</v>
      </c>
      <c r="AJ135" s="1113">
        <v>0</v>
      </c>
      <c r="AK135" s="271">
        <v>-1</v>
      </c>
      <c r="AL135" s="271">
        <v>0</v>
      </c>
      <c r="AM135" s="271">
        <v>0</v>
      </c>
      <c r="AN135" s="271">
        <v>0</v>
      </c>
      <c r="AO135" s="271">
        <v>0</v>
      </c>
      <c r="AP135" s="271">
        <v>0</v>
      </c>
      <c r="AQ135" s="271">
        <v>0</v>
      </c>
      <c r="AR135" s="271">
        <v>402956</v>
      </c>
      <c r="AS135" s="271">
        <v>0</v>
      </c>
      <c r="AT135" s="271">
        <v>0</v>
      </c>
      <c r="AU135" s="271">
        <v>0</v>
      </c>
      <c r="AV135" s="271">
        <v>0</v>
      </c>
      <c r="AW135" s="1113">
        <v>0</v>
      </c>
      <c r="AX135" s="271">
        <v>0</v>
      </c>
      <c r="AY135" s="1113">
        <v>0</v>
      </c>
      <c r="AZ135" s="271">
        <v>0</v>
      </c>
      <c r="BA135" s="271">
        <v>0</v>
      </c>
      <c r="BB135" s="271">
        <v>0</v>
      </c>
      <c r="BC135" s="271">
        <v>0</v>
      </c>
      <c r="BD135" s="271">
        <v>0</v>
      </c>
      <c r="BE135" s="271">
        <v>0</v>
      </c>
      <c r="BF135" s="271">
        <v>-1</v>
      </c>
      <c r="BG135" s="271">
        <v>0</v>
      </c>
      <c r="BH135" s="271">
        <v>104827</v>
      </c>
      <c r="BI135" s="271">
        <v>0</v>
      </c>
      <c r="BJ135" s="271">
        <v>0</v>
      </c>
      <c r="BK135" s="271">
        <v>54522</v>
      </c>
      <c r="BL135" s="271">
        <v>0</v>
      </c>
      <c r="BM135" s="271">
        <v>0</v>
      </c>
      <c r="BN135" s="271">
        <v>0</v>
      </c>
      <c r="BO135" s="271">
        <v>0</v>
      </c>
      <c r="BP135" s="271">
        <v>0</v>
      </c>
      <c r="BQ135" s="1113">
        <v>0</v>
      </c>
      <c r="BR135" s="1113">
        <v>0</v>
      </c>
      <c r="BS135" s="1113">
        <v>0</v>
      </c>
      <c r="BT135" s="300">
        <v>0</v>
      </c>
      <c r="BU135" s="300">
        <v>0</v>
      </c>
      <c r="BV135" s="300">
        <v>0</v>
      </c>
      <c r="BW135" s="300">
        <v>0</v>
      </c>
      <c r="BX135" s="300">
        <v>594428</v>
      </c>
      <c r="BY135" s="300">
        <v>0</v>
      </c>
      <c r="BZ135" s="300">
        <v>0</v>
      </c>
      <c r="CA135" s="300">
        <v>-1647</v>
      </c>
      <c r="CB135" s="300">
        <v>0</v>
      </c>
      <c r="CC135" s="300">
        <v>0</v>
      </c>
      <c r="CD135" s="300">
        <v>0</v>
      </c>
      <c r="CE135" s="300">
        <v>0</v>
      </c>
    </row>
    <row r="136" spans="1:83" x14ac:dyDescent="0.3">
      <c r="A136" s="271">
        <v>377</v>
      </c>
      <c r="B136" s="271">
        <v>377</v>
      </c>
      <c r="C136" s="271" t="s">
        <v>109</v>
      </c>
      <c r="D136" s="271" t="s">
        <v>453</v>
      </c>
      <c r="E136" s="271">
        <v>0</v>
      </c>
      <c r="F136" s="271">
        <v>-476036</v>
      </c>
      <c r="G136" s="271">
        <v>0</v>
      </c>
      <c r="H136" s="271">
        <v>0</v>
      </c>
      <c r="I136" s="271">
        <v>0</v>
      </c>
      <c r="J136" s="271">
        <v>0</v>
      </c>
      <c r="K136" s="271">
        <v>0</v>
      </c>
      <c r="L136" s="271">
        <v>0</v>
      </c>
      <c r="M136" s="1113">
        <v>0</v>
      </c>
      <c r="N136" s="271">
        <v>0</v>
      </c>
      <c r="O136" s="271">
        <v>0</v>
      </c>
      <c r="P136" s="271">
        <v>0</v>
      </c>
      <c r="Q136" s="271">
        <v>0</v>
      </c>
      <c r="R136" s="271">
        <v>101174</v>
      </c>
      <c r="S136" s="271">
        <v>0</v>
      </c>
      <c r="T136" s="271">
        <v>0</v>
      </c>
      <c r="U136" s="271">
        <v>0</v>
      </c>
      <c r="V136" s="271">
        <v>0</v>
      </c>
      <c r="W136" s="271">
        <v>0</v>
      </c>
      <c r="X136" s="271">
        <v>0</v>
      </c>
      <c r="Y136" s="1113">
        <v>0</v>
      </c>
      <c r="Z136" s="271">
        <v>49569</v>
      </c>
      <c r="AA136" s="271">
        <v>0</v>
      </c>
      <c r="AB136" s="271">
        <v>0</v>
      </c>
      <c r="AC136" s="271">
        <v>0</v>
      </c>
      <c r="AD136" s="271">
        <v>0</v>
      </c>
      <c r="AE136" s="1113">
        <v>0</v>
      </c>
      <c r="AF136" s="271">
        <v>0</v>
      </c>
      <c r="AG136" s="271">
        <v>0</v>
      </c>
      <c r="AH136" s="271">
        <v>0</v>
      </c>
      <c r="AI136" s="271">
        <v>301</v>
      </c>
      <c r="AJ136" s="1113">
        <v>0</v>
      </c>
      <c r="AK136" s="1113">
        <v>0</v>
      </c>
      <c r="AL136" s="271">
        <v>0</v>
      </c>
      <c r="AM136" s="271">
        <v>0</v>
      </c>
      <c r="AN136" s="271">
        <v>0</v>
      </c>
      <c r="AO136" s="271">
        <v>0</v>
      </c>
      <c r="AP136" s="271">
        <v>0</v>
      </c>
      <c r="AQ136" s="271">
        <v>0</v>
      </c>
      <c r="AR136" s="271">
        <v>0</v>
      </c>
      <c r="AS136" s="271">
        <v>0</v>
      </c>
      <c r="AT136" s="271">
        <v>-1</v>
      </c>
      <c r="AU136" s="271">
        <v>0</v>
      </c>
      <c r="AV136" s="271">
        <v>0</v>
      </c>
      <c r="AW136" s="271">
        <v>0</v>
      </c>
      <c r="AX136" s="271">
        <v>-54960</v>
      </c>
      <c r="AY136" s="1113">
        <v>0</v>
      </c>
      <c r="AZ136" s="271">
        <v>0</v>
      </c>
      <c r="BA136" s="271">
        <v>0</v>
      </c>
      <c r="BB136" s="271">
        <v>0</v>
      </c>
      <c r="BC136" s="271">
        <v>0</v>
      </c>
      <c r="BD136" s="271">
        <v>-2</v>
      </c>
      <c r="BE136" s="271">
        <v>0</v>
      </c>
      <c r="BF136" s="271">
        <v>0</v>
      </c>
      <c r="BG136" s="271">
        <v>0</v>
      </c>
      <c r="BH136" s="271">
        <v>0</v>
      </c>
      <c r="BI136" s="271">
        <v>0</v>
      </c>
      <c r="BJ136" s="271">
        <v>0</v>
      </c>
      <c r="BK136" s="271">
        <v>0</v>
      </c>
      <c r="BL136" s="271">
        <v>0</v>
      </c>
      <c r="BM136" s="271">
        <v>0</v>
      </c>
      <c r="BN136" s="271">
        <v>0</v>
      </c>
      <c r="BO136" s="271">
        <v>0</v>
      </c>
      <c r="BP136" s="271">
        <v>0</v>
      </c>
      <c r="BQ136" s="271">
        <v>0</v>
      </c>
      <c r="BR136" s="1113">
        <v>0</v>
      </c>
      <c r="BS136" s="271">
        <v>0</v>
      </c>
      <c r="BT136" s="300">
        <v>0</v>
      </c>
      <c r="BU136" s="300">
        <v>0</v>
      </c>
      <c r="BV136" s="300">
        <v>0</v>
      </c>
      <c r="BW136" s="300">
        <v>0</v>
      </c>
      <c r="BX136" s="300">
        <v>-501626</v>
      </c>
      <c r="BY136" s="300">
        <v>0</v>
      </c>
      <c r="BZ136" s="300">
        <v>0</v>
      </c>
      <c r="CA136" s="300">
        <v>65456</v>
      </c>
      <c r="CB136" s="300">
        <v>0</v>
      </c>
      <c r="CC136" s="300">
        <v>-1</v>
      </c>
      <c r="CD136" s="300">
        <v>0</v>
      </c>
      <c r="CE136" s="300">
        <v>0</v>
      </c>
    </row>
    <row r="137" spans="1:83" x14ac:dyDescent="0.3">
      <c r="A137" s="271">
        <v>378</v>
      </c>
      <c r="B137" s="271">
        <v>378</v>
      </c>
      <c r="C137" s="271" t="s">
        <v>110</v>
      </c>
      <c r="D137" s="271" t="s">
        <v>454</v>
      </c>
      <c r="E137" s="271">
        <v>0</v>
      </c>
      <c r="F137" s="271">
        <v>0</v>
      </c>
      <c r="G137" s="271">
        <v>0</v>
      </c>
      <c r="H137" s="271">
        <v>0</v>
      </c>
      <c r="I137" s="271">
        <v>0</v>
      </c>
      <c r="J137" s="271">
        <v>0</v>
      </c>
      <c r="K137" s="271">
        <v>0</v>
      </c>
      <c r="L137" s="271">
        <v>0</v>
      </c>
      <c r="M137" s="1113">
        <v>0</v>
      </c>
      <c r="N137" s="271">
        <v>0</v>
      </c>
      <c r="O137" s="271">
        <v>0</v>
      </c>
      <c r="P137" s="271">
        <v>0</v>
      </c>
      <c r="Q137" s="271">
        <v>0</v>
      </c>
      <c r="R137" s="271">
        <v>0</v>
      </c>
      <c r="S137" s="271">
        <v>0</v>
      </c>
      <c r="T137" s="271">
        <v>0</v>
      </c>
      <c r="U137" s="271">
        <v>0</v>
      </c>
      <c r="V137" s="271">
        <v>0</v>
      </c>
      <c r="W137" s="271">
        <v>0</v>
      </c>
      <c r="X137" s="271">
        <v>0</v>
      </c>
      <c r="Y137" s="271">
        <v>0</v>
      </c>
      <c r="Z137" s="271">
        <v>127525</v>
      </c>
      <c r="AA137" s="271">
        <v>0</v>
      </c>
      <c r="AB137" s="271">
        <v>0</v>
      </c>
      <c r="AC137" s="271">
        <v>0</v>
      </c>
      <c r="AD137" s="271">
        <v>0</v>
      </c>
      <c r="AE137" s="271">
        <v>0</v>
      </c>
      <c r="AF137" s="271">
        <v>0</v>
      </c>
      <c r="AG137" s="271">
        <v>0</v>
      </c>
      <c r="AH137" s="271">
        <v>0</v>
      </c>
      <c r="AI137" s="271">
        <v>0</v>
      </c>
      <c r="AJ137" s="1113">
        <v>0</v>
      </c>
      <c r="AK137" s="271">
        <v>0</v>
      </c>
      <c r="AL137" s="271">
        <v>0</v>
      </c>
      <c r="AM137" s="271">
        <v>0</v>
      </c>
      <c r="AN137" s="271">
        <v>0</v>
      </c>
      <c r="AO137" s="271">
        <v>0</v>
      </c>
      <c r="AP137" s="271">
        <v>0</v>
      </c>
      <c r="AQ137" s="271">
        <v>0</v>
      </c>
      <c r="AR137" s="271">
        <v>0</v>
      </c>
      <c r="AS137" s="271">
        <v>0</v>
      </c>
      <c r="AT137" s="271">
        <v>0</v>
      </c>
      <c r="AU137" s="271">
        <v>0</v>
      </c>
      <c r="AV137" s="271">
        <v>0</v>
      </c>
      <c r="AW137" s="271">
        <v>0</v>
      </c>
      <c r="AX137" s="271">
        <v>0</v>
      </c>
      <c r="AY137" s="271">
        <v>0</v>
      </c>
      <c r="AZ137" s="271">
        <v>0</v>
      </c>
      <c r="BA137" s="271">
        <v>0</v>
      </c>
      <c r="BB137" s="271">
        <v>0</v>
      </c>
      <c r="BC137" s="271">
        <v>0</v>
      </c>
      <c r="BD137" s="271">
        <v>0</v>
      </c>
      <c r="BE137" s="271">
        <v>0</v>
      </c>
      <c r="BF137" s="271">
        <v>0</v>
      </c>
      <c r="BG137" s="271">
        <v>0</v>
      </c>
      <c r="BH137" s="271">
        <v>0</v>
      </c>
      <c r="BI137" s="271">
        <v>0</v>
      </c>
      <c r="BJ137" s="271">
        <v>0</v>
      </c>
      <c r="BK137" s="271">
        <v>0</v>
      </c>
      <c r="BL137" s="271">
        <v>0</v>
      </c>
      <c r="BM137" s="271">
        <v>0</v>
      </c>
      <c r="BN137" s="271">
        <v>0</v>
      </c>
      <c r="BO137" s="271">
        <v>0</v>
      </c>
      <c r="BP137" s="271">
        <v>0</v>
      </c>
      <c r="BQ137" s="271">
        <v>0</v>
      </c>
      <c r="BR137" s="271">
        <v>0</v>
      </c>
      <c r="BS137" s="271">
        <v>0</v>
      </c>
      <c r="BT137" s="300">
        <v>0</v>
      </c>
      <c r="BU137" s="300">
        <v>0</v>
      </c>
      <c r="BV137" s="300">
        <v>0</v>
      </c>
      <c r="BW137" s="300">
        <v>0</v>
      </c>
      <c r="BX137" s="300">
        <v>0</v>
      </c>
      <c r="BY137" s="300">
        <v>0</v>
      </c>
      <c r="BZ137" s="300">
        <v>0</v>
      </c>
      <c r="CA137" s="300">
        <v>7034</v>
      </c>
      <c r="CB137" s="300">
        <v>0</v>
      </c>
      <c r="CC137" s="300">
        <v>0</v>
      </c>
      <c r="CD137" s="300">
        <v>0</v>
      </c>
      <c r="CE137" s="300">
        <v>0</v>
      </c>
    </row>
    <row r="138" spans="1:83" x14ac:dyDescent="0.3">
      <c r="A138" s="271">
        <v>379</v>
      </c>
      <c r="B138" s="271">
        <v>379</v>
      </c>
      <c r="C138" s="271" t="s">
        <v>118</v>
      </c>
      <c r="D138" s="271" t="s">
        <v>455</v>
      </c>
      <c r="E138" s="1113">
        <v>739085</v>
      </c>
      <c r="F138" s="1113">
        <v>1445357</v>
      </c>
      <c r="G138" s="1113">
        <v>468287</v>
      </c>
      <c r="H138" s="1113">
        <v>1080809</v>
      </c>
      <c r="I138" s="1113">
        <v>862762</v>
      </c>
      <c r="J138" s="1113">
        <v>194336</v>
      </c>
      <c r="K138" s="1113">
        <v>133318</v>
      </c>
      <c r="L138" s="1113">
        <v>670157</v>
      </c>
      <c r="M138" s="1113">
        <v>3485990</v>
      </c>
      <c r="N138" s="1113">
        <v>93770229</v>
      </c>
      <c r="O138" s="1113">
        <v>2891124</v>
      </c>
      <c r="P138" s="1113">
        <v>5364264</v>
      </c>
      <c r="Q138" s="1113">
        <v>208170</v>
      </c>
      <c r="R138" s="1113">
        <v>6495236</v>
      </c>
      <c r="S138" s="271">
        <v>140918</v>
      </c>
      <c r="T138" s="1113">
        <v>582196</v>
      </c>
      <c r="U138" s="1113">
        <v>668089</v>
      </c>
      <c r="V138" s="1113">
        <v>1139788</v>
      </c>
      <c r="W138" s="1113">
        <v>4222806</v>
      </c>
      <c r="X138" s="1113">
        <v>1308722</v>
      </c>
      <c r="Y138" s="1113">
        <v>616960</v>
      </c>
      <c r="Z138" s="1113">
        <v>434576</v>
      </c>
      <c r="AA138" s="1113">
        <v>26848735</v>
      </c>
      <c r="AB138" s="1113">
        <v>7363396</v>
      </c>
      <c r="AC138" s="1113">
        <v>845061</v>
      </c>
      <c r="AD138" s="1113">
        <v>29787200</v>
      </c>
      <c r="AE138" s="1113">
        <v>633367</v>
      </c>
      <c r="AF138" s="1113">
        <v>0</v>
      </c>
      <c r="AG138" s="1113">
        <v>37630590</v>
      </c>
      <c r="AH138" s="1113">
        <v>895984</v>
      </c>
      <c r="AI138" s="1113">
        <v>344851</v>
      </c>
      <c r="AJ138" s="1113">
        <v>3455558</v>
      </c>
      <c r="AK138" s="1113">
        <v>882991</v>
      </c>
      <c r="AL138" s="271">
        <v>144767</v>
      </c>
      <c r="AM138" s="1113">
        <v>0</v>
      </c>
      <c r="AN138" s="1113">
        <v>687164</v>
      </c>
      <c r="AO138" s="1113">
        <v>12051637</v>
      </c>
      <c r="AP138" s="1113">
        <v>52134</v>
      </c>
      <c r="AQ138" s="1113">
        <v>3385595</v>
      </c>
      <c r="AR138" s="1113">
        <v>2407174</v>
      </c>
      <c r="AS138" s="1113">
        <v>207730</v>
      </c>
      <c r="AT138" s="1113">
        <v>1228586</v>
      </c>
      <c r="AU138" s="1113">
        <v>701312</v>
      </c>
      <c r="AV138" s="271">
        <v>84848409</v>
      </c>
      <c r="AW138" s="1113">
        <v>30516356</v>
      </c>
      <c r="AX138" s="1113">
        <v>890764</v>
      </c>
      <c r="AY138" s="1113">
        <v>337104</v>
      </c>
      <c r="AZ138" s="1113">
        <v>353972</v>
      </c>
      <c r="BA138" s="1113">
        <v>189484</v>
      </c>
      <c r="BB138" s="1113">
        <v>0</v>
      </c>
      <c r="BC138" s="1113">
        <v>3476384</v>
      </c>
      <c r="BD138" s="1113">
        <v>1164972</v>
      </c>
      <c r="BE138" s="1113">
        <v>254109</v>
      </c>
      <c r="BF138" s="1113">
        <v>137116</v>
      </c>
      <c r="BG138" s="1113">
        <v>6280058</v>
      </c>
      <c r="BH138" s="1113">
        <v>87002</v>
      </c>
      <c r="BI138" s="1113">
        <v>12513130</v>
      </c>
      <c r="BJ138" s="1113">
        <v>1262820</v>
      </c>
      <c r="BK138" s="1113">
        <v>502577</v>
      </c>
      <c r="BL138" s="1113">
        <v>497311</v>
      </c>
      <c r="BM138" s="1113">
        <v>13118244</v>
      </c>
      <c r="BN138" s="1113">
        <v>8143858</v>
      </c>
      <c r="BO138" s="1113">
        <v>2142231</v>
      </c>
      <c r="BP138" s="1113">
        <v>41716729</v>
      </c>
      <c r="BQ138" s="1113">
        <v>34660943</v>
      </c>
      <c r="BR138" s="1113">
        <v>262670</v>
      </c>
      <c r="BS138" s="1113">
        <v>4369995</v>
      </c>
      <c r="BT138" s="300">
        <v>2757216</v>
      </c>
      <c r="BU138" s="300">
        <v>8470393</v>
      </c>
      <c r="BV138" s="300">
        <v>336635</v>
      </c>
      <c r="BW138" s="300">
        <v>1127080</v>
      </c>
      <c r="BX138" s="300">
        <v>2806201</v>
      </c>
      <c r="BY138" s="300">
        <v>0</v>
      </c>
      <c r="BZ138" s="300">
        <v>20689406</v>
      </c>
      <c r="CA138" s="300">
        <v>369660</v>
      </c>
      <c r="CB138" s="300">
        <v>8196276</v>
      </c>
      <c r="CC138" s="300">
        <v>517591</v>
      </c>
      <c r="CD138" s="300">
        <v>2065231</v>
      </c>
      <c r="CE138" s="300">
        <v>60177282</v>
      </c>
    </row>
    <row r="139" spans="1:83" x14ac:dyDescent="0.3">
      <c r="A139" s="271">
        <v>380</v>
      </c>
      <c r="B139" s="271">
        <v>380</v>
      </c>
      <c r="C139" s="271" t="s">
        <v>121</v>
      </c>
      <c r="D139" s="271" t="s">
        <v>456</v>
      </c>
      <c r="E139" s="1113">
        <v>46783</v>
      </c>
      <c r="F139" s="1113">
        <v>261537</v>
      </c>
      <c r="G139" s="1113">
        <v>1523</v>
      </c>
      <c r="H139" s="1113">
        <v>4882</v>
      </c>
      <c r="I139" s="1113">
        <v>4305</v>
      </c>
      <c r="J139" s="1113">
        <v>787</v>
      </c>
      <c r="K139" s="1113">
        <v>0</v>
      </c>
      <c r="L139" s="1113">
        <v>366</v>
      </c>
      <c r="M139" s="1113">
        <v>258785</v>
      </c>
      <c r="N139" s="271">
        <v>7019392</v>
      </c>
      <c r="O139" s="1113">
        <v>363</v>
      </c>
      <c r="P139" s="1113">
        <v>41464</v>
      </c>
      <c r="Q139" s="1113">
        <v>301</v>
      </c>
      <c r="R139" s="1113">
        <v>195441</v>
      </c>
      <c r="S139" s="271">
        <v>503</v>
      </c>
      <c r="T139" s="1113">
        <v>23416</v>
      </c>
      <c r="U139" s="1113">
        <v>3983</v>
      </c>
      <c r="V139" s="1113">
        <v>8801</v>
      </c>
      <c r="W139" s="1113">
        <v>164450</v>
      </c>
      <c r="X139" s="1113">
        <v>71504</v>
      </c>
      <c r="Y139" s="1113">
        <v>15107</v>
      </c>
      <c r="Z139" s="1113">
        <v>47164</v>
      </c>
      <c r="AA139" s="1113">
        <v>54510</v>
      </c>
      <c r="AB139" s="1113">
        <v>0</v>
      </c>
      <c r="AC139" s="1113">
        <v>17114</v>
      </c>
      <c r="AD139" s="1113">
        <v>79930</v>
      </c>
      <c r="AE139" s="1113">
        <v>104949</v>
      </c>
      <c r="AF139" s="1113">
        <v>0</v>
      </c>
      <c r="AG139" s="271">
        <v>1191095</v>
      </c>
      <c r="AH139" s="1113">
        <v>2156</v>
      </c>
      <c r="AI139" s="1113">
        <v>9738</v>
      </c>
      <c r="AJ139" s="1113">
        <v>156557</v>
      </c>
      <c r="AK139" s="1113">
        <v>4746</v>
      </c>
      <c r="AL139" s="271">
        <v>490</v>
      </c>
      <c r="AM139" s="1113">
        <v>0</v>
      </c>
      <c r="AN139" s="1113">
        <v>5062</v>
      </c>
      <c r="AO139" s="1113">
        <v>191676</v>
      </c>
      <c r="AP139" s="1113">
        <v>0</v>
      </c>
      <c r="AQ139" s="271">
        <v>54074</v>
      </c>
      <c r="AR139" s="1113">
        <v>33857</v>
      </c>
      <c r="AS139" s="1113">
        <v>4051</v>
      </c>
      <c r="AT139" s="1113">
        <v>41065</v>
      </c>
      <c r="AU139" s="1113">
        <v>25796</v>
      </c>
      <c r="AV139" s="271">
        <v>4681687</v>
      </c>
      <c r="AW139" s="1113">
        <v>3484431</v>
      </c>
      <c r="AX139" s="1113">
        <v>49514</v>
      </c>
      <c r="AY139" s="1113">
        <v>3997</v>
      </c>
      <c r="AZ139" s="271">
        <v>4788</v>
      </c>
      <c r="BA139" s="1113">
        <v>1353</v>
      </c>
      <c r="BB139" s="1113">
        <v>0</v>
      </c>
      <c r="BC139" s="1113">
        <v>229338</v>
      </c>
      <c r="BD139" s="1113">
        <v>1609</v>
      </c>
      <c r="BE139" s="1113">
        <v>3830</v>
      </c>
      <c r="BF139" s="1113">
        <v>1789</v>
      </c>
      <c r="BG139" s="1113">
        <v>40014</v>
      </c>
      <c r="BH139" s="1113">
        <v>0</v>
      </c>
      <c r="BI139" s="1113">
        <v>627078</v>
      </c>
      <c r="BJ139" s="1113">
        <v>25188</v>
      </c>
      <c r="BK139" s="1113">
        <v>1667</v>
      </c>
      <c r="BL139" s="1113">
        <v>0</v>
      </c>
      <c r="BM139" s="1113">
        <v>270970</v>
      </c>
      <c r="BN139" s="1113">
        <v>227746</v>
      </c>
      <c r="BO139" s="1113">
        <v>78576</v>
      </c>
      <c r="BP139" s="1113">
        <v>484789</v>
      </c>
      <c r="BQ139" s="1113">
        <v>1774639</v>
      </c>
      <c r="BR139" s="1113">
        <v>7309</v>
      </c>
      <c r="BS139" s="1113">
        <v>15691</v>
      </c>
      <c r="BT139" s="300">
        <v>45402</v>
      </c>
      <c r="BU139" s="300">
        <v>138093</v>
      </c>
      <c r="BV139" s="300">
        <v>17682</v>
      </c>
      <c r="BW139" s="300">
        <v>16787</v>
      </c>
      <c r="BX139" s="300">
        <v>115577</v>
      </c>
      <c r="BY139" s="300">
        <v>0</v>
      </c>
      <c r="BZ139" s="300">
        <v>252320</v>
      </c>
      <c r="CA139" s="300">
        <v>1521</v>
      </c>
      <c r="CB139" s="300">
        <v>78853</v>
      </c>
      <c r="CC139" s="300">
        <v>18776</v>
      </c>
      <c r="CD139" s="300">
        <v>97572</v>
      </c>
      <c r="CE139" s="300">
        <v>151696</v>
      </c>
    </row>
    <row r="140" spans="1:83" x14ac:dyDescent="0.3">
      <c r="A140" s="271">
        <v>381</v>
      </c>
      <c r="B140" s="271">
        <v>381</v>
      </c>
      <c r="C140" s="271" t="s">
        <v>113</v>
      </c>
      <c r="D140" s="271" t="s">
        <v>457</v>
      </c>
      <c r="E140" s="1113">
        <v>7269174</v>
      </c>
      <c r="F140" s="1113">
        <v>10133372</v>
      </c>
      <c r="G140" s="1113">
        <v>0</v>
      </c>
      <c r="H140" s="1113">
        <v>8799050</v>
      </c>
      <c r="I140" s="271">
        <v>5571529</v>
      </c>
      <c r="J140" s="1113">
        <v>489193</v>
      </c>
      <c r="K140" s="1113">
        <v>0</v>
      </c>
      <c r="L140" s="1113">
        <v>4423629</v>
      </c>
      <c r="M140" s="1113">
        <v>44403404</v>
      </c>
      <c r="N140" s="271">
        <v>0</v>
      </c>
      <c r="O140" s="1113">
        <v>0</v>
      </c>
      <c r="P140" s="271">
        <v>0</v>
      </c>
      <c r="Q140" s="1113">
        <v>3467279</v>
      </c>
      <c r="R140" s="1113">
        <v>44626674</v>
      </c>
      <c r="S140" s="271">
        <v>0</v>
      </c>
      <c r="T140" s="1113">
        <v>2476760</v>
      </c>
      <c r="U140" s="1113">
        <v>3800038</v>
      </c>
      <c r="V140" s="1113">
        <v>1783813</v>
      </c>
      <c r="W140" s="1113">
        <v>31361285</v>
      </c>
      <c r="X140" s="1113">
        <v>0</v>
      </c>
      <c r="Y140" s="1113">
        <v>5384609</v>
      </c>
      <c r="Z140" s="271">
        <v>9885897</v>
      </c>
      <c r="AA140" s="1113">
        <v>123668585</v>
      </c>
      <c r="AB140" s="1113">
        <v>1700922</v>
      </c>
      <c r="AC140" s="1113">
        <v>2792575</v>
      </c>
      <c r="AD140" s="1113">
        <v>0</v>
      </c>
      <c r="AE140" s="1113">
        <v>0</v>
      </c>
      <c r="AF140" s="271">
        <v>0</v>
      </c>
      <c r="AG140" s="271">
        <v>277537708</v>
      </c>
      <c r="AH140" s="1113">
        <v>2663</v>
      </c>
      <c r="AI140" s="1113">
        <v>1141586</v>
      </c>
      <c r="AJ140" s="1113">
        <v>3791329</v>
      </c>
      <c r="AK140" s="1113">
        <v>1619434</v>
      </c>
      <c r="AL140" s="271">
        <v>252859</v>
      </c>
      <c r="AM140" s="271">
        <v>0</v>
      </c>
      <c r="AN140" s="1113">
        <v>7417009</v>
      </c>
      <c r="AO140" s="1113">
        <v>57684957</v>
      </c>
      <c r="AP140" s="1113">
        <v>0</v>
      </c>
      <c r="AQ140" s="271">
        <v>16818431</v>
      </c>
      <c r="AR140" s="1113">
        <v>0</v>
      </c>
      <c r="AS140" s="1113">
        <v>0</v>
      </c>
      <c r="AT140" s="1113">
        <v>7363181</v>
      </c>
      <c r="AU140" s="1113">
        <v>3571173</v>
      </c>
      <c r="AV140" s="271">
        <v>927263966</v>
      </c>
      <c r="AW140" s="1113">
        <v>307330305</v>
      </c>
      <c r="AX140" s="1113">
        <v>4187079</v>
      </c>
      <c r="AY140" s="1113">
        <v>2999830</v>
      </c>
      <c r="AZ140" s="1113">
        <v>1942541</v>
      </c>
      <c r="BA140" s="271">
        <v>3380776</v>
      </c>
      <c r="BB140" s="1113">
        <v>0</v>
      </c>
      <c r="BC140" s="1113">
        <v>9242519</v>
      </c>
      <c r="BD140" s="271">
        <v>3755404</v>
      </c>
      <c r="BE140" s="1113">
        <v>0</v>
      </c>
      <c r="BF140" s="1113">
        <v>789417</v>
      </c>
      <c r="BG140" s="1113">
        <v>44077779</v>
      </c>
      <c r="BH140" s="1113">
        <v>0</v>
      </c>
      <c r="BI140" s="1113">
        <v>34759571</v>
      </c>
      <c r="BJ140" s="1113">
        <v>5653229</v>
      </c>
      <c r="BK140" s="1113">
        <v>0</v>
      </c>
      <c r="BL140" s="271">
        <v>0</v>
      </c>
      <c r="BM140" s="1113">
        <v>121984230</v>
      </c>
      <c r="BN140" s="1113">
        <v>97789342</v>
      </c>
      <c r="BO140" s="1113">
        <v>13387631</v>
      </c>
      <c r="BP140" s="1113">
        <v>164618727</v>
      </c>
      <c r="BQ140" s="1113">
        <v>394701561</v>
      </c>
      <c r="BR140" s="1113">
        <v>4214498</v>
      </c>
      <c r="BS140" s="271">
        <v>28359562</v>
      </c>
      <c r="BT140" s="300">
        <v>0</v>
      </c>
      <c r="BU140" s="300">
        <v>80076704</v>
      </c>
      <c r="BV140" s="300">
        <v>2859761</v>
      </c>
      <c r="BW140" s="300">
        <v>0</v>
      </c>
      <c r="BX140" s="300">
        <v>21476196</v>
      </c>
      <c r="BY140" s="300">
        <v>0</v>
      </c>
      <c r="BZ140" s="300">
        <v>161816285</v>
      </c>
      <c r="CA140" s="300">
        <v>3623446</v>
      </c>
      <c r="CB140" s="300">
        <v>0</v>
      </c>
      <c r="CC140" s="300">
        <v>1047387</v>
      </c>
      <c r="CD140" s="300">
        <v>0</v>
      </c>
      <c r="CE140" s="300">
        <v>0</v>
      </c>
    </row>
    <row r="141" spans="1:83" x14ac:dyDescent="0.3">
      <c r="A141" s="271">
        <v>382</v>
      </c>
      <c r="B141" s="271">
        <v>382</v>
      </c>
      <c r="C141" s="271" t="s">
        <v>114</v>
      </c>
      <c r="D141" s="271" t="s">
        <v>458</v>
      </c>
      <c r="E141" s="271">
        <v>0</v>
      </c>
      <c r="F141" s="271">
        <v>0</v>
      </c>
      <c r="G141" s="271">
        <v>0</v>
      </c>
      <c r="H141" s="1113">
        <v>0</v>
      </c>
      <c r="I141" s="271">
        <v>0</v>
      </c>
      <c r="J141" s="271">
        <v>0</v>
      </c>
      <c r="K141" s="271">
        <v>0</v>
      </c>
      <c r="L141" s="271">
        <v>0</v>
      </c>
      <c r="M141" s="1113">
        <v>6821999</v>
      </c>
      <c r="N141" s="271">
        <v>0</v>
      </c>
      <c r="O141" s="271">
        <v>0</v>
      </c>
      <c r="P141" s="271">
        <v>0</v>
      </c>
      <c r="Q141" s="271">
        <v>0</v>
      </c>
      <c r="R141" s="271">
        <v>11180040</v>
      </c>
      <c r="S141" s="271">
        <v>0</v>
      </c>
      <c r="T141" s="271">
        <v>1245355</v>
      </c>
      <c r="U141" s="271">
        <v>0</v>
      </c>
      <c r="V141" s="271">
        <v>0</v>
      </c>
      <c r="W141" s="271">
        <v>0</v>
      </c>
      <c r="X141" s="271">
        <v>0</v>
      </c>
      <c r="Y141" s="1113">
        <v>0</v>
      </c>
      <c r="Z141" s="271">
        <v>872413</v>
      </c>
      <c r="AA141" s="271">
        <v>0</v>
      </c>
      <c r="AB141" s="271">
        <v>0</v>
      </c>
      <c r="AC141" s="271">
        <v>0</v>
      </c>
      <c r="AD141" s="271">
        <v>0</v>
      </c>
      <c r="AE141" s="271">
        <v>0</v>
      </c>
      <c r="AF141" s="271">
        <v>0</v>
      </c>
      <c r="AG141" s="271">
        <v>81891531</v>
      </c>
      <c r="AH141" s="271">
        <v>0</v>
      </c>
      <c r="AI141" s="271">
        <v>0</v>
      </c>
      <c r="AJ141" s="1113">
        <v>0</v>
      </c>
      <c r="AK141" s="271">
        <v>0</v>
      </c>
      <c r="AL141" s="271">
        <v>0</v>
      </c>
      <c r="AM141" s="271">
        <v>0</v>
      </c>
      <c r="AN141" s="1113">
        <v>0</v>
      </c>
      <c r="AO141" s="271">
        <v>0</v>
      </c>
      <c r="AP141" s="271">
        <v>0</v>
      </c>
      <c r="AQ141" s="271">
        <v>8846207</v>
      </c>
      <c r="AR141" s="271">
        <v>0</v>
      </c>
      <c r="AS141" s="271">
        <v>0</v>
      </c>
      <c r="AT141" s="271">
        <v>0</v>
      </c>
      <c r="AU141" s="271">
        <v>0</v>
      </c>
      <c r="AV141" s="271">
        <v>0</v>
      </c>
      <c r="AW141" s="271">
        <v>265731553</v>
      </c>
      <c r="AX141" s="271">
        <v>0</v>
      </c>
      <c r="AY141" s="271">
        <v>0</v>
      </c>
      <c r="AZ141" s="271">
        <v>0</v>
      </c>
      <c r="BA141" s="271">
        <v>0</v>
      </c>
      <c r="BB141" s="271">
        <v>0</v>
      </c>
      <c r="BC141" s="271">
        <v>0</v>
      </c>
      <c r="BD141" s="271">
        <v>0</v>
      </c>
      <c r="BE141" s="271">
        <v>0</v>
      </c>
      <c r="BF141" s="271">
        <v>0</v>
      </c>
      <c r="BG141" s="271">
        <v>0</v>
      </c>
      <c r="BH141" s="1113">
        <v>0</v>
      </c>
      <c r="BI141" s="271">
        <v>0</v>
      </c>
      <c r="BJ141" s="271">
        <v>0</v>
      </c>
      <c r="BK141" s="271">
        <v>0</v>
      </c>
      <c r="BL141" s="271">
        <v>0</v>
      </c>
      <c r="BM141" s="271">
        <v>0</v>
      </c>
      <c r="BN141" s="271">
        <v>0</v>
      </c>
      <c r="BO141" s="271">
        <v>2050951</v>
      </c>
      <c r="BP141" s="271">
        <v>0</v>
      </c>
      <c r="BQ141" s="271">
        <v>144842927</v>
      </c>
      <c r="BR141" s="271">
        <v>0</v>
      </c>
      <c r="BS141" s="271">
        <v>7740002</v>
      </c>
      <c r="BT141" s="300">
        <v>0</v>
      </c>
      <c r="BU141" s="300">
        <v>0</v>
      </c>
      <c r="BV141" s="300">
        <v>509095</v>
      </c>
      <c r="BW141" s="300">
        <v>0</v>
      </c>
      <c r="BX141" s="300">
        <v>0</v>
      </c>
      <c r="BY141" s="300">
        <v>0</v>
      </c>
      <c r="BZ141" s="300">
        <v>0</v>
      </c>
      <c r="CA141" s="300">
        <v>1092563</v>
      </c>
      <c r="CB141" s="300">
        <v>0</v>
      </c>
      <c r="CC141" s="300">
        <v>0</v>
      </c>
      <c r="CD141" s="300">
        <v>0</v>
      </c>
      <c r="CE141" s="300">
        <v>26760118</v>
      </c>
    </row>
    <row r="142" spans="1:83" x14ac:dyDescent="0.3">
      <c r="A142" s="271">
        <v>383</v>
      </c>
      <c r="B142" s="271">
        <v>383</v>
      </c>
      <c r="C142" s="271" t="s">
        <v>221</v>
      </c>
      <c r="D142" s="271" t="s">
        <v>459</v>
      </c>
      <c r="E142" s="271">
        <v>0</v>
      </c>
      <c r="F142" s="271">
        <v>0</v>
      </c>
      <c r="G142" s="271">
        <v>0</v>
      </c>
      <c r="H142" s="271">
        <v>0</v>
      </c>
      <c r="I142" s="271">
        <v>0</v>
      </c>
      <c r="J142" s="271">
        <v>0</v>
      </c>
      <c r="K142" s="271">
        <v>0</v>
      </c>
      <c r="L142" s="271">
        <v>0</v>
      </c>
      <c r="M142" s="271">
        <v>0</v>
      </c>
      <c r="N142" s="271">
        <v>0</v>
      </c>
      <c r="O142" s="271">
        <v>0</v>
      </c>
      <c r="P142" s="271">
        <v>0</v>
      </c>
      <c r="Q142" s="1113">
        <v>0</v>
      </c>
      <c r="R142" s="1113">
        <v>0</v>
      </c>
      <c r="S142" s="271">
        <v>0</v>
      </c>
      <c r="T142" s="271">
        <v>0</v>
      </c>
      <c r="U142" s="271">
        <v>0</v>
      </c>
      <c r="V142" s="271">
        <v>0</v>
      </c>
      <c r="W142" s="271">
        <v>0</v>
      </c>
      <c r="X142" s="271">
        <v>0</v>
      </c>
      <c r="Y142" s="271">
        <v>0</v>
      </c>
      <c r="Z142" s="271">
        <v>0</v>
      </c>
      <c r="AA142" s="271">
        <v>0</v>
      </c>
      <c r="AB142" s="271">
        <v>0</v>
      </c>
      <c r="AC142" s="271">
        <v>0</v>
      </c>
      <c r="AD142" s="271">
        <v>0</v>
      </c>
      <c r="AE142" s="271">
        <v>0</v>
      </c>
      <c r="AF142" s="271">
        <v>0</v>
      </c>
      <c r="AG142" s="271">
        <v>1114143</v>
      </c>
      <c r="AH142" s="271">
        <v>0</v>
      </c>
      <c r="AI142" s="271">
        <v>0</v>
      </c>
      <c r="AJ142" s="271">
        <v>0</v>
      </c>
      <c r="AK142" s="271">
        <v>0</v>
      </c>
      <c r="AL142" s="271">
        <v>0</v>
      </c>
      <c r="AM142" s="271">
        <v>0</v>
      </c>
      <c r="AN142" s="271">
        <v>0</v>
      </c>
      <c r="AO142" s="271">
        <v>0</v>
      </c>
      <c r="AP142" s="271">
        <v>0</v>
      </c>
      <c r="AQ142" s="271">
        <v>0</v>
      </c>
      <c r="AR142" s="1113">
        <v>0</v>
      </c>
      <c r="AS142" s="271">
        <v>0</v>
      </c>
      <c r="AT142" s="271">
        <v>0</v>
      </c>
      <c r="AU142" s="271">
        <v>0</v>
      </c>
      <c r="AV142" s="271">
        <v>0</v>
      </c>
      <c r="AW142" s="271">
        <v>192410</v>
      </c>
      <c r="AX142" s="271">
        <v>0</v>
      </c>
      <c r="AY142" s="271">
        <v>0</v>
      </c>
      <c r="AZ142" s="271">
        <v>0</v>
      </c>
      <c r="BA142" s="271">
        <v>0</v>
      </c>
      <c r="BB142" s="271">
        <v>0</v>
      </c>
      <c r="BC142" s="271">
        <v>0</v>
      </c>
      <c r="BD142" s="271">
        <v>0</v>
      </c>
      <c r="BE142" s="271">
        <v>0</v>
      </c>
      <c r="BF142" s="271">
        <v>2783</v>
      </c>
      <c r="BG142" s="271">
        <v>0</v>
      </c>
      <c r="BH142" s="271">
        <v>0</v>
      </c>
      <c r="BI142" s="271">
        <v>0</v>
      </c>
      <c r="BJ142" s="1113">
        <v>0</v>
      </c>
      <c r="BK142" s="271">
        <v>0</v>
      </c>
      <c r="BL142" s="271">
        <v>0</v>
      </c>
      <c r="BM142" s="271">
        <v>0</v>
      </c>
      <c r="BN142" s="271">
        <v>0</v>
      </c>
      <c r="BO142" s="271">
        <v>0</v>
      </c>
      <c r="BP142" s="271">
        <v>67110</v>
      </c>
      <c r="BQ142" s="271">
        <v>0</v>
      </c>
      <c r="BR142" s="1113">
        <v>0</v>
      </c>
      <c r="BS142" s="271">
        <v>0</v>
      </c>
      <c r="BT142" s="300">
        <v>0</v>
      </c>
      <c r="BU142" s="300">
        <v>0</v>
      </c>
      <c r="BV142" s="300">
        <v>0</v>
      </c>
      <c r="BW142" s="300">
        <v>0</v>
      </c>
      <c r="BX142" s="300">
        <v>0</v>
      </c>
      <c r="BY142" s="300">
        <v>0</v>
      </c>
      <c r="BZ142" s="300">
        <v>0</v>
      </c>
      <c r="CA142" s="300">
        <v>0</v>
      </c>
      <c r="CB142" s="300">
        <v>0</v>
      </c>
      <c r="CC142" s="300">
        <v>0</v>
      </c>
      <c r="CD142" s="300">
        <v>0</v>
      </c>
      <c r="CE142" s="300">
        <v>0</v>
      </c>
    </row>
    <row r="143" spans="1:83" x14ac:dyDescent="0.3">
      <c r="A143" s="271">
        <v>384</v>
      </c>
      <c r="B143" s="271">
        <v>384</v>
      </c>
      <c r="C143" s="271" t="s">
        <v>124</v>
      </c>
      <c r="D143" s="271" t="s">
        <v>460</v>
      </c>
      <c r="E143" s="271">
        <v>0</v>
      </c>
      <c r="F143" s="271">
        <v>0</v>
      </c>
      <c r="G143" s="271">
        <v>0</v>
      </c>
      <c r="H143" s="271">
        <v>0</v>
      </c>
      <c r="I143" s="271">
        <v>0</v>
      </c>
      <c r="J143" s="271">
        <v>0</v>
      </c>
      <c r="K143" s="271">
        <v>0</v>
      </c>
      <c r="L143" s="271">
        <v>0</v>
      </c>
      <c r="M143" s="271">
        <v>0</v>
      </c>
      <c r="N143" s="271">
        <v>0</v>
      </c>
      <c r="O143" s="271">
        <v>0</v>
      </c>
      <c r="P143" s="271">
        <v>0</v>
      </c>
      <c r="Q143" s="271">
        <v>0</v>
      </c>
      <c r="R143" s="271">
        <v>0</v>
      </c>
      <c r="S143" s="271">
        <v>0</v>
      </c>
      <c r="T143" s="271">
        <v>0</v>
      </c>
      <c r="U143" s="271">
        <v>0</v>
      </c>
      <c r="V143" s="271">
        <v>0</v>
      </c>
      <c r="W143" s="271">
        <v>0</v>
      </c>
      <c r="X143" s="271">
        <v>0</v>
      </c>
      <c r="Y143" s="271">
        <v>0</v>
      </c>
      <c r="Z143" s="271">
        <v>0</v>
      </c>
      <c r="AA143" s="271">
        <v>0</v>
      </c>
      <c r="AB143" s="271">
        <v>0</v>
      </c>
      <c r="AC143" s="271">
        <v>0</v>
      </c>
      <c r="AD143" s="271">
        <v>0</v>
      </c>
      <c r="AE143" s="271">
        <v>0</v>
      </c>
      <c r="AF143" s="271">
        <v>0</v>
      </c>
      <c r="AG143" s="271">
        <v>188001</v>
      </c>
      <c r="AH143" s="271">
        <v>0</v>
      </c>
      <c r="AI143" s="271">
        <v>0</v>
      </c>
      <c r="AJ143" s="271">
        <v>0</v>
      </c>
      <c r="AK143" s="271">
        <v>0</v>
      </c>
      <c r="AL143" s="271">
        <v>0</v>
      </c>
      <c r="AM143" s="271">
        <v>0</v>
      </c>
      <c r="AN143" s="271">
        <v>0</v>
      </c>
      <c r="AO143" s="271">
        <v>0</v>
      </c>
      <c r="AP143" s="271">
        <v>0</v>
      </c>
      <c r="AQ143" s="271">
        <v>0</v>
      </c>
      <c r="AR143" s="271">
        <v>0</v>
      </c>
      <c r="AS143" s="271">
        <v>0</v>
      </c>
      <c r="AT143" s="271">
        <v>0</v>
      </c>
      <c r="AU143" s="271">
        <v>0</v>
      </c>
      <c r="AV143" s="271">
        <v>0</v>
      </c>
      <c r="AW143" s="271">
        <v>0</v>
      </c>
      <c r="AX143" s="271">
        <v>0</v>
      </c>
      <c r="AY143" s="271">
        <v>0</v>
      </c>
      <c r="AZ143" s="271">
        <v>0</v>
      </c>
      <c r="BA143" s="271">
        <v>0</v>
      </c>
      <c r="BB143" s="271">
        <v>0</v>
      </c>
      <c r="BC143" s="271">
        <v>0</v>
      </c>
      <c r="BD143" s="271">
        <v>0</v>
      </c>
      <c r="BE143" s="271">
        <v>0</v>
      </c>
      <c r="BF143" s="271">
        <v>0</v>
      </c>
      <c r="BG143" s="271">
        <v>0</v>
      </c>
      <c r="BH143" s="271">
        <v>0</v>
      </c>
      <c r="BI143" s="271">
        <v>0</v>
      </c>
      <c r="BJ143" s="271">
        <v>0</v>
      </c>
      <c r="BK143" s="271">
        <v>0</v>
      </c>
      <c r="BL143" s="271">
        <v>0</v>
      </c>
      <c r="BM143" s="271">
        <v>0</v>
      </c>
      <c r="BN143" s="271">
        <v>0</v>
      </c>
      <c r="BO143" s="271">
        <v>0</v>
      </c>
      <c r="BP143" s="271">
        <v>0</v>
      </c>
      <c r="BQ143" s="271">
        <v>0</v>
      </c>
      <c r="BR143" s="271">
        <v>0</v>
      </c>
      <c r="BS143" s="271">
        <v>0</v>
      </c>
      <c r="BT143" s="300">
        <v>0</v>
      </c>
      <c r="BU143" s="300">
        <v>0</v>
      </c>
      <c r="BV143" s="300">
        <v>0</v>
      </c>
      <c r="BW143" s="300">
        <v>0</v>
      </c>
      <c r="BX143" s="300">
        <v>0</v>
      </c>
      <c r="BY143" s="300">
        <v>0</v>
      </c>
      <c r="BZ143" s="300">
        <v>0</v>
      </c>
      <c r="CA143" s="300">
        <v>0</v>
      </c>
      <c r="CB143" s="300">
        <v>0</v>
      </c>
      <c r="CC143" s="300">
        <v>0</v>
      </c>
      <c r="CD143" s="300">
        <v>0</v>
      </c>
      <c r="CE143" s="300">
        <v>0</v>
      </c>
    </row>
    <row r="144" spans="1:83" x14ac:dyDescent="0.3">
      <c r="A144" s="271">
        <v>385</v>
      </c>
      <c r="B144" s="271">
        <v>385</v>
      </c>
      <c r="C144" s="271" t="s">
        <v>115</v>
      </c>
      <c r="D144" s="271" t="s">
        <v>461</v>
      </c>
      <c r="E144" s="1113">
        <v>3268562</v>
      </c>
      <c r="F144" s="1113">
        <v>2590451</v>
      </c>
      <c r="G144" s="1113">
        <v>2515611</v>
      </c>
      <c r="H144" s="1113">
        <v>1788793</v>
      </c>
      <c r="I144" s="1113">
        <v>1370202</v>
      </c>
      <c r="J144" s="1113">
        <v>548177</v>
      </c>
      <c r="K144" s="1113">
        <v>210159</v>
      </c>
      <c r="L144" s="1113">
        <v>734060</v>
      </c>
      <c r="M144" s="1113">
        <v>11803616</v>
      </c>
      <c r="N144" s="1113">
        <v>604693146</v>
      </c>
      <c r="O144" s="1113">
        <v>7302052</v>
      </c>
      <c r="P144" s="1113">
        <v>23945973</v>
      </c>
      <c r="Q144" s="1113">
        <v>992625</v>
      </c>
      <c r="R144" s="1113">
        <v>29725571</v>
      </c>
      <c r="S144" s="271">
        <v>339621</v>
      </c>
      <c r="T144" s="1113">
        <v>773440</v>
      </c>
      <c r="U144" s="1113">
        <v>2136402</v>
      </c>
      <c r="V144" s="1113">
        <v>2530052</v>
      </c>
      <c r="W144" s="1113">
        <v>10903573</v>
      </c>
      <c r="X144" s="1113">
        <v>2362174</v>
      </c>
      <c r="Y144" s="1113">
        <v>1455160</v>
      </c>
      <c r="Z144" s="1113">
        <v>1194710</v>
      </c>
      <c r="AA144" s="1113">
        <v>176266064</v>
      </c>
      <c r="AB144" s="1113">
        <v>8615862</v>
      </c>
      <c r="AC144" s="1113">
        <v>1029611</v>
      </c>
      <c r="AD144" s="1113">
        <v>136822035</v>
      </c>
      <c r="AE144" s="1113">
        <v>1930900</v>
      </c>
      <c r="AF144" s="1113">
        <v>0</v>
      </c>
      <c r="AG144" s="1113">
        <v>225791944</v>
      </c>
      <c r="AH144" s="1113">
        <v>1088017</v>
      </c>
      <c r="AI144" s="1113">
        <v>588153</v>
      </c>
      <c r="AJ144" s="1113">
        <v>10077648</v>
      </c>
      <c r="AK144" s="1113">
        <v>1627453</v>
      </c>
      <c r="AL144" s="271">
        <v>870142</v>
      </c>
      <c r="AM144" s="1113">
        <v>0</v>
      </c>
      <c r="AN144" s="1113">
        <v>1320702</v>
      </c>
      <c r="AO144" s="1113">
        <v>35819989</v>
      </c>
      <c r="AP144" s="1113">
        <v>52134</v>
      </c>
      <c r="AQ144" s="1113">
        <v>9761834</v>
      </c>
      <c r="AR144" s="1113">
        <v>5793843</v>
      </c>
      <c r="AS144" s="1113">
        <v>604061</v>
      </c>
      <c r="AT144" s="1113">
        <v>4982661</v>
      </c>
      <c r="AU144" s="1113">
        <v>892993</v>
      </c>
      <c r="AV144" s="271">
        <v>872720197</v>
      </c>
      <c r="AW144" s="1113">
        <v>303036400</v>
      </c>
      <c r="AX144" s="1113">
        <v>3049826</v>
      </c>
      <c r="AY144" s="1113">
        <v>724364</v>
      </c>
      <c r="AZ144" s="1113">
        <v>590825</v>
      </c>
      <c r="BA144" s="1113">
        <v>284373</v>
      </c>
      <c r="BB144" s="1113">
        <v>0</v>
      </c>
      <c r="BC144" s="1113">
        <v>13894686</v>
      </c>
      <c r="BD144" s="1113">
        <v>1895998</v>
      </c>
      <c r="BE144" s="1113">
        <v>471454</v>
      </c>
      <c r="BF144" s="1113">
        <v>162622</v>
      </c>
      <c r="BG144" s="1113">
        <v>39149048</v>
      </c>
      <c r="BH144" s="1113">
        <v>107374</v>
      </c>
      <c r="BI144" s="1113">
        <v>28172344</v>
      </c>
      <c r="BJ144" s="1113">
        <v>8749231</v>
      </c>
      <c r="BK144" s="1113">
        <v>1277337</v>
      </c>
      <c r="BL144" s="1113">
        <v>717163</v>
      </c>
      <c r="BM144" s="1113">
        <v>35824089</v>
      </c>
      <c r="BN144" s="1113">
        <v>41691065</v>
      </c>
      <c r="BO144" s="1113">
        <v>4121306</v>
      </c>
      <c r="BP144" s="1113">
        <v>131068562</v>
      </c>
      <c r="BQ144" s="1113">
        <v>367521102</v>
      </c>
      <c r="BR144" s="1113">
        <v>1272990</v>
      </c>
      <c r="BS144" s="1113">
        <v>23534302</v>
      </c>
      <c r="BT144" s="300">
        <v>5749093</v>
      </c>
      <c r="BU144" s="300">
        <v>34405382</v>
      </c>
      <c r="BV144" s="300">
        <v>1705836</v>
      </c>
      <c r="BW144" s="300">
        <v>1901096</v>
      </c>
      <c r="BX144" s="300">
        <v>19441361</v>
      </c>
      <c r="BY144" s="300">
        <v>0</v>
      </c>
      <c r="BZ144" s="300">
        <v>191956521</v>
      </c>
      <c r="CA144" s="300">
        <v>1546154</v>
      </c>
      <c r="CB144" s="300">
        <v>35559949</v>
      </c>
      <c r="CC144" s="300">
        <v>1083880</v>
      </c>
      <c r="CD144" s="300">
        <v>6177157</v>
      </c>
      <c r="CE144" s="300">
        <v>178029359</v>
      </c>
    </row>
    <row r="145" spans="1:83" x14ac:dyDescent="0.3">
      <c r="A145" s="271">
        <v>386</v>
      </c>
      <c r="B145" s="271">
        <v>386</v>
      </c>
      <c r="C145" s="271" t="s">
        <v>194</v>
      </c>
      <c r="D145" s="271" t="s">
        <v>462</v>
      </c>
      <c r="E145" s="271">
        <v>0</v>
      </c>
      <c r="F145" s="1113">
        <v>0</v>
      </c>
      <c r="G145" s="1113">
        <v>0</v>
      </c>
      <c r="H145" s="1113">
        <v>0</v>
      </c>
      <c r="I145" s="271">
        <v>0</v>
      </c>
      <c r="J145" s="271">
        <v>0</v>
      </c>
      <c r="K145" s="1113">
        <v>0</v>
      </c>
      <c r="L145" s="1113">
        <v>0</v>
      </c>
      <c r="M145" s="271">
        <v>531493</v>
      </c>
      <c r="N145" s="271">
        <v>0</v>
      </c>
      <c r="O145" s="271">
        <v>0</v>
      </c>
      <c r="P145" s="271">
        <v>0</v>
      </c>
      <c r="Q145" s="271">
        <v>0</v>
      </c>
      <c r="R145" s="271">
        <v>2646485</v>
      </c>
      <c r="S145" s="271">
        <v>0</v>
      </c>
      <c r="T145" s="271">
        <v>0</v>
      </c>
      <c r="U145" s="1113">
        <v>0</v>
      </c>
      <c r="V145" s="271">
        <v>0</v>
      </c>
      <c r="W145" s="271">
        <v>0</v>
      </c>
      <c r="X145" s="271">
        <v>0</v>
      </c>
      <c r="Y145" s="1113">
        <v>0</v>
      </c>
      <c r="Z145" s="271">
        <v>17772</v>
      </c>
      <c r="AA145" s="271">
        <v>283406</v>
      </c>
      <c r="AB145" s="271">
        <v>0</v>
      </c>
      <c r="AC145" s="271">
        <v>0</v>
      </c>
      <c r="AD145" s="271">
        <v>0</v>
      </c>
      <c r="AE145" s="271">
        <v>0</v>
      </c>
      <c r="AF145" s="271">
        <v>0</v>
      </c>
      <c r="AG145" s="271">
        <v>5363770</v>
      </c>
      <c r="AH145" s="1113">
        <v>0</v>
      </c>
      <c r="AI145" s="271">
        <v>0</v>
      </c>
      <c r="AJ145" s="271">
        <v>0</v>
      </c>
      <c r="AK145" s="271">
        <v>0</v>
      </c>
      <c r="AL145" s="271">
        <v>0</v>
      </c>
      <c r="AM145" s="271">
        <v>0</v>
      </c>
      <c r="AN145" s="271">
        <v>0</v>
      </c>
      <c r="AO145" s="271">
        <v>0</v>
      </c>
      <c r="AP145" s="1113">
        <v>0</v>
      </c>
      <c r="AQ145" s="271">
        <v>59959</v>
      </c>
      <c r="AR145" s="271">
        <v>0</v>
      </c>
      <c r="AS145" s="271">
        <v>0</v>
      </c>
      <c r="AT145" s="271">
        <v>0</v>
      </c>
      <c r="AU145" s="271">
        <v>0</v>
      </c>
      <c r="AV145" s="271">
        <v>40653715</v>
      </c>
      <c r="AW145" s="271">
        <v>6195920</v>
      </c>
      <c r="AX145" s="271">
        <v>9000</v>
      </c>
      <c r="AY145" s="271">
        <v>0</v>
      </c>
      <c r="AZ145" s="271">
        <v>0</v>
      </c>
      <c r="BA145" s="271">
        <v>0</v>
      </c>
      <c r="BB145" s="271">
        <v>0</v>
      </c>
      <c r="BC145" s="271">
        <v>0</v>
      </c>
      <c r="BD145" s="271">
        <v>0</v>
      </c>
      <c r="BE145" s="271">
        <v>0</v>
      </c>
      <c r="BF145" s="1113">
        <v>0</v>
      </c>
      <c r="BG145" s="271">
        <v>0</v>
      </c>
      <c r="BH145" s="1113">
        <v>0</v>
      </c>
      <c r="BI145" s="271">
        <v>0</v>
      </c>
      <c r="BJ145" s="1113">
        <v>0</v>
      </c>
      <c r="BK145" s="271">
        <v>0</v>
      </c>
      <c r="BL145" s="271">
        <v>0</v>
      </c>
      <c r="BM145" s="271">
        <v>0</v>
      </c>
      <c r="BN145" s="271">
        <v>336250</v>
      </c>
      <c r="BO145" s="271">
        <v>84000</v>
      </c>
      <c r="BP145" s="271">
        <v>3922588</v>
      </c>
      <c r="BQ145" s="1113">
        <v>1136945</v>
      </c>
      <c r="BR145" s="271">
        <v>12500</v>
      </c>
      <c r="BS145" s="271">
        <v>0</v>
      </c>
      <c r="BT145" s="300">
        <v>0</v>
      </c>
      <c r="BU145" s="300">
        <v>0</v>
      </c>
      <c r="BV145" s="300">
        <v>0</v>
      </c>
      <c r="BW145" s="300">
        <v>0</v>
      </c>
      <c r="BX145" s="300">
        <v>0</v>
      </c>
      <c r="BY145" s="300">
        <v>0</v>
      </c>
      <c r="BZ145" s="300">
        <v>17984579</v>
      </c>
      <c r="CA145" s="300">
        <v>0</v>
      </c>
      <c r="CB145" s="300">
        <v>0</v>
      </c>
      <c r="CC145" s="300">
        <v>0</v>
      </c>
      <c r="CD145" s="300">
        <v>0</v>
      </c>
      <c r="CE145" s="300">
        <v>0</v>
      </c>
    </row>
    <row r="146" spans="1:83" x14ac:dyDescent="0.3">
      <c r="A146" s="271">
        <v>387</v>
      </c>
      <c r="B146" s="271">
        <v>387</v>
      </c>
      <c r="C146" s="271" t="s">
        <v>195</v>
      </c>
      <c r="D146" s="271" t="s">
        <v>463</v>
      </c>
      <c r="E146" s="271">
        <v>0</v>
      </c>
      <c r="F146" s="271">
        <v>0</v>
      </c>
      <c r="G146" s="271">
        <v>0</v>
      </c>
      <c r="H146" s="1113">
        <v>0</v>
      </c>
      <c r="I146" s="271">
        <v>0</v>
      </c>
      <c r="J146" s="271">
        <v>0</v>
      </c>
      <c r="K146" s="271">
        <v>0</v>
      </c>
      <c r="L146" s="271">
        <v>0</v>
      </c>
      <c r="M146" s="271">
        <v>0</v>
      </c>
      <c r="N146" s="271">
        <v>4943280</v>
      </c>
      <c r="O146" s="271">
        <v>0</v>
      </c>
      <c r="P146" s="271">
        <v>0</v>
      </c>
      <c r="Q146" s="271">
        <v>0</v>
      </c>
      <c r="R146" s="1113">
        <v>0</v>
      </c>
      <c r="S146" s="271">
        <v>0</v>
      </c>
      <c r="T146" s="271">
        <v>0</v>
      </c>
      <c r="U146" s="271">
        <v>0</v>
      </c>
      <c r="V146" s="271">
        <v>0</v>
      </c>
      <c r="W146" s="271">
        <v>0</v>
      </c>
      <c r="X146" s="271">
        <v>0</v>
      </c>
      <c r="Y146" s="271">
        <v>0</v>
      </c>
      <c r="Z146" s="271">
        <v>0</v>
      </c>
      <c r="AA146" s="271">
        <v>0</v>
      </c>
      <c r="AB146" s="271">
        <v>0</v>
      </c>
      <c r="AC146" s="271">
        <v>0</v>
      </c>
      <c r="AD146" s="271">
        <v>0</v>
      </c>
      <c r="AE146" s="271">
        <v>0</v>
      </c>
      <c r="AF146" s="271">
        <v>0</v>
      </c>
      <c r="AG146" s="271">
        <v>5684264</v>
      </c>
      <c r="AH146" s="271">
        <v>0</v>
      </c>
      <c r="AI146" s="1113">
        <v>0</v>
      </c>
      <c r="AJ146" s="271">
        <v>0</v>
      </c>
      <c r="AK146" s="271">
        <v>4000</v>
      </c>
      <c r="AL146" s="271">
        <v>0</v>
      </c>
      <c r="AM146" s="271">
        <v>0</v>
      </c>
      <c r="AN146" s="271">
        <v>0</v>
      </c>
      <c r="AO146" s="271">
        <v>0</v>
      </c>
      <c r="AP146" s="271">
        <v>0</v>
      </c>
      <c r="AQ146" s="271">
        <v>0</v>
      </c>
      <c r="AR146" s="271">
        <v>0</v>
      </c>
      <c r="AS146" s="271">
        <v>0</v>
      </c>
      <c r="AT146" s="271">
        <v>0</v>
      </c>
      <c r="AU146" s="1113">
        <v>0</v>
      </c>
      <c r="AV146" s="271">
        <v>59949931</v>
      </c>
      <c r="AW146" s="1113">
        <v>0</v>
      </c>
      <c r="AX146" s="271">
        <v>0</v>
      </c>
      <c r="AY146" s="271">
        <v>0</v>
      </c>
      <c r="AZ146" s="271">
        <v>0</v>
      </c>
      <c r="BA146" s="271">
        <v>0</v>
      </c>
      <c r="BB146" s="271">
        <v>0</v>
      </c>
      <c r="BC146" s="271">
        <v>0</v>
      </c>
      <c r="BD146" s="271">
        <v>0</v>
      </c>
      <c r="BE146" s="271">
        <v>0</v>
      </c>
      <c r="BF146" s="271">
        <v>0</v>
      </c>
      <c r="BG146" s="271">
        <v>0</v>
      </c>
      <c r="BH146" s="271">
        <v>0</v>
      </c>
      <c r="BI146" s="1113">
        <v>222807</v>
      </c>
      <c r="BJ146" s="271">
        <v>0</v>
      </c>
      <c r="BK146" s="271">
        <v>0</v>
      </c>
      <c r="BL146" s="271">
        <v>0</v>
      </c>
      <c r="BM146" s="1113">
        <v>79900</v>
      </c>
      <c r="BN146" s="1113">
        <v>0</v>
      </c>
      <c r="BO146" s="271">
        <v>0</v>
      </c>
      <c r="BP146" s="271">
        <v>5501042</v>
      </c>
      <c r="BQ146" s="271">
        <v>0</v>
      </c>
      <c r="BR146" s="271">
        <v>0</v>
      </c>
      <c r="BS146" s="271">
        <v>175698</v>
      </c>
      <c r="BT146" s="300">
        <v>0</v>
      </c>
      <c r="BU146" s="300">
        <v>2073742</v>
      </c>
      <c r="BV146" s="300">
        <v>0</v>
      </c>
      <c r="BW146" s="300">
        <v>16272</v>
      </c>
      <c r="BX146" s="300">
        <v>0</v>
      </c>
      <c r="BY146" s="300">
        <v>0</v>
      </c>
      <c r="BZ146" s="300">
        <v>16712440</v>
      </c>
      <c r="CA146" s="300">
        <v>0</v>
      </c>
      <c r="CB146" s="300">
        <v>0</v>
      </c>
      <c r="CC146" s="300">
        <v>79300</v>
      </c>
      <c r="CD146" s="300">
        <v>0</v>
      </c>
      <c r="CE146" s="300">
        <v>545141</v>
      </c>
    </row>
    <row r="147" spans="1:83" x14ac:dyDescent="0.3">
      <c r="A147" s="271">
        <v>388</v>
      </c>
      <c r="B147" s="271">
        <v>388</v>
      </c>
      <c r="C147" s="271" t="s">
        <v>189</v>
      </c>
      <c r="D147" s="271" t="s">
        <v>464</v>
      </c>
      <c r="E147" s="1113">
        <v>1745427</v>
      </c>
      <c r="F147" s="1113">
        <v>2403441</v>
      </c>
      <c r="G147" s="1113">
        <v>377078</v>
      </c>
      <c r="H147" s="1113">
        <v>754681</v>
      </c>
      <c r="I147" s="1113">
        <v>587182</v>
      </c>
      <c r="J147" s="1113">
        <v>225897</v>
      </c>
      <c r="K147" s="1113">
        <v>56554</v>
      </c>
      <c r="L147" s="1113">
        <v>75195</v>
      </c>
      <c r="M147" s="1113">
        <v>5072548</v>
      </c>
      <c r="N147" s="1113">
        <v>168193268</v>
      </c>
      <c r="O147" s="1113">
        <v>1919529</v>
      </c>
      <c r="P147" s="1113">
        <v>6582758</v>
      </c>
      <c r="Q147" s="1113">
        <v>149381</v>
      </c>
      <c r="R147" s="1113">
        <v>14224183</v>
      </c>
      <c r="S147" s="271">
        <v>82137</v>
      </c>
      <c r="T147" s="1113">
        <v>291252</v>
      </c>
      <c r="U147" s="1113">
        <v>1942396</v>
      </c>
      <c r="V147" s="1113">
        <v>808439</v>
      </c>
      <c r="W147" s="1113">
        <v>4322809</v>
      </c>
      <c r="X147" s="1113">
        <v>1945530</v>
      </c>
      <c r="Y147" s="1113">
        <v>797536</v>
      </c>
      <c r="Z147" s="1113">
        <v>1099170</v>
      </c>
      <c r="AA147" s="1113">
        <v>36671506</v>
      </c>
      <c r="AB147" s="1113">
        <v>535697</v>
      </c>
      <c r="AC147" s="1113">
        <v>588546</v>
      </c>
      <c r="AD147" s="1113">
        <v>35236668</v>
      </c>
      <c r="AE147" s="1113">
        <v>677708</v>
      </c>
      <c r="AF147" s="1113">
        <v>0</v>
      </c>
      <c r="AG147" s="1113">
        <v>72834079</v>
      </c>
      <c r="AH147" s="1113">
        <v>127828</v>
      </c>
      <c r="AI147" s="1113">
        <v>216413</v>
      </c>
      <c r="AJ147" s="1113">
        <v>6360113</v>
      </c>
      <c r="AK147" s="1113">
        <v>861420</v>
      </c>
      <c r="AL147" s="271">
        <v>69766</v>
      </c>
      <c r="AM147" s="1113">
        <v>0</v>
      </c>
      <c r="AN147" s="1113">
        <v>150547</v>
      </c>
      <c r="AO147" s="1113">
        <v>13023444</v>
      </c>
      <c r="AP147" s="1113">
        <v>65186</v>
      </c>
      <c r="AQ147" s="1113">
        <v>4128411</v>
      </c>
      <c r="AR147" s="1113">
        <v>2328849</v>
      </c>
      <c r="AS147" s="1113">
        <v>65115</v>
      </c>
      <c r="AT147" s="1113">
        <v>1016496</v>
      </c>
      <c r="AU147" s="1113">
        <v>173728</v>
      </c>
      <c r="AV147" s="271">
        <v>326343990</v>
      </c>
      <c r="AW147" s="1113">
        <v>89293128</v>
      </c>
      <c r="AX147" s="1113">
        <v>1719857</v>
      </c>
      <c r="AY147" s="1113">
        <v>262959</v>
      </c>
      <c r="AZ147" s="1113">
        <v>314127</v>
      </c>
      <c r="BA147" s="1113">
        <v>208015</v>
      </c>
      <c r="BB147" s="1113">
        <v>0</v>
      </c>
      <c r="BC147" s="1113">
        <v>6349363</v>
      </c>
      <c r="BD147" s="1113">
        <v>238600</v>
      </c>
      <c r="BE147" s="1113">
        <v>109859</v>
      </c>
      <c r="BF147" s="1113">
        <v>47641</v>
      </c>
      <c r="BG147" s="1113">
        <v>11595978</v>
      </c>
      <c r="BH147" s="1113">
        <v>16954</v>
      </c>
      <c r="BI147" s="1113">
        <v>13734623</v>
      </c>
      <c r="BJ147" s="1113">
        <v>2299626</v>
      </c>
      <c r="BK147" s="1113">
        <v>301884</v>
      </c>
      <c r="BL147" s="1113">
        <v>85520</v>
      </c>
      <c r="BM147" s="1113">
        <v>15092533</v>
      </c>
      <c r="BN147" s="1113">
        <v>17223650</v>
      </c>
      <c r="BO147" s="1113">
        <v>1703258</v>
      </c>
      <c r="BP147" s="1113">
        <v>57165781</v>
      </c>
      <c r="BQ147" s="1113">
        <v>146851997</v>
      </c>
      <c r="BR147" s="1113">
        <v>266744</v>
      </c>
      <c r="BS147" s="1113">
        <v>5968576</v>
      </c>
      <c r="BT147" s="300">
        <v>1425492</v>
      </c>
      <c r="BU147" s="300">
        <v>8914421</v>
      </c>
      <c r="BV147" s="300">
        <v>182857</v>
      </c>
      <c r="BW147" s="300">
        <v>251421</v>
      </c>
      <c r="BX147" s="300">
        <v>5794209</v>
      </c>
      <c r="BY147" s="300">
        <v>0</v>
      </c>
      <c r="BZ147" s="300">
        <v>36670258</v>
      </c>
      <c r="CA147" s="300">
        <v>289285</v>
      </c>
      <c r="CB147" s="300">
        <v>14593957</v>
      </c>
      <c r="CC147" s="300">
        <v>422339</v>
      </c>
      <c r="CD147" s="300">
        <v>3092128</v>
      </c>
      <c r="CE147" s="300">
        <v>40377944</v>
      </c>
    </row>
    <row r="148" spans="1:83" x14ac:dyDescent="0.3">
      <c r="A148" s="271">
        <v>389</v>
      </c>
      <c r="B148" s="271">
        <v>389</v>
      </c>
      <c r="C148" s="271" t="s">
        <v>196</v>
      </c>
      <c r="D148" s="271" t="s">
        <v>465</v>
      </c>
      <c r="E148" s="271">
        <v>0</v>
      </c>
      <c r="F148" s="271">
        <v>0</v>
      </c>
      <c r="G148" s="271">
        <v>0</v>
      </c>
      <c r="H148" s="271">
        <v>0</v>
      </c>
      <c r="I148" s="271">
        <v>0</v>
      </c>
      <c r="J148" s="271">
        <v>0</v>
      </c>
      <c r="K148" s="271">
        <v>0</v>
      </c>
      <c r="L148" s="271">
        <v>0</v>
      </c>
      <c r="M148" s="1113">
        <v>0</v>
      </c>
      <c r="N148" s="271">
        <v>0</v>
      </c>
      <c r="O148" s="271">
        <v>0</v>
      </c>
      <c r="P148" s="271">
        <v>0</v>
      </c>
      <c r="Q148" s="271">
        <v>0</v>
      </c>
      <c r="R148" s="271">
        <v>0</v>
      </c>
      <c r="S148" s="271">
        <v>0</v>
      </c>
      <c r="T148" s="271">
        <v>0</v>
      </c>
      <c r="U148" s="271">
        <v>0</v>
      </c>
      <c r="V148" s="271">
        <v>0</v>
      </c>
      <c r="W148" s="271">
        <v>0</v>
      </c>
      <c r="X148" s="271">
        <v>0</v>
      </c>
      <c r="Y148" s="271">
        <v>0</v>
      </c>
      <c r="Z148" s="271">
        <v>0</v>
      </c>
      <c r="AA148" s="271">
        <v>0</v>
      </c>
      <c r="AB148" s="271">
        <v>0</v>
      </c>
      <c r="AC148" s="271">
        <v>0</v>
      </c>
      <c r="AD148" s="271">
        <v>0</v>
      </c>
      <c r="AE148" s="271">
        <v>0</v>
      </c>
      <c r="AF148" s="271">
        <v>0</v>
      </c>
      <c r="AG148" s="271">
        <v>0</v>
      </c>
      <c r="AH148" s="271">
        <v>0</v>
      </c>
      <c r="AI148" s="271">
        <v>0</v>
      </c>
      <c r="AJ148" s="271">
        <v>0</v>
      </c>
      <c r="AK148" s="271">
        <v>0</v>
      </c>
      <c r="AL148" s="271">
        <v>0</v>
      </c>
      <c r="AM148" s="271">
        <v>0</v>
      </c>
      <c r="AN148" s="271">
        <v>0</v>
      </c>
      <c r="AO148" s="271">
        <v>0</v>
      </c>
      <c r="AP148" s="271">
        <v>0</v>
      </c>
      <c r="AQ148" s="271">
        <v>0</v>
      </c>
      <c r="AR148" s="271">
        <v>0</v>
      </c>
      <c r="AS148" s="271">
        <v>0</v>
      </c>
      <c r="AT148" s="271">
        <v>0</v>
      </c>
      <c r="AU148" s="271">
        <v>0</v>
      </c>
      <c r="AV148" s="271">
        <v>0</v>
      </c>
      <c r="AW148" s="271">
        <v>0</v>
      </c>
      <c r="AX148" s="271">
        <v>0</v>
      </c>
      <c r="AY148" s="271">
        <v>0</v>
      </c>
      <c r="AZ148" s="271">
        <v>0</v>
      </c>
      <c r="BA148" s="271">
        <v>0</v>
      </c>
      <c r="BB148" s="271">
        <v>0</v>
      </c>
      <c r="BC148" s="271">
        <v>0</v>
      </c>
      <c r="BD148" s="271">
        <v>0</v>
      </c>
      <c r="BE148" s="271">
        <v>0</v>
      </c>
      <c r="BF148" s="271">
        <v>0</v>
      </c>
      <c r="BG148" s="271">
        <v>0</v>
      </c>
      <c r="BH148" s="271">
        <v>0</v>
      </c>
      <c r="BI148" s="271">
        <v>0</v>
      </c>
      <c r="BJ148" s="271">
        <v>0</v>
      </c>
      <c r="BK148" s="271">
        <v>0</v>
      </c>
      <c r="BL148" s="271">
        <v>0</v>
      </c>
      <c r="BM148" s="271">
        <v>0</v>
      </c>
      <c r="BN148" s="271">
        <v>-569930</v>
      </c>
      <c r="BO148" s="271">
        <v>0</v>
      </c>
      <c r="BP148" s="1113">
        <v>0</v>
      </c>
      <c r="BQ148" s="271">
        <v>0</v>
      </c>
      <c r="BR148" s="271">
        <v>0</v>
      </c>
      <c r="BS148" s="271">
        <v>0</v>
      </c>
      <c r="BT148" s="300">
        <v>0</v>
      </c>
      <c r="BU148" s="300">
        <v>0</v>
      </c>
      <c r="BV148" s="300">
        <v>0</v>
      </c>
      <c r="BW148" s="300">
        <v>0</v>
      </c>
      <c r="BX148" s="300">
        <v>0</v>
      </c>
      <c r="BY148" s="300">
        <v>0</v>
      </c>
      <c r="BZ148" s="300">
        <v>0</v>
      </c>
      <c r="CA148" s="300">
        <v>0</v>
      </c>
      <c r="CB148" s="300">
        <v>0</v>
      </c>
      <c r="CC148" s="300">
        <v>0</v>
      </c>
      <c r="CD148" s="300">
        <v>0</v>
      </c>
      <c r="CE148" s="300">
        <v>0</v>
      </c>
    </row>
    <row r="149" spans="1:83" x14ac:dyDescent="0.3">
      <c r="A149" s="271">
        <v>391</v>
      </c>
      <c r="B149" s="271">
        <v>391</v>
      </c>
      <c r="C149" s="271" t="s">
        <v>201</v>
      </c>
      <c r="D149" s="271" t="s">
        <v>466</v>
      </c>
      <c r="E149" s="1113">
        <v>151350</v>
      </c>
      <c r="F149" s="1113">
        <v>370624</v>
      </c>
      <c r="G149" s="1113">
        <v>39154</v>
      </c>
      <c r="H149" s="1113">
        <v>82891</v>
      </c>
      <c r="I149" s="271">
        <v>80712</v>
      </c>
      <c r="J149" s="1113">
        <v>10068</v>
      </c>
      <c r="K149" s="1113">
        <v>7113</v>
      </c>
      <c r="L149" s="1113">
        <v>9088</v>
      </c>
      <c r="M149" s="1113">
        <v>597274</v>
      </c>
      <c r="N149" s="271">
        <v>19162377</v>
      </c>
      <c r="O149" s="1113">
        <v>136959</v>
      </c>
      <c r="P149" s="1113">
        <v>826416</v>
      </c>
      <c r="Q149" s="1113">
        <v>88154</v>
      </c>
      <c r="R149" s="1113">
        <v>1125457</v>
      </c>
      <c r="S149" s="271">
        <v>11692</v>
      </c>
      <c r="T149" s="1113">
        <v>12385</v>
      </c>
      <c r="U149" s="1113">
        <v>162500</v>
      </c>
      <c r="V149" s="1113">
        <v>100408</v>
      </c>
      <c r="W149" s="1113">
        <v>425285</v>
      </c>
      <c r="X149" s="1113">
        <v>271351</v>
      </c>
      <c r="Y149" s="1113">
        <v>127058</v>
      </c>
      <c r="Z149" s="1113">
        <v>105540</v>
      </c>
      <c r="AA149" s="1113">
        <v>2535865</v>
      </c>
      <c r="AB149" s="1113">
        <v>200119</v>
      </c>
      <c r="AC149" s="1113">
        <v>104183</v>
      </c>
      <c r="AD149" s="1113">
        <v>3688276</v>
      </c>
      <c r="AE149" s="1113">
        <v>49678</v>
      </c>
      <c r="AF149" s="1113">
        <v>0</v>
      </c>
      <c r="AG149" s="1113">
        <v>9753921</v>
      </c>
      <c r="AH149" s="1113">
        <v>20688</v>
      </c>
      <c r="AI149" s="1113">
        <v>23267</v>
      </c>
      <c r="AJ149" s="1113">
        <v>519180</v>
      </c>
      <c r="AK149" s="1113">
        <v>84677</v>
      </c>
      <c r="AL149" s="271">
        <v>85207</v>
      </c>
      <c r="AM149" s="1113">
        <v>0</v>
      </c>
      <c r="AN149" s="1113">
        <v>17105</v>
      </c>
      <c r="AO149" s="1113">
        <v>2179102</v>
      </c>
      <c r="AP149" s="1113">
        <v>1850</v>
      </c>
      <c r="AQ149" s="1113">
        <v>430021</v>
      </c>
      <c r="AR149" s="1113">
        <v>346194</v>
      </c>
      <c r="AS149" s="1113">
        <v>6920</v>
      </c>
      <c r="AT149" s="1113">
        <v>474532</v>
      </c>
      <c r="AU149" s="1113">
        <v>36610</v>
      </c>
      <c r="AV149" s="271">
        <v>32000861</v>
      </c>
      <c r="AW149" s="1113">
        <v>8067547</v>
      </c>
      <c r="AX149" s="1113">
        <v>179434</v>
      </c>
      <c r="AY149" s="1113">
        <v>84369</v>
      </c>
      <c r="AZ149" s="1113">
        <v>20054</v>
      </c>
      <c r="BA149" s="1113">
        <v>11401</v>
      </c>
      <c r="BB149" s="1113">
        <v>0</v>
      </c>
      <c r="BC149" s="1113">
        <v>579429</v>
      </c>
      <c r="BD149" s="1113">
        <v>35614</v>
      </c>
      <c r="BE149" s="1113">
        <v>18530</v>
      </c>
      <c r="BF149" s="1113">
        <v>8171</v>
      </c>
      <c r="BG149" s="1113">
        <v>999685</v>
      </c>
      <c r="BH149" s="1113">
        <v>1175</v>
      </c>
      <c r="BI149" s="1113">
        <v>2018859</v>
      </c>
      <c r="BJ149" s="1113">
        <v>279533</v>
      </c>
      <c r="BK149" s="1113">
        <v>9033</v>
      </c>
      <c r="BL149" s="1113">
        <v>18584</v>
      </c>
      <c r="BM149" s="1113">
        <v>1445244</v>
      </c>
      <c r="BN149" s="1113">
        <v>2117460</v>
      </c>
      <c r="BO149" s="1113">
        <v>287477</v>
      </c>
      <c r="BP149" s="1113">
        <v>6884679</v>
      </c>
      <c r="BQ149" s="1113">
        <v>12294000</v>
      </c>
      <c r="BR149" s="1113">
        <v>18847</v>
      </c>
      <c r="BS149" s="1113">
        <v>351822</v>
      </c>
      <c r="BT149" s="300">
        <v>85138</v>
      </c>
      <c r="BU149" s="300">
        <v>3375414</v>
      </c>
      <c r="BV149" s="300">
        <v>14162</v>
      </c>
      <c r="BW149" s="300">
        <v>33143</v>
      </c>
      <c r="BX149" s="300">
        <v>124472</v>
      </c>
      <c r="BY149" s="300">
        <v>0</v>
      </c>
      <c r="BZ149" s="300">
        <v>4128858</v>
      </c>
      <c r="CA149" s="300">
        <v>52516</v>
      </c>
      <c r="CB149" s="300">
        <v>1874430</v>
      </c>
      <c r="CC149" s="300">
        <v>63093</v>
      </c>
      <c r="CD149" s="300">
        <v>266593</v>
      </c>
      <c r="CE149" s="300">
        <v>11188265</v>
      </c>
    </row>
    <row r="150" spans="1:83" x14ac:dyDescent="0.3">
      <c r="A150" s="271">
        <v>500</v>
      </c>
      <c r="B150" s="271">
        <v>500</v>
      </c>
      <c r="C150" s="271" t="s">
        <v>183</v>
      </c>
      <c r="D150" s="271" t="s">
        <v>467</v>
      </c>
      <c r="E150" s="1113">
        <v>474215</v>
      </c>
      <c r="F150" s="271">
        <v>121643</v>
      </c>
      <c r="G150" s="1113">
        <v>0</v>
      </c>
      <c r="H150" s="1113">
        <v>18118</v>
      </c>
      <c r="I150" s="1113">
        <v>165000</v>
      </c>
      <c r="J150" s="1113">
        <v>9829</v>
      </c>
      <c r="K150" s="1113">
        <v>25317</v>
      </c>
      <c r="L150" s="1113">
        <v>202684</v>
      </c>
      <c r="M150" s="1113">
        <v>662356</v>
      </c>
      <c r="N150" s="271">
        <v>29265447</v>
      </c>
      <c r="O150" s="1113">
        <v>0</v>
      </c>
      <c r="P150" s="1113">
        <v>571851</v>
      </c>
      <c r="Q150" s="1113">
        <v>24828</v>
      </c>
      <c r="R150" s="1113">
        <v>776441</v>
      </c>
      <c r="S150" s="271">
        <v>3228</v>
      </c>
      <c r="T150" s="1113">
        <v>59067</v>
      </c>
      <c r="U150" s="1113">
        <v>76161</v>
      </c>
      <c r="V150" s="1113">
        <v>0</v>
      </c>
      <c r="W150" s="1113">
        <v>664177</v>
      </c>
      <c r="X150" s="271">
        <v>24449</v>
      </c>
      <c r="Y150" s="1113">
        <v>13674</v>
      </c>
      <c r="Z150" s="1113">
        <v>199205</v>
      </c>
      <c r="AA150" s="1113">
        <v>18582248</v>
      </c>
      <c r="AB150" s="1113">
        <v>3073405</v>
      </c>
      <c r="AC150" s="1113">
        <v>16890</v>
      </c>
      <c r="AD150" s="271">
        <v>0</v>
      </c>
      <c r="AE150" s="271">
        <v>78145</v>
      </c>
      <c r="AF150" s="1113">
        <v>0</v>
      </c>
      <c r="AG150" s="1113">
        <v>9411339</v>
      </c>
      <c r="AH150" s="1113">
        <v>41500</v>
      </c>
      <c r="AI150" s="271">
        <v>30347</v>
      </c>
      <c r="AJ150" s="1113">
        <v>322370</v>
      </c>
      <c r="AK150" s="1113">
        <v>57654</v>
      </c>
      <c r="AL150" s="271">
        <v>20447</v>
      </c>
      <c r="AM150" s="271">
        <v>0</v>
      </c>
      <c r="AN150" s="1113">
        <v>105449</v>
      </c>
      <c r="AO150" s="1113">
        <v>372650</v>
      </c>
      <c r="AP150" s="1113">
        <v>0</v>
      </c>
      <c r="AQ150" s="1113">
        <v>14713</v>
      </c>
      <c r="AR150" s="1113">
        <v>52377</v>
      </c>
      <c r="AS150" s="1113">
        <v>0</v>
      </c>
      <c r="AT150" s="271">
        <v>673950</v>
      </c>
      <c r="AU150" s="1113">
        <v>172096</v>
      </c>
      <c r="AV150" s="271">
        <v>99602240</v>
      </c>
      <c r="AW150" s="1113">
        <v>10117078</v>
      </c>
      <c r="AX150" s="1113">
        <v>22947</v>
      </c>
      <c r="AY150" s="1113">
        <v>13891</v>
      </c>
      <c r="AZ150" s="1113">
        <v>78342</v>
      </c>
      <c r="BA150" s="1113">
        <v>81673</v>
      </c>
      <c r="BB150" s="1113">
        <v>0</v>
      </c>
      <c r="BC150" s="1113">
        <v>44431</v>
      </c>
      <c r="BD150" s="1113">
        <v>0</v>
      </c>
      <c r="BE150" s="1113">
        <v>37579</v>
      </c>
      <c r="BF150" s="1113">
        <v>13654</v>
      </c>
      <c r="BG150" s="1113">
        <v>981845</v>
      </c>
      <c r="BH150" s="1113">
        <v>20370</v>
      </c>
      <c r="BI150" s="1113">
        <v>894968</v>
      </c>
      <c r="BJ150" s="1113">
        <v>1926531</v>
      </c>
      <c r="BK150" s="1113">
        <v>84063</v>
      </c>
      <c r="BL150" s="1113">
        <v>0</v>
      </c>
      <c r="BM150" s="271">
        <v>1122905</v>
      </c>
      <c r="BN150" s="1113">
        <v>773634</v>
      </c>
      <c r="BO150" s="1113">
        <v>339241</v>
      </c>
      <c r="BP150" s="271">
        <v>8482514</v>
      </c>
      <c r="BQ150" s="271">
        <v>14600614</v>
      </c>
      <c r="BR150" s="1113">
        <v>6383</v>
      </c>
      <c r="BS150" s="1113">
        <v>4712145</v>
      </c>
      <c r="BT150" s="300">
        <v>218347</v>
      </c>
      <c r="BU150" s="300">
        <v>1526561</v>
      </c>
      <c r="BV150" s="300">
        <v>67992</v>
      </c>
      <c r="BW150" s="300">
        <v>136238</v>
      </c>
      <c r="BX150" s="300">
        <v>0</v>
      </c>
      <c r="BY150" s="300">
        <v>0</v>
      </c>
      <c r="BZ150" s="300">
        <v>5638175</v>
      </c>
      <c r="CA150" s="300">
        <v>27266</v>
      </c>
      <c r="CB150" s="300">
        <v>29194</v>
      </c>
      <c r="CC150" s="300">
        <v>72955</v>
      </c>
      <c r="CD150" s="300">
        <v>226867</v>
      </c>
      <c r="CE150" s="300">
        <v>13557579</v>
      </c>
    </row>
    <row r="151" spans="1:83" x14ac:dyDescent="0.3">
      <c r="A151" s="271"/>
      <c r="B151" s="271">
        <v>501</v>
      </c>
      <c r="C151" s="271" t="s">
        <v>185</v>
      </c>
      <c r="D151" s="271" t="s">
        <v>468</v>
      </c>
      <c r="E151" s="271">
        <v>0</v>
      </c>
      <c r="F151" s="271">
        <v>0</v>
      </c>
      <c r="G151" s="271">
        <v>0</v>
      </c>
      <c r="H151" s="271">
        <v>0</v>
      </c>
      <c r="I151" s="271">
        <v>0</v>
      </c>
      <c r="J151" s="271">
        <v>0</v>
      </c>
      <c r="K151" s="271">
        <v>0</v>
      </c>
      <c r="L151" s="271">
        <v>0</v>
      </c>
      <c r="M151" s="271">
        <v>0</v>
      </c>
      <c r="N151" s="271">
        <v>0</v>
      </c>
      <c r="O151" s="271">
        <v>0</v>
      </c>
      <c r="P151" s="271">
        <v>0</v>
      </c>
      <c r="Q151" s="271">
        <v>0</v>
      </c>
      <c r="R151" s="271">
        <v>0</v>
      </c>
      <c r="S151" s="271">
        <v>0</v>
      </c>
      <c r="T151" s="271">
        <v>0</v>
      </c>
      <c r="U151" s="271">
        <v>0</v>
      </c>
      <c r="V151" s="271">
        <v>0</v>
      </c>
      <c r="W151" s="271">
        <v>0</v>
      </c>
      <c r="X151" s="271">
        <v>0</v>
      </c>
      <c r="Y151" s="271">
        <v>0</v>
      </c>
      <c r="Z151" s="271">
        <v>0</v>
      </c>
      <c r="AA151" s="271">
        <v>0</v>
      </c>
      <c r="AB151" s="271">
        <v>0</v>
      </c>
      <c r="AC151" s="271">
        <v>0</v>
      </c>
      <c r="AD151" s="271">
        <v>0</v>
      </c>
      <c r="AE151" s="271">
        <v>0</v>
      </c>
      <c r="AF151" s="271">
        <v>0</v>
      </c>
      <c r="AG151" s="271">
        <v>0</v>
      </c>
      <c r="AH151" s="271">
        <v>0</v>
      </c>
      <c r="AI151" s="271">
        <v>0</v>
      </c>
      <c r="AJ151" s="271">
        <v>0</v>
      </c>
      <c r="AK151" s="271">
        <v>0</v>
      </c>
      <c r="AL151" s="271">
        <v>0</v>
      </c>
      <c r="AM151" s="271">
        <v>0</v>
      </c>
      <c r="AN151" s="271">
        <v>0</v>
      </c>
      <c r="AO151" s="271">
        <v>0</v>
      </c>
      <c r="AP151" s="271">
        <v>0</v>
      </c>
      <c r="AQ151" s="271">
        <v>0</v>
      </c>
      <c r="AR151" s="271">
        <v>0</v>
      </c>
      <c r="AS151" s="271">
        <v>0</v>
      </c>
      <c r="AT151" s="271">
        <v>0</v>
      </c>
      <c r="AU151" s="271">
        <v>0</v>
      </c>
      <c r="AV151" s="271">
        <v>0</v>
      </c>
      <c r="AW151" s="271">
        <v>0</v>
      </c>
      <c r="AX151" s="271">
        <v>0</v>
      </c>
      <c r="AY151" s="271">
        <v>0</v>
      </c>
      <c r="AZ151" s="271">
        <v>0</v>
      </c>
      <c r="BA151" s="271">
        <v>0</v>
      </c>
      <c r="BB151" s="271">
        <v>0</v>
      </c>
      <c r="BC151" s="271">
        <v>0</v>
      </c>
      <c r="BD151" s="271">
        <v>0</v>
      </c>
      <c r="BE151" s="271">
        <v>0</v>
      </c>
      <c r="BF151" s="271">
        <v>0</v>
      </c>
      <c r="BG151" s="271">
        <v>0</v>
      </c>
      <c r="BH151" s="271">
        <v>0</v>
      </c>
      <c r="BI151" s="271">
        <v>0</v>
      </c>
      <c r="BJ151" s="271">
        <v>0</v>
      </c>
      <c r="BK151" s="271">
        <v>0</v>
      </c>
      <c r="BL151" s="271">
        <v>0</v>
      </c>
      <c r="BM151" s="271">
        <v>0</v>
      </c>
      <c r="BN151" s="271">
        <v>0</v>
      </c>
      <c r="BO151" s="271">
        <v>0</v>
      </c>
      <c r="BP151" s="271">
        <v>0</v>
      </c>
      <c r="BQ151" s="271">
        <v>0</v>
      </c>
      <c r="BR151" s="271">
        <v>0</v>
      </c>
      <c r="BS151" s="271">
        <v>0</v>
      </c>
      <c r="BT151" s="300">
        <v>0</v>
      </c>
      <c r="BU151" s="300">
        <v>0</v>
      </c>
      <c r="BV151" s="300">
        <v>0</v>
      </c>
      <c r="BW151" s="300">
        <v>0</v>
      </c>
      <c r="BX151" s="300">
        <v>0</v>
      </c>
      <c r="BY151" s="300">
        <v>0</v>
      </c>
      <c r="BZ151" s="300">
        <v>0</v>
      </c>
      <c r="CA151" s="300">
        <v>0</v>
      </c>
      <c r="CB151" s="300">
        <v>0</v>
      </c>
      <c r="CC151" s="300">
        <v>0</v>
      </c>
      <c r="CD151" s="300">
        <v>0</v>
      </c>
      <c r="CE151" s="300">
        <v>0</v>
      </c>
    </row>
    <row r="152" spans="1:83" x14ac:dyDescent="0.3">
      <c r="A152" s="271">
        <v>502</v>
      </c>
      <c r="B152" s="271">
        <v>502</v>
      </c>
      <c r="C152" s="271" t="s">
        <v>186</v>
      </c>
      <c r="D152" s="271" t="s">
        <v>469</v>
      </c>
      <c r="E152" s="1113">
        <v>157324</v>
      </c>
      <c r="F152" s="1113">
        <v>111156</v>
      </c>
      <c r="G152" s="1113">
        <v>0</v>
      </c>
      <c r="H152" s="1113">
        <v>798725</v>
      </c>
      <c r="I152" s="271">
        <v>358526</v>
      </c>
      <c r="J152" s="1113">
        <v>0</v>
      </c>
      <c r="K152" s="1113">
        <v>0</v>
      </c>
      <c r="L152" s="1113">
        <v>171528</v>
      </c>
      <c r="M152" s="1113">
        <v>3975374</v>
      </c>
      <c r="N152" s="271">
        <v>27846857</v>
      </c>
      <c r="O152" s="1113">
        <v>0</v>
      </c>
      <c r="P152" s="271">
        <v>0</v>
      </c>
      <c r="Q152" s="1113">
        <v>19</v>
      </c>
      <c r="R152" s="1113">
        <v>10719832</v>
      </c>
      <c r="S152" s="271">
        <v>0</v>
      </c>
      <c r="T152" s="1113">
        <v>1148319</v>
      </c>
      <c r="U152" s="1113">
        <v>945649</v>
      </c>
      <c r="V152" s="1113">
        <v>808080</v>
      </c>
      <c r="W152" s="1113">
        <v>3041566</v>
      </c>
      <c r="X152" s="1113">
        <v>0</v>
      </c>
      <c r="Y152" s="1113">
        <v>337378</v>
      </c>
      <c r="Z152" s="271">
        <v>167641</v>
      </c>
      <c r="AA152" s="1113">
        <v>18912525</v>
      </c>
      <c r="AB152" s="1113">
        <v>1186</v>
      </c>
      <c r="AC152" s="1113">
        <v>441058</v>
      </c>
      <c r="AD152" s="1113">
        <v>0</v>
      </c>
      <c r="AE152" s="1113">
        <v>0</v>
      </c>
      <c r="AF152" s="271">
        <v>0</v>
      </c>
      <c r="AG152" s="271">
        <v>43589317</v>
      </c>
      <c r="AH152" s="1113">
        <v>318</v>
      </c>
      <c r="AI152" s="1113">
        <v>209421</v>
      </c>
      <c r="AJ152" s="1113">
        <v>1839007</v>
      </c>
      <c r="AK152" s="1113">
        <v>90602</v>
      </c>
      <c r="AL152" s="271">
        <v>89036</v>
      </c>
      <c r="AM152" s="271">
        <v>0</v>
      </c>
      <c r="AN152" s="1113">
        <v>244501</v>
      </c>
      <c r="AO152" s="1113">
        <v>10556267</v>
      </c>
      <c r="AP152" s="1113">
        <v>0</v>
      </c>
      <c r="AQ152" s="271">
        <v>5390384</v>
      </c>
      <c r="AR152" s="271">
        <v>0</v>
      </c>
      <c r="AS152" s="1113">
        <v>0</v>
      </c>
      <c r="AT152" s="1113">
        <v>1720646</v>
      </c>
      <c r="AU152" s="1113">
        <v>118257</v>
      </c>
      <c r="AV152" s="271">
        <v>80553554</v>
      </c>
      <c r="AW152" s="1113">
        <v>135346280</v>
      </c>
      <c r="AX152" s="1113">
        <v>421477</v>
      </c>
      <c r="AY152" s="1113">
        <v>117616</v>
      </c>
      <c r="AZ152" s="1113">
        <v>167993</v>
      </c>
      <c r="BA152" s="271">
        <v>58740</v>
      </c>
      <c r="BB152" s="1113">
        <v>0</v>
      </c>
      <c r="BC152" s="1113">
        <v>3404026</v>
      </c>
      <c r="BD152" s="271">
        <v>494755</v>
      </c>
      <c r="BE152" s="271">
        <v>0</v>
      </c>
      <c r="BF152" s="1113">
        <v>149525</v>
      </c>
      <c r="BG152" s="1113">
        <v>10536229</v>
      </c>
      <c r="BH152" s="1113">
        <v>0</v>
      </c>
      <c r="BI152" s="1113">
        <v>10612560</v>
      </c>
      <c r="BJ152" s="1113">
        <v>984676</v>
      </c>
      <c r="BK152" s="1113">
        <v>0</v>
      </c>
      <c r="BL152" s="1113">
        <v>0</v>
      </c>
      <c r="BM152" s="1113">
        <v>27036930</v>
      </c>
      <c r="BN152" s="1113">
        <v>14445199</v>
      </c>
      <c r="BO152" s="1113">
        <v>1370028</v>
      </c>
      <c r="BP152" s="1113">
        <v>40869631</v>
      </c>
      <c r="BQ152" s="1113">
        <v>170217203</v>
      </c>
      <c r="BR152" s="1113">
        <v>82800</v>
      </c>
      <c r="BS152" s="1113">
        <v>7173608</v>
      </c>
      <c r="BT152" s="300">
        <v>0</v>
      </c>
      <c r="BU152" s="300">
        <v>12523596</v>
      </c>
      <c r="BV152" s="300">
        <v>624264</v>
      </c>
      <c r="BW152" s="300">
        <v>1095</v>
      </c>
      <c r="BX152" s="300">
        <v>2946506</v>
      </c>
      <c r="BY152" s="300">
        <v>0</v>
      </c>
      <c r="BZ152" s="300">
        <v>39344098</v>
      </c>
      <c r="CA152" s="300">
        <v>753212</v>
      </c>
      <c r="CB152" s="300">
        <v>0</v>
      </c>
      <c r="CC152" s="300">
        <v>108797</v>
      </c>
      <c r="CD152" s="300">
        <v>0</v>
      </c>
      <c r="CE152" s="300">
        <v>2839057</v>
      </c>
    </row>
    <row r="153" spans="1:83" x14ac:dyDescent="0.3">
      <c r="A153" s="271">
        <v>503</v>
      </c>
      <c r="B153" s="271">
        <v>503</v>
      </c>
      <c r="C153" s="271" t="s">
        <v>187</v>
      </c>
      <c r="D153" s="271" t="s">
        <v>470</v>
      </c>
      <c r="E153" s="1113">
        <v>135149</v>
      </c>
      <c r="F153" s="1113">
        <v>0</v>
      </c>
      <c r="G153" s="1113">
        <v>0</v>
      </c>
      <c r="H153" s="1113">
        <v>41424</v>
      </c>
      <c r="I153" s="271">
        <v>70452</v>
      </c>
      <c r="J153" s="1113">
        <v>0</v>
      </c>
      <c r="K153" s="1113">
        <v>0</v>
      </c>
      <c r="L153" s="1113">
        <v>2900</v>
      </c>
      <c r="M153" s="1113">
        <v>735238</v>
      </c>
      <c r="N153" s="271">
        <v>5288356</v>
      </c>
      <c r="O153" s="1113">
        <v>0</v>
      </c>
      <c r="P153" s="271">
        <v>0</v>
      </c>
      <c r="Q153" s="271">
        <v>400</v>
      </c>
      <c r="R153" s="1113">
        <v>625411</v>
      </c>
      <c r="S153" s="271">
        <v>0</v>
      </c>
      <c r="T153" s="271">
        <v>56311</v>
      </c>
      <c r="U153" s="1113">
        <v>83548</v>
      </c>
      <c r="V153" s="1113">
        <v>0</v>
      </c>
      <c r="W153" s="1113">
        <v>39165</v>
      </c>
      <c r="X153" s="271">
        <v>0</v>
      </c>
      <c r="Y153" s="1113">
        <v>38860</v>
      </c>
      <c r="Z153" s="271">
        <v>76384</v>
      </c>
      <c r="AA153" s="1113">
        <v>5224140</v>
      </c>
      <c r="AB153" s="271">
        <v>0</v>
      </c>
      <c r="AC153" s="271">
        <v>41034</v>
      </c>
      <c r="AD153" s="1113">
        <v>0</v>
      </c>
      <c r="AE153" s="271">
        <v>0</v>
      </c>
      <c r="AF153" s="271">
        <v>0</v>
      </c>
      <c r="AG153" s="271">
        <v>2715858</v>
      </c>
      <c r="AH153" s="1113">
        <v>1959</v>
      </c>
      <c r="AI153" s="1113">
        <v>0</v>
      </c>
      <c r="AJ153" s="1113">
        <v>178331</v>
      </c>
      <c r="AK153" s="1113">
        <v>0</v>
      </c>
      <c r="AL153" s="271">
        <v>5800</v>
      </c>
      <c r="AM153" s="271">
        <v>0</v>
      </c>
      <c r="AN153" s="1113">
        <v>3695</v>
      </c>
      <c r="AO153" s="271">
        <v>738136</v>
      </c>
      <c r="AP153" s="1113">
        <v>0</v>
      </c>
      <c r="AQ153" s="271">
        <v>366284</v>
      </c>
      <c r="AR153" s="1113">
        <v>0</v>
      </c>
      <c r="AS153" s="1113">
        <v>0</v>
      </c>
      <c r="AT153" s="271">
        <v>81068</v>
      </c>
      <c r="AU153" s="1113">
        <v>17730</v>
      </c>
      <c r="AV153" s="271">
        <v>93488883</v>
      </c>
      <c r="AW153" s="1113">
        <v>60721561</v>
      </c>
      <c r="AX153" s="1113">
        <v>181674</v>
      </c>
      <c r="AY153" s="1113">
        <v>26048</v>
      </c>
      <c r="AZ153" s="1113">
        <v>33474</v>
      </c>
      <c r="BA153" s="271">
        <v>0</v>
      </c>
      <c r="BB153" s="271">
        <v>0</v>
      </c>
      <c r="BC153" s="1113">
        <v>0</v>
      </c>
      <c r="BD153" s="271">
        <v>19398</v>
      </c>
      <c r="BE153" s="1113">
        <v>0</v>
      </c>
      <c r="BF153" s="1113">
        <v>0</v>
      </c>
      <c r="BG153" s="1113">
        <v>298861</v>
      </c>
      <c r="BH153" s="1113">
        <v>0</v>
      </c>
      <c r="BI153" s="1113">
        <v>363555</v>
      </c>
      <c r="BJ153" s="1113">
        <v>91180</v>
      </c>
      <c r="BK153" s="1113">
        <v>0</v>
      </c>
      <c r="BL153" s="271">
        <v>0</v>
      </c>
      <c r="BM153" s="271">
        <v>383972</v>
      </c>
      <c r="BN153" s="1113">
        <v>0</v>
      </c>
      <c r="BO153" s="1113">
        <v>135745</v>
      </c>
      <c r="BP153" s="1113">
        <v>675690</v>
      </c>
      <c r="BQ153" s="1113">
        <v>18607363</v>
      </c>
      <c r="BR153" s="1113">
        <v>15575</v>
      </c>
      <c r="BS153" s="1113">
        <v>50528</v>
      </c>
      <c r="BT153" s="300">
        <v>0</v>
      </c>
      <c r="BU153" s="300">
        <v>6288234</v>
      </c>
      <c r="BV153" s="300">
        <v>50915</v>
      </c>
      <c r="BW153" s="300">
        <v>0</v>
      </c>
      <c r="BX153" s="300">
        <v>189328</v>
      </c>
      <c r="BY153" s="300">
        <v>0</v>
      </c>
      <c r="BZ153" s="300">
        <v>1654932</v>
      </c>
      <c r="CA153" s="300">
        <v>125028</v>
      </c>
      <c r="CB153" s="300">
        <v>0</v>
      </c>
      <c r="CC153" s="300">
        <v>7740</v>
      </c>
      <c r="CD153" s="300">
        <v>0</v>
      </c>
      <c r="CE153" s="300">
        <v>261341</v>
      </c>
    </row>
    <row r="154" spans="1:83" x14ac:dyDescent="0.3">
      <c r="A154" s="271">
        <v>504</v>
      </c>
      <c r="B154" s="271">
        <v>504</v>
      </c>
      <c r="C154" s="271" t="s">
        <v>191</v>
      </c>
      <c r="D154" s="271" t="s">
        <v>471</v>
      </c>
      <c r="E154" s="1113">
        <v>1059587</v>
      </c>
      <c r="F154" s="1113">
        <v>399059</v>
      </c>
      <c r="G154" s="1113">
        <v>5124</v>
      </c>
      <c r="H154" s="1113">
        <v>42991</v>
      </c>
      <c r="I154" s="1113">
        <v>92924</v>
      </c>
      <c r="J154" s="1113">
        <v>10773</v>
      </c>
      <c r="K154" s="1113">
        <v>2427</v>
      </c>
      <c r="L154" s="1113">
        <v>25327</v>
      </c>
      <c r="M154" s="1113">
        <v>270210</v>
      </c>
      <c r="N154" s="271">
        <v>14245027</v>
      </c>
      <c r="O154" s="1113">
        <v>0</v>
      </c>
      <c r="P154" s="1113">
        <v>270426</v>
      </c>
      <c r="Q154" s="1113">
        <v>6643</v>
      </c>
      <c r="R154" s="1113">
        <v>29330</v>
      </c>
      <c r="S154" s="271">
        <v>13322</v>
      </c>
      <c r="T154" s="1113">
        <v>12868</v>
      </c>
      <c r="U154" s="1113">
        <v>133721</v>
      </c>
      <c r="V154" s="1113">
        <v>60</v>
      </c>
      <c r="W154" s="1113">
        <v>1971</v>
      </c>
      <c r="X154" s="1113">
        <v>169367</v>
      </c>
      <c r="Y154" s="1113">
        <v>12000</v>
      </c>
      <c r="Z154" s="1113">
        <v>125482</v>
      </c>
      <c r="AA154" s="1113">
        <v>2745739</v>
      </c>
      <c r="AB154" s="1113">
        <v>0</v>
      </c>
      <c r="AC154" s="1113">
        <v>59560</v>
      </c>
      <c r="AD154" s="1113">
        <v>881239</v>
      </c>
      <c r="AE154" s="1113">
        <v>42468</v>
      </c>
      <c r="AF154" s="1113">
        <v>0</v>
      </c>
      <c r="AG154" s="1113">
        <v>4983881</v>
      </c>
      <c r="AH154" s="1113">
        <v>9022</v>
      </c>
      <c r="AI154" s="1113">
        <v>17328</v>
      </c>
      <c r="AJ154" s="1113">
        <v>214584</v>
      </c>
      <c r="AK154" s="1113">
        <v>78291</v>
      </c>
      <c r="AL154" s="271">
        <v>4180</v>
      </c>
      <c r="AM154" s="1113">
        <v>0</v>
      </c>
      <c r="AN154" s="1113">
        <v>11522</v>
      </c>
      <c r="AO154" s="1113">
        <v>1113984</v>
      </c>
      <c r="AP154" s="1113">
        <v>0</v>
      </c>
      <c r="AQ154" s="1113">
        <v>51171</v>
      </c>
      <c r="AR154" s="1113">
        <v>140434</v>
      </c>
      <c r="AS154" s="1113">
        <v>0</v>
      </c>
      <c r="AT154" s="1113">
        <v>57448</v>
      </c>
      <c r="AU154" s="1113">
        <v>18491</v>
      </c>
      <c r="AV154" s="271">
        <v>21096423</v>
      </c>
      <c r="AW154" s="1113">
        <v>3016824</v>
      </c>
      <c r="AX154" s="1113">
        <v>145742</v>
      </c>
      <c r="AY154" s="1113">
        <v>13150</v>
      </c>
      <c r="AZ154" s="271">
        <v>30983</v>
      </c>
      <c r="BA154" s="1113">
        <v>65706</v>
      </c>
      <c r="BB154" s="1113">
        <v>0</v>
      </c>
      <c r="BC154" s="1113">
        <v>11634</v>
      </c>
      <c r="BD154" s="1113">
        <v>14999</v>
      </c>
      <c r="BE154" s="1113">
        <v>12133</v>
      </c>
      <c r="BF154" s="1113">
        <v>2875</v>
      </c>
      <c r="BG154" s="1113">
        <v>1663276</v>
      </c>
      <c r="BH154" s="1113">
        <v>0</v>
      </c>
      <c r="BI154" s="1113">
        <v>2763115</v>
      </c>
      <c r="BJ154" s="1113">
        <v>78637</v>
      </c>
      <c r="BK154" s="1113">
        <v>30399</v>
      </c>
      <c r="BL154" s="1113">
        <v>0</v>
      </c>
      <c r="BM154" s="1113">
        <v>685195</v>
      </c>
      <c r="BN154" s="1113">
        <v>1338803</v>
      </c>
      <c r="BO154" s="1113">
        <v>147751</v>
      </c>
      <c r="BP154" s="1113">
        <v>3088376</v>
      </c>
      <c r="BQ154" s="1113">
        <v>17108854</v>
      </c>
      <c r="BR154" s="1113">
        <v>44101</v>
      </c>
      <c r="BS154" s="1113">
        <v>776330</v>
      </c>
      <c r="BT154" s="300">
        <v>47102</v>
      </c>
      <c r="BU154" s="300">
        <v>221637</v>
      </c>
      <c r="BV154" s="300">
        <v>14426</v>
      </c>
      <c r="BW154" s="300">
        <v>338854</v>
      </c>
      <c r="BX154" s="300">
        <v>136274</v>
      </c>
      <c r="BY154" s="300">
        <v>0</v>
      </c>
      <c r="BZ154" s="300">
        <v>707806</v>
      </c>
      <c r="CA154" s="300">
        <v>33948</v>
      </c>
      <c r="CB154" s="300">
        <v>989728</v>
      </c>
      <c r="CC154" s="300">
        <v>22845</v>
      </c>
      <c r="CD154" s="300">
        <v>191304</v>
      </c>
      <c r="CE154" s="300">
        <v>6308078</v>
      </c>
    </row>
    <row r="155" spans="1:83" x14ac:dyDescent="0.3">
      <c r="A155" s="271">
        <v>505</v>
      </c>
      <c r="B155" s="271">
        <v>505</v>
      </c>
      <c r="C155" s="271" t="s">
        <v>192</v>
      </c>
      <c r="D155" s="271" t="s">
        <v>472</v>
      </c>
      <c r="E155" s="271">
        <v>1252358</v>
      </c>
      <c r="F155" s="271">
        <v>0</v>
      </c>
      <c r="G155" s="271">
        <v>0</v>
      </c>
      <c r="H155" s="1113">
        <v>0</v>
      </c>
      <c r="I155" s="271">
        <v>7716</v>
      </c>
      <c r="J155" s="271">
        <v>231548</v>
      </c>
      <c r="K155" s="1113">
        <v>0</v>
      </c>
      <c r="L155" s="271">
        <v>0</v>
      </c>
      <c r="M155" s="1113">
        <v>613648</v>
      </c>
      <c r="N155" s="271">
        <v>4735025</v>
      </c>
      <c r="O155" s="1113">
        <v>129529</v>
      </c>
      <c r="P155" s="271">
        <v>1154440</v>
      </c>
      <c r="Q155" s="1113">
        <v>6065</v>
      </c>
      <c r="R155" s="1113">
        <v>1032987</v>
      </c>
      <c r="S155" s="271">
        <v>0</v>
      </c>
      <c r="T155" s="271">
        <v>0</v>
      </c>
      <c r="U155" s="271">
        <v>35000</v>
      </c>
      <c r="V155" s="271">
        <v>42744</v>
      </c>
      <c r="W155" s="271">
        <v>136741</v>
      </c>
      <c r="X155" s="271">
        <v>0</v>
      </c>
      <c r="Y155" s="1113">
        <v>125962</v>
      </c>
      <c r="Z155" s="271">
        <v>125000</v>
      </c>
      <c r="AA155" s="1113">
        <v>16819702</v>
      </c>
      <c r="AB155" s="1113">
        <v>0</v>
      </c>
      <c r="AC155" s="1113">
        <v>0</v>
      </c>
      <c r="AD155" s="1113">
        <v>331504</v>
      </c>
      <c r="AE155" s="271">
        <v>0</v>
      </c>
      <c r="AF155" s="271">
        <v>0</v>
      </c>
      <c r="AG155" s="271">
        <v>2938494</v>
      </c>
      <c r="AH155" s="1113">
        <v>0</v>
      </c>
      <c r="AI155" s="271">
        <v>0</v>
      </c>
      <c r="AJ155" s="271">
        <v>74748</v>
      </c>
      <c r="AK155" s="271">
        <v>0</v>
      </c>
      <c r="AL155" s="271">
        <v>0</v>
      </c>
      <c r="AM155" s="271">
        <v>0</v>
      </c>
      <c r="AN155" s="1113">
        <v>0</v>
      </c>
      <c r="AO155" s="271">
        <v>329586</v>
      </c>
      <c r="AP155" s="271">
        <v>0</v>
      </c>
      <c r="AQ155" s="271">
        <v>276332</v>
      </c>
      <c r="AR155" s="271">
        <v>277527</v>
      </c>
      <c r="AS155" s="271">
        <v>87176</v>
      </c>
      <c r="AT155" s="271">
        <v>0</v>
      </c>
      <c r="AU155" s="271">
        <v>0</v>
      </c>
      <c r="AV155" s="271">
        <v>6563624</v>
      </c>
      <c r="AW155" s="1113">
        <v>8774719</v>
      </c>
      <c r="AX155" s="1113">
        <v>0</v>
      </c>
      <c r="AY155" s="1113">
        <v>0</v>
      </c>
      <c r="AZ155" s="1113">
        <v>0</v>
      </c>
      <c r="BA155" s="271">
        <v>0</v>
      </c>
      <c r="BB155" s="1113">
        <v>0</v>
      </c>
      <c r="BC155" s="1113">
        <v>208169</v>
      </c>
      <c r="BD155" s="271">
        <v>0</v>
      </c>
      <c r="BE155" s="271">
        <v>0</v>
      </c>
      <c r="BF155" s="1113">
        <v>0</v>
      </c>
      <c r="BG155" s="271">
        <v>2183597</v>
      </c>
      <c r="BH155" s="1113">
        <v>0</v>
      </c>
      <c r="BI155" s="1113">
        <v>1112954</v>
      </c>
      <c r="BJ155" s="271">
        <v>53686</v>
      </c>
      <c r="BK155" s="1113">
        <v>146852</v>
      </c>
      <c r="BL155" s="271">
        <v>0</v>
      </c>
      <c r="BM155" s="271">
        <v>133000</v>
      </c>
      <c r="BN155" s="1113">
        <v>271254</v>
      </c>
      <c r="BO155" s="271">
        <v>0</v>
      </c>
      <c r="BP155" s="271">
        <v>797726</v>
      </c>
      <c r="BQ155" s="271">
        <v>943019</v>
      </c>
      <c r="BR155" s="1113">
        <v>0</v>
      </c>
      <c r="BS155" s="1113">
        <v>553500</v>
      </c>
      <c r="BT155" s="300">
        <v>0</v>
      </c>
      <c r="BU155" s="300">
        <v>3379916</v>
      </c>
      <c r="BV155" s="300">
        <v>0</v>
      </c>
      <c r="BW155" s="300">
        <v>41614</v>
      </c>
      <c r="BX155" s="300">
        <v>0</v>
      </c>
      <c r="BY155" s="300">
        <v>0</v>
      </c>
      <c r="BZ155" s="300">
        <v>4194268</v>
      </c>
      <c r="CA155" s="300">
        <v>0</v>
      </c>
      <c r="CB155" s="300">
        <v>0</v>
      </c>
      <c r="CC155" s="300">
        <v>7615</v>
      </c>
      <c r="CD155" s="300">
        <v>119464</v>
      </c>
      <c r="CE155" s="300">
        <v>3846818</v>
      </c>
    </row>
    <row r="156" spans="1:83" x14ac:dyDescent="0.3">
      <c r="A156" s="271">
        <v>506</v>
      </c>
      <c r="B156" s="271">
        <v>506</v>
      </c>
      <c r="C156" s="271" t="s">
        <v>198</v>
      </c>
      <c r="D156" s="271" t="s">
        <v>473</v>
      </c>
      <c r="E156" s="1113">
        <v>409601</v>
      </c>
      <c r="F156" s="1113">
        <v>737056</v>
      </c>
      <c r="G156" s="1113">
        <v>426750</v>
      </c>
      <c r="H156" s="1113">
        <v>974918</v>
      </c>
      <c r="I156" s="1113">
        <v>612745</v>
      </c>
      <c r="J156" s="1113">
        <v>173652</v>
      </c>
      <c r="K156" s="1113">
        <v>97959</v>
      </c>
      <c r="L156" s="1113">
        <v>451483</v>
      </c>
      <c r="M156" s="1113">
        <v>1946490</v>
      </c>
      <c r="N156" s="1113">
        <v>64267389</v>
      </c>
      <c r="O156" s="1113">
        <v>2747404</v>
      </c>
      <c r="P156" s="1113">
        <v>3897399</v>
      </c>
      <c r="Q156" s="1113">
        <v>101497</v>
      </c>
      <c r="R156" s="1113">
        <v>4311690</v>
      </c>
      <c r="S156" s="271">
        <v>125495</v>
      </c>
      <c r="T156" s="1113">
        <v>480095</v>
      </c>
      <c r="U156" s="1113">
        <v>425445</v>
      </c>
      <c r="V156" s="1113">
        <v>1030579</v>
      </c>
      <c r="W156" s="1113">
        <v>2968894</v>
      </c>
      <c r="X156" s="1113">
        <v>1012922</v>
      </c>
      <c r="Y156" s="1113">
        <v>461121</v>
      </c>
      <c r="Z156" s="1113">
        <v>172128</v>
      </c>
      <c r="AA156" s="1113">
        <v>22503266</v>
      </c>
      <c r="AB156" s="1113">
        <v>4089872</v>
      </c>
      <c r="AC156" s="1113">
        <v>706874</v>
      </c>
      <c r="AD156" s="1113">
        <v>26710575</v>
      </c>
      <c r="AE156" s="1113">
        <v>400595</v>
      </c>
      <c r="AF156" s="1113">
        <v>0</v>
      </c>
      <c r="AG156" s="1113">
        <v>23492605</v>
      </c>
      <c r="AH156" s="1113">
        <v>823858</v>
      </c>
      <c r="AI156" s="1113">
        <v>281499</v>
      </c>
      <c r="AJ156" s="1113">
        <v>2387105</v>
      </c>
      <c r="AK156" s="1113">
        <v>735914</v>
      </c>
      <c r="AL156" s="271">
        <v>38623</v>
      </c>
      <c r="AM156" s="1113">
        <v>0</v>
      </c>
      <c r="AN156" s="1113">
        <v>559548</v>
      </c>
      <c r="AO156" s="1113">
        <v>9308209</v>
      </c>
      <c r="AP156" s="1113">
        <v>50284</v>
      </c>
      <c r="AQ156" s="1113">
        <v>2886787</v>
      </c>
      <c r="AR156" s="1113">
        <v>1974749</v>
      </c>
      <c r="AS156" s="1113">
        <v>196759</v>
      </c>
      <c r="AT156" s="1113">
        <v>564113</v>
      </c>
      <c r="AU156" s="1113">
        <v>466810</v>
      </c>
      <c r="AV156" s="271">
        <v>48810690</v>
      </c>
      <c r="AW156" s="1113">
        <v>18298574</v>
      </c>
      <c r="AX156" s="1113">
        <v>638869</v>
      </c>
      <c r="AY156" s="1113">
        <v>234847</v>
      </c>
      <c r="AZ156" s="1113">
        <v>241793</v>
      </c>
      <c r="BA156" s="1113">
        <v>95057</v>
      </c>
      <c r="BB156" s="1113">
        <v>0</v>
      </c>
      <c r="BC156" s="1113">
        <v>2616300</v>
      </c>
      <c r="BD156" s="1113">
        <v>1117806</v>
      </c>
      <c r="BE156" s="1113">
        <v>194170</v>
      </c>
      <c r="BF156" s="1113">
        <v>113502</v>
      </c>
      <c r="BG156" s="1113">
        <v>4960640</v>
      </c>
      <c r="BH156" s="1113">
        <v>61413</v>
      </c>
      <c r="BI156" s="1113">
        <v>9717278</v>
      </c>
      <c r="BJ156" s="1113">
        <v>372065</v>
      </c>
      <c r="BK156" s="1113">
        <v>398002</v>
      </c>
      <c r="BL156" s="1113">
        <v>478727</v>
      </c>
      <c r="BM156" s="1113">
        <v>10365408</v>
      </c>
      <c r="BN156" s="1113">
        <v>5725869</v>
      </c>
      <c r="BO156" s="1113">
        <v>1436647</v>
      </c>
      <c r="BP156" s="1113">
        <v>33338868</v>
      </c>
      <c r="BQ156" s="1113">
        <v>21991058</v>
      </c>
      <c r="BR156" s="1113">
        <v>230131</v>
      </c>
      <c r="BS156" s="1113">
        <v>3855727</v>
      </c>
      <c r="BT156" s="300">
        <v>2452329</v>
      </c>
      <c r="BU156" s="300">
        <v>5199110</v>
      </c>
      <c r="BV156" s="300">
        <v>236798</v>
      </c>
      <c r="BW156" s="300">
        <v>940912</v>
      </c>
      <c r="BX156" s="300">
        <v>2566152</v>
      </c>
      <c r="BY156" s="300">
        <v>0</v>
      </c>
      <c r="BZ156" s="300">
        <v>11635853</v>
      </c>
      <c r="CA156" s="300">
        <v>299051</v>
      </c>
      <c r="CB156" s="300">
        <v>6215521</v>
      </c>
      <c r="CC156" s="300">
        <v>353649</v>
      </c>
      <c r="CD156" s="300">
        <v>1466272</v>
      </c>
      <c r="CE156" s="300">
        <v>39637569</v>
      </c>
    </row>
    <row r="157" spans="1:83" x14ac:dyDescent="0.3">
      <c r="A157" s="271">
        <v>507</v>
      </c>
      <c r="B157" s="271">
        <v>507</v>
      </c>
      <c r="C157" s="271" t="s">
        <v>216</v>
      </c>
      <c r="D157" s="271" t="s">
        <v>474</v>
      </c>
      <c r="E157" s="271">
        <v>0</v>
      </c>
      <c r="F157" s="271">
        <v>0</v>
      </c>
      <c r="G157" s="271">
        <v>0</v>
      </c>
      <c r="H157" s="271">
        <v>0</v>
      </c>
      <c r="I157" s="1113">
        <v>0</v>
      </c>
      <c r="J157" s="271">
        <v>0</v>
      </c>
      <c r="K157" s="271">
        <v>0</v>
      </c>
      <c r="L157" s="271">
        <v>0</v>
      </c>
      <c r="M157" s="271">
        <v>0</v>
      </c>
      <c r="N157" s="271">
        <v>0</v>
      </c>
      <c r="O157" s="271">
        <v>0</v>
      </c>
      <c r="P157" s="271">
        <v>0</v>
      </c>
      <c r="Q157" s="271">
        <v>0</v>
      </c>
      <c r="R157" s="271">
        <v>154658</v>
      </c>
      <c r="S157" s="271">
        <v>0</v>
      </c>
      <c r="T157" s="271">
        <v>0</v>
      </c>
      <c r="U157" s="271">
        <v>0</v>
      </c>
      <c r="V157" s="271">
        <v>0</v>
      </c>
      <c r="W157" s="1113">
        <v>0</v>
      </c>
      <c r="X157" s="271">
        <v>0</v>
      </c>
      <c r="Y157" s="271">
        <v>-46255</v>
      </c>
      <c r="Z157" s="271">
        <v>-98315</v>
      </c>
      <c r="AA157" s="271">
        <v>0</v>
      </c>
      <c r="AB157" s="271">
        <v>0</v>
      </c>
      <c r="AC157" s="271">
        <v>0</v>
      </c>
      <c r="AD157" s="271">
        <v>0</v>
      </c>
      <c r="AE157" s="1113">
        <v>0</v>
      </c>
      <c r="AF157" s="271">
        <v>0</v>
      </c>
      <c r="AG157" s="271">
        <v>-9934</v>
      </c>
      <c r="AH157" s="271">
        <v>0</v>
      </c>
      <c r="AI157" s="271">
        <v>0</v>
      </c>
      <c r="AJ157" s="271">
        <v>0</v>
      </c>
      <c r="AK157" s="271">
        <v>-1</v>
      </c>
      <c r="AL157" s="271">
        <v>0</v>
      </c>
      <c r="AM157" s="271">
        <v>0</v>
      </c>
      <c r="AN157" s="271">
        <v>0</v>
      </c>
      <c r="AO157" s="271">
        <v>0</v>
      </c>
      <c r="AP157" s="271">
        <v>0</v>
      </c>
      <c r="AQ157" s="271">
        <v>0</v>
      </c>
      <c r="AR157" s="271">
        <v>-3</v>
      </c>
      <c r="AS157" s="271">
        <v>0</v>
      </c>
      <c r="AT157" s="271">
        <v>1</v>
      </c>
      <c r="AU157" s="271">
        <v>0</v>
      </c>
      <c r="AV157" s="271">
        <v>0</v>
      </c>
      <c r="AW157" s="271">
        <v>0</v>
      </c>
      <c r="AX157" s="271">
        <v>0</v>
      </c>
      <c r="AY157" s="271">
        <v>0</v>
      </c>
      <c r="AZ157" s="271">
        <v>0</v>
      </c>
      <c r="BA157" s="271">
        <v>0</v>
      </c>
      <c r="BB157" s="271">
        <v>0</v>
      </c>
      <c r="BC157" s="271">
        <v>0</v>
      </c>
      <c r="BD157" s="271">
        <v>1</v>
      </c>
      <c r="BE157" s="271">
        <v>0</v>
      </c>
      <c r="BF157" s="271">
        <v>0</v>
      </c>
      <c r="BG157" s="271">
        <v>0</v>
      </c>
      <c r="BH157" s="271">
        <v>79459</v>
      </c>
      <c r="BI157" s="271">
        <v>0</v>
      </c>
      <c r="BJ157" s="271">
        <v>0</v>
      </c>
      <c r="BK157" s="271">
        <v>0</v>
      </c>
      <c r="BL157" s="271">
        <v>0</v>
      </c>
      <c r="BM157" s="271">
        <v>0</v>
      </c>
      <c r="BN157" s="271">
        <v>0</v>
      </c>
      <c r="BO157" s="271">
        <v>0</v>
      </c>
      <c r="BP157" s="271">
        <v>0</v>
      </c>
      <c r="BQ157" s="271">
        <v>0</v>
      </c>
      <c r="BR157" s="271">
        <v>0</v>
      </c>
      <c r="BS157" s="271">
        <v>0</v>
      </c>
      <c r="BT157" s="300">
        <v>0</v>
      </c>
      <c r="BU157" s="300">
        <v>0</v>
      </c>
      <c r="BV157" s="300">
        <v>0</v>
      </c>
      <c r="BW157" s="300">
        <v>0</v>
      </c>
      <c r="BX157" s="300">
        <v>0</v>
      </c>
      <c r="BY157" s="300">
        <v>0</v>
      </c>
      <c r="BZ157" s="300">
        <v>0</v>
      </c>
      <c r="CA157" s="300">
        <v>0</v>
      </c>
      <c r="CB157" s="300">
        <v>0</v>
      </c>
      <c r="CC157" s="300">
        <v>0</v>
      </c>
      <c r="CD157" s="300">
        <v>0</v>
      </c>
      <c r="CE157" s="300">
        <v>0</v>
      </c>
    </row>
    <row r="158" spans="1:83" x14ac:dyDescent="0.3">
      <c r="A158" s="271">
        <v>508</v>
      </c>
      <c r="B158" s="271">
        <v>508</v>
      </c>
      <c r="C158" s="271" t="s">
        <v>213</v>
      </c>
      <c r="D158" s="271" t="s">
        <v>475</v>
      </c>
      <c r="E158" s="271">
        <v>0</v>
      </c>
      <c r="F158" s="271">
        <v>0</v>
      </c>
      <c r="G158" s="271">
        <v>0</v>
      </c>
      <c r="H158" s="271">
        <v>0</v>
      </c>
      <c r="I158" s="271">
        <v>0</v>
      </c>
      <c r="J158" s="271">
        <v>0</v>
      </c>
      <c r="K158" s="271">
        <v>0</v>
      </c>
      <c r="L158" s="271">
        <v>0</v>
      </c>
      <c r="M158" s="271">
        <v>0</v>
      </c>
      <c r="N158" s="271">
        <v>24673</v>
      </c>
      <c r="O158" s="271">
        <v>0</v>
      </c>
      <c r="P158" s="271">
        <v>0</v>
      </c>
      <c r="Q158" s="271">
        <v>0</v>
      </c>
      <c r="R158" s="271">
        <v>0</v>
      </c>
      <c r="S158" s="271">
        <v>0</v>
      </c>
      <c r="T158" s="271">
        <v>0</v>
      </c>
      <c r="U158" s="271">
        <v>0</v>
      </c>
      <c r="V158" s="271">
        <v>0</v>
      </c>
      <c r="W158" s="271">
        <v>0</v>
      </c>
      <c r="X158" s="271">
        <v>0</v>
      </c>
      <c r="Y158" s="271">
        <v>0</v>
      </c>
      <c r="Z158" s="271">
        <v>0</v>
      </c>
      <c r="AA158" s="271">
        <v>0</v>
      </c>
      <c r="AB158" s="271">
        <v>0</v>
      </c>
      <c r="AC158" s="271">
        <v>0</v>
      </c>
      <c r="AD158" s="271">
        <v>0</v>
      </c>
      <c r="AE158" s="271">
        <v>0</v>
      </c>
      <c r="AF158" s="271">
        <v>0</v>
      </c>
      <c r="AG158" s="271">
        <v>0</v>
      </c>
      <c r="AH158" s="271">
        <v>0</v>
      </c>
      <c r="AI158" s="271">
        <v>0</v>
      </c>
      <c r="AJ158" s="271">
        <v>0</v>
      </c>
      <c r="AK158" s="271">
        <v>0</v>
      </c>
      <c r="AL158" s="271">
        <v>0</v>
      </c>
      <c r="AM158" s="271">
        <v>0</v>
      </c>
      <c r="AN158" s="271">
        <v>0</v>
      </c>
      <c r="AO158" s="271">
        <v>0</v>
      </c>
      <c r="AP158" s="271">
        <v>0</v>
      </c>
      <c r="AQ158" s="271">
        <v>0</v>
      </c>
      <c r="AR158" s="271">
        <v>0</v>
      </c>
      <c r="AS158" s="271">
        <v>0</v>
      </c>
      <c r="AT158" s="271">
        <v>0</v>
      </c>
      <c r="AU158" s="271">
        <v>0</v>
      </c>
      <c r="AV158" s="271">
        <v>0</v>
      </c>
      <c r="AW158" s="271">
        <v>0</v>
      </c>
      <c r="AX158" s="271">
        <v>0</v>
      </c>
      <c r="AY158" s="271">
        <v>0</v>
      </c>
      <c r="AZ158" s="271">
        <v>0</v>
      </c>
      <c r="BA158" s="271">
        <v>0</v>
      </c>
      <c r="BB158" s="271">
        <v>0</v>
      </c>
      <c r="BC158" s="271">
        <v>0</v>
      </c>
      <c r="BD158" s="271">
        <v>0</v>
      </c>
      <c r="BE158" s="271">
        <v>0</v>
      </c>
      <c r="BF158" s="271">
        <v>0</v>
      </c>
      <c r="BG158" s="271">
        <v>0</v>
      </c>
      <c r="BH158" s="271">
        <v>0</v>
      </c>
      <c r="BI158" s="271">
        <v>0</v>
      </c>
      <c r="BJ158" s="271">
        <v>0</v>
      </c>
      <c r="BK158" s="271">
        <v>0</v>
      </c>
      <c r="BL158" s="271">
        <v>0</v>
      </c>
      <c r="BM158" s="271">
        <v>0</v>
      </c>
      <c r="BN158" s="271">
        <v>0</v>
      </c>
      <c r="BO158" s="271">
        <v>0</v>
      </c>
      <c r="BP158" s="271">
        <v>0</v>
      </c>
      <c r="BQ158" s="271">
        <v>0</v>
      </c>
      <c r="BR158" s="271">
        <v>0</v>
      </c>
      <c r="BS158" s="271">
        <v>0</v>
      </c>
      <c r="BT158" s="300">
        <v>0</v>
      </c>
      <c r="BU158" s="300">
        <v>0</v>
      </c>
      <c r="BV158" s="300">
        <v>0</v>
      </c>
      <c r="BW158" s="300">
        <v>0</v>
      </c>
      <c r="BX158" s="300">
        <v>0</v>
      </c>
      <c r="BY158" s="300">
        <v>0</v>
      </c>
      <c r="BZ158" s="300">
        <v>0</v>
      </c>
      <c r="CA158" s="300">
        <v>0</v>
      </c>
      <c r="CB158" s="300">
        <v>0</v>
      </c>
      <c r="CC158" s="300">
        <v>0</v>
      </c>
      <c r="CD158" s="300">
        <v>0</v>
      </c>
      <c r="CE158" s="300">
        <v>0</v>
      </c>
    </row>
    <row r="159" spans="1:83" x14ac:dyDescent="0.3">
      <c r="A159" s="271">
        <v>509</v>
      </c>
      <c r="B159" s="271">
        <v>509</v>
      </c>
      <c r="C159" s="271" t="s">
        <v>214</v>
      </c>
      <c r="D159" s="271" t="s">
        <v>476</v>
      </c>
      <c r="E159" s="271">
        <v>0</v>
      </c>
      <c r="F159" s="271">
        <v>0</v>
      </c>
      <c r="G159" s="271">
        <v>0</v>
      </c>
      <c r="H159" s="271">
        <v>0</v>
      </c>
      <c r="I159" s="271">
        <v>0</v>
      </c>
      <c r="J159" s="271">
        <v>0</v>
      </c>
      <c r="K159" s="271">
        <v>0</v>
      </c>
      <c r="L159" s="271">
        <v>0</v>
      </c>
      <c r="M159" s="271">
        <v>0</v>
      </c>
      <c r="N159" s="271">
        <v>0</v>
      </c>
      <c r="O159" s="271">
        <v>0</v>
      </c>
      <c r="P159" s="271">
        <v>0</v>
      </c>
      <c r="Q159" s="271">
        <v>0</v>
      </c>
      <c r="R159" s="271">
        <v>0</v>
      </c>
      <c r="S159" s="271">
        <v>0</v>
      </c>
      <c r="T159" s="271">
        <v>0</v>
      </c>
      <c r="U159" s="271">
        <v>0</v>
      </c>
      <c r="V159" s="271">
        <v>0</v>
      </c>
      <c r="W159" s="271">
        <v>0</v>
      </c>
      <c r="X159" s="271">
        <v>0</v>
      </c>
      <c r="Y159" s="271">
        <v>0</v>
      </c>
      <c r="Z159" s="271">
        <v>0</v>
      </c>
      <c r="AA159" s="271">
        <v>0</v>
      </c>
      <c r="AB159" s="271">
        <v>0</v>
      </c>
      <c r="AC159" s="271">
        <v>0</v>
      </c>
      <c r="AD159" s="271">
        <v>0</v>
      </c>
      <c r="AE159" s="271">
        <v>0</v>
      </c>
      <c r="AF159" s="271">
        <v>0</v>
      </c>
      <c r="AG159" s="271">
        <v>0</v>
      </c>
      <c r="AH159" s="271">
        <v>0</v>
      </c>
      <c r="AI159" s="271">
        <v>0</v>
      </c>
      <c r="AJ159" s="271">
        <v>0</v>
      </c>
      <c r="AK159" s="271">
        <v>0</v>
      </c>
      <c r="AL159" s="271">
        <v>0</v>
      </c>
      <c r="AM159" s="271">
        <v>0</v>
      </c>
      <c r="AN159" s="271">
        <v>0</v>
      </c>
      <c r="AO159" s="271">
        <v>0</v>
      </c>
      <c r="AP159" s="271">
        <v>0</v>
      </c>
      <c r="AQ159" s="271">
        <v>0</v>
      </c>
      <c r="AR159" s="271">
        <v>0</v>
      </c>
      <c r="AS159" s="271">
        <v>0</v>
      </c>
      <c r="AT159" s="271">
        <v>0</v>
      </c>
      <c r="AU159" s="271">
        <v>0</v>
      </c>
      <c r="AV159" s="271">
        <v>0</v>
      </c>
      <c r="AW159" s="271">
        <v>0</v>
      </c>
      <c r="AX159" s="271">
        <v>0</v>
      </c>
      <c r="AY159" s="271">
        <v>0</v>
      </c>
      <c r="AZ159" s="271">
        <v>0</v>
      </c>
      <c r="BA159" s="271">
        <v>0</v>
      </c>
      <c r="BB159" s="271">
        <v>0</v>
      </c>
      <c r="BC159" s="271">
        <v>0</v>
      </c>
      <c r="BD159" s="271">
        <v>0</v>
      </c>
      <c r="BE159" s="271">
        <v>0</v>
      </c>
      <c r="BF159" s="271">
        <v>0</v>
      </c>
      <c r="BG159" s="271">
        <v>0</v>
      </c>
      <c r="BH159" s="271">
        <v>0</v>
      </c>
      <c r="BI159" s="271">
        <v>0</v>
      </c>
      <c r="BJ159" s="271">
        <v>0</v>
      </c>
      <c r="BK159" s="271">
        <v>0</v>
      </c>
      <c r="BL159" s="271">
        <v>0</v>
      </c>
      <c r="BM159" s="271">
        <v>0</v>
      </c>
      <c r="BN159" s="271">
        <v>0</v>
      </c>
      <c r="BO159" s="271">
        <v>0</v>
      </c>
      <c r="BP159" s="271">
        <v>0</v>
      </c>
      <c r="BQ159" s="271">
        <v>0</v>
      </c>
      <c r="BR159" s="271">
        <v>0</v>
      </c>
      <c r="BS159" s="271">
        <v>0</v>
      </c>
      <c r="BT159" s="300">
        <v>0</v>
      </c>
      <c r="BU159" s="300">
        <v>0</v>
      </c>
      <c r="BV159" s="300">
        <v>0</v>
      </c>
      <c r="BW159" s="300">
        <v>0</v>
      </c>
      <c r="BX159" s="300">
        <v>0</v>
      </c>
      <c r="BY159" s="300">
        <v>0</v>
      </c>
      <c r="BZ159" s="300">
        <v>0</v>
      </c>
      <c r="CA159" s="300">
        <v>0</v>
      </c>
      <c r="CB159" s="300">
        <v>0</v>
      </c>
      <c r="CC159" s="300">
        <v>0</v>
      </c>
      <c r="CD159" s="300">
        <v>0</v>
      </c>
      <c r="CE159" s="300">
        <v>0</v>
      </c>
    </row>
    <row r="160" spans="1:83" x14ac:dyDescent="0.3">
      <c r="A160" s="271">
        <v>510</v>
      </c>
      <c r="B160" s="271">
        <v>510</v>
      </c>
      <c r="C160" s="271" t="s">
        <v>220</v>
      </c>
      <c r="D160" s="271" t="s">
        <v>477</v>
      </c>
      <c r="E160" s="1113">
        <v>0</v>
      </c>
      <c r="F160" s="271">
        <v>53846</v>
      </c>
      <c r="G160" s="271">
        <v>0</v>
      </c>
      <c r="H160" s="1113">
        <v>0</v>
      </c>
      <c r="I160" s="271">
        <v>0</v>
      </c>
      <c r="J160" s="271">
        <v>0</v>
      </c>
      <c r="K160" s="271">
        <v>0</v>
      </c>
      <c r="L160" s="271">
        <v>390</v>
      </c>
      <c r="M160" s="1113">
        <v>75777</v>
      </c>
      <c r="N160" s="271">
        <v>0</v>
      </c>
      <c r="O160" s="271">
        <v>0</v>
      </c>
      <c r="P160" s="271">
        <v>0</v>
      </c>
      <c r="Q160" s="1113">
        <v>0</v>
      </c>
      <c r="R160" s="1113">
        <v>0</v>
      </c>
      <c r="S160" s="271">
        <v>0</v>
      </c>
      <c r="T160" s="271">
        <v>5377</v>
      </c>
      <c r="U160" s="1113">
        <v>49907</v>
      </c>
      <c r="V160" s="271">
        <v>0</v>
      </c>
      <c r="W160" s="271">
        <v>115674</v>
      </c>
      <c r="X160" s="271">
        <v>0</v>
      </c>
      <c r="Y160" s="1113">
        <v>0</v>
      </c>
      <c r="Z160" s="271">
        <v>1944</v>
      </c>
      <c r="AA160" s="271">
        <v>0</v>
      </c>
      <c r="AB160" s="271">
        <v>0</v>
      </c>
      <c r="AC160" s="1113">
        <v>4500</v>
      </c>
      <c r="AD160" s="1113">
        <v>0</v>
      </c>
      <c r="AE160" s="271">
        <v>0</v>
      </c>
      <c r="AF160" s="271">
        <v>0</v>
      </c>
      <c r="AG160" s="271">
        <v>200817</v>
      </c>
      <c r="AH160" s="271">
        <v>0</v>
      </c>
      <c r="AI160" s="271">
        <v>0</v>
      </c>
      <c r="AJ160" s="271">
        <v>3518</v>
      </c>
      <c r="AK160" s="1113">
        <v>0</v>
      </c>
      <c r="AL160" s="271">
        <v>0</v>
      </c>
      <c r="AM160" s="271">
        <v>0</v>
      </c>
      <c r="AN160" s="1113">
        <v>0</v>
      </c>
      <c r="AO160" s="271">
        <v>0</v>
      </c>
      <c r="AP160" s="271">
        <v>0</v>
      </c>
      <c r="AQ160" s="271">
        <v>179580</v>
      </c>
      <c r="AR160" s="1113">
        <v>0</v>
      </c>
      <c r="AS160" s="1113">
        <v>0</v>
      </c>
      <c r="AT160" s="1113">
        <v>0</v>
      </c>
      <c r="AU160" s="1113">
        <v>0</v>
      </c>
      <c r="AV160" s="271">
        <v>4507219</v>
      </c>
      <c r="AW160" s="1113">
        <v>1283589</v>
      </c>
      <c r="AX160" s="1113">
        <v>0</v>
      </c>
      <c r="AY160" s="1113">
        <v>500</v>
      </c>
      <c r="AZ160" s="271">
        <v>0</v>
      </c>
      <c r="BA160" s="271">
        <v>0</v>
      </c>
      <c r="BB160" s="271">
        <v>0</v>
      </c>
      <c r="BC160" s="1113">
        <v>46311</v>
      </c>
      <c r="BD160" s="271">
        <v>0</v>
      </c>
      <c r="BE160" s="271">
        <v>0</v>
      </c>
      <c r="BF160" s="1113">
        <v>0</v>
      </c>
      <c r="BG160" s="271">
        <v>9552</v>
      </c>
      <c r="BH160" s="271">
        <v>0</v>
      </c>
      <c r="BI160" s="271">
        <v>14502</v>
      </c>
      <c r="BJ160" s="271">
        <v>0</v>
      </c>
      <c r="BK160" s="271">
        <v>0</v>
      </c>
      <c r="BL160" s="271">
        <v>0</v>
      </c>
      <c r="BM160" s="271">
        <v>81248</v>
      </c>
      <c r="BN160" s="1113">
        <v>1294570</v>
      </c>
      <c r="BO160" s="271">
        <v>0</v>
      </c>
      <c r="BP160" s="271">
        <v>540117</v>
      </c>
      <c r="BQ160" s="1113">
        <v>0</v>
      </c>
      <c r="BR160" s="1113">
        <v>0</v>
      </c>
      <c r="BS160" s="271">
        <v>122512</v>
      </c>
      <c r="BT160" s="300">
        <v>0</v>
      </c>
      <c r="BU160" s="300">
        <v>215</v>
      </c>
      <c r="BV160" s="300">
        <v>0</v>
      </c>
      <c r="BW160" s="300">
        <v>0</v>
      </c>
      <c r="BX160" s="300">
        <v>248269</v>
      </c>
      <c r="BY160" s="300">
        <v>0</v>
      </c>
      <c r="BZ160" s="300">
        <v>25753</v>
      </c>
      <c r="CA160" s="300">
        <v>23014</v>
      </c>
      <c r="CB160" s="300">
        <v>0</v>
      </c>
      <c r="CC160" s="300">
        <v>0</v>
      </c>
      <c r="CD160" s="300">
        <v>0</v>
      </c>
      <c r="CE160" s="300">
        <v>0</v>
      </c>
    </row>
    <row r="161" spans="1:83" x14ac:dyDescent="0.3">
      <c r="A161" s="271">
        <v>511</v>
      </c>
      <c r="B161" s="271">
        <v>511</v>
      </c>
      <c r="C161" s="271" t="s">
        <v>225</v>
      </c>
      <c r="D161" s="271" t="s">
        <v>478</v>
      </c>
      <c r="E161" s="271">
        <v>0</v>
      </c>
      <c r="F161" s="271">
        <v>0</v>
      </c>
      <c r="G161" s="271">
        <v>0</v>
      </c>
      <c r="H161" s="1113">
        <v>0</v>
      </c>
      <c r="I161" s="271">
        <v>0</v>
      </c>
      <c r="J161" s="271">
        <v>0</v>
      </c>
      <c r="K161" s="271">
        <v>0</v>
      </c>
      <c r="L161" s="271">
        <v>0</v>
      </c>
      <c r="M161" s="1113">
        <v>194524</v>
      </c>
      <c r="N161" s="271">
        <v>0</v>
      </c>
      <c r="O161" s="271">
        <v>0</v>
      </c>
      <c r="P161" s="271">
        <v>0</v>
      </c>
      <c r="Q161" s="271">
        <v>0</v>
      </c>
      <c r="R161" s="271">
        <v>0</v>
      </c>
      <c r="S161" s="271">
        <v>0</v>
      </c>
      <c r="T161" s="271">
        <v>17555</v>
      </c>
      <c r="U161" s="271">
        <v>0</v>
      </c>
      <c r="V161" s="271">
        <v>0</v>
      </c>
      <c r="W161" s="271">
        <v>0</v>
      </c>
      <c r="X161" s="271">
        <v>0</v>
      </c>
      <c r="Y161" s="1113">
        <v>0</v>
      </c>
      <c r="Z161" s="271">
        <v>0</v>
      </c>
      <c r="AA161" s="271">
        <v>0</v>
      </c>
      <c r="AB161" s="271">
        <v>0</v>
      </c>
      <c r="AC161" s="271">
        <v>0</v>
      </c>
      <c r="AD161" s="271">
        <v>0</v>
      </c>
      <c r="AE161" s="271">
        <v>0</v>
      </c>
      <c r="AF161" s="271">
        <v>0</v>
      </c>
      <c r="AG161" s="271">
        <v>1308242</v>
      </c>
      <c r="AH161" s="271">
        <v>0</v>
      </c>
      <c r="AI161" s="271">
        <v>0</v>
      </c>
      <c r="AJ161" s="271">
        <v>0</v>
      </c>
      <c r="AK161" s="271">
        <v>0</v>
      </c>
      <c r="AL161" s="271">
        <v>0</v>
      </c>
      <c r="AM161" s="271">
        <v>0</v>
      </c>
      <c r="AN161" s="1113">
        <v>0</v>
      </c>
      <c r="AO161" s="271">
        <v>0</v>
      </c>
      <c r="AP161" s="271">
        <v>0</v>
      </c>
      <c r="AQ161" s="271">
        <v>549328</v>
      </c>
      <c r="AR161" s="271">
        <v>0</v>
      </c>
      <c r="AS161" s="271">
        <v>0</v>
      </c>
      <c r="AT161" s="271">
        <v>0</v>
      </c>
      <c r="AU161" s="271">
        <v>0</v>
      </c>
      <c r="AV161" s="271">
        <v>0</v>
      </c>
      <c r="AW161" s="271">
        <v>6997034</v>
      </c>
      <c r="AX161" s="271">
        <v>0</v>
      </c>
      <c r="AY161" s="271">
        <v>0</v>
      </c>
      <c r="AZ161" s="271">
        <v>0</v>
      </c>
      <c r="BA161" s="271">
        <v>0</v>
      </c>
      <c r="BB161" s="271">
        <v>0</v>
      </c>
      <c r="BC161" s="271">
        <v>0</v>
      </c>
      <c r="BD161" s="271">
        <v>0</v>
      </c>
      <c r="BE161" s="271">
        <v>0</v>
      </c>
      <c r="BF161" s="271">
        <v>0</v>
      </c>
      <c r="BG161" s="271">
        <v>0</v>
      </c>
      <c r="BH161" s="271">
        <v>0</v>
      </c>
      <c r="BI161" s="271">
        <v>0</v>
      </c>
      <c r="BJ161" s="271">
        <v>0</v>
      </c>
      <c r="BK161" s="271">
        <v>0</v>
      </c>
      <c r="BL161" s="271">
        <v>0</v>
      </c>
      <c r="BM161" s="271">
        <v>0</v>
      </c>
      <c r="BN161" s="271">
        <v>0</v>
      </c>
      <c r="BO161" s="271">
        <v>0</v>
      </c>
      <c r="BP161" s="271">
        <v>0</v>
      </c>
      <c r="BQ161" s="271">
        <v>7077071</v>
      </c>
      <c r="BR161" s="271">
        <v>0</v>
      </c>
      <c r="BS161" s="271">
        <v>436058</v>
      </c>
      <c r="BT161" s="300">
        <v>0</v>
      </c>
      <c r="BU161" s="300">
        <v>0</v>
      </c>
      <c r="BV161" s="300">
        <v>0</v>
      </c>
      <c r="BW161" s="300">
        <v>0</v>
      </c>
      <c r="BX161" s="300">
        <v>0</v>
      </c>
      <c r="BY161" s="300">
        <v>0</v>
      </c>
      <c r="BZ161" s="300">
        <v>0</v>
      </c>
      <c r="CA161" s="300">
        <v>174378</v>
      </c>
      <c r="CB161" s="300">
        <v>0</v>
      </c>
      <c r="CC161" s="300">
        <v>0</v>
      </c>
      <c r="CD161" s="300">
        <v>0</v>
      </c>
      <c r="CE161" s="300">
        <v>159270</v>
      </c>
    </row>
    <row r="162" spans="1:83" x14ac:dyDescent="0.3">
      <c r="A162" s="271">
        <v>512</v>
      </c>
      <c r="B162" s="271">
        <v>512</v>
      </c>
      <c r="C162" s="271" t="s">
        <v>252</v>
      </c>
      <c r="D162" s="271" t="s">
        <v>479</v>
      </c>
      <c r="E162" s="271">
        <v>0</v>
      </c>
      <c r="F162" s="271">
        <v>0</v>
      </c>
      <c r="G162" s="271">
        <v>0</v>
      </c>
      <c r="H162" s="271">
        <v>0</v>
      </c>
      <c r="I162" s="271">
        <v>0</v>
      </c>
      <c r="J162" s="271">
        <v>0</v>
      </c>
      <c r="K162" s="271">
        <v>0</v>
      </c>
      <c r="L162" s="271">
        <v>0</v>
      </c>
      <c r="M162" s="1113">
        <v>26088</v>
      </c>
      <c r="N162" s="271">
        <v>1510450</v>
      </c>
      <c r="O162" s="1113">
        <v>0</v>
      </c>
      <c r="P162" s="271">
        <v>0</v>
      </c>
      <c r="Q162" s="271">
        <v>0</v>
      </c>
      <c r="R162" s="1113">
        <v>0</v>
      </c>
      <c r="S162" s="271">
        <v>0</v>
      </c>
      <c r="T162" s="1113">
        <v>0</v>
      </c>
      <c r="U162" s="271">
        <v>0</v>
      </c>
      <c r="V162" s="271">
        <v>0</v>
      </c>
      <c r="W162" s="1113">
        <v>0</v>
      </c>
      <c r="X162" s="271">
        <v>0</v>
      </c>
      <c r="Y162" s="271">
        <v>0</v>
      </c>
      <c r="Z162" s="271">
        <v>0</v>
      </c>
      <c r="AA162" s="271">
        <v>0</v>
      </c>
      <c r="AB162" s="271">
        <v>0</v>
      </c>
      <c r="AC162" s="271">
        <v>0</v>
      </c>
      <c r="AD162" s="271">
        <v>21731</v>
      </c>
      <c r="AE162" s="271">
        <v>0</v>
      </c>
      <c r="AF162" s="271">
        <v>0</v>
      </c>
      <c r="AG162" s="271">
        <v>31455</v>
      </c>
      <c r="AH162" s="271">
        <v>0</v>
      </c>
      <c r="AI162" s="271">
        <v>0</v>
      </c>
      <c r="AJ162" s="271">
        <v>25946</v>
      </c>
      <c r="AK162" s="271">
        <v>0</v>
      </c>
      <c r="AL162" s="271">
        <v>0</v>
      </c>
      <c r="AM162" s="271">
        <v>0</v>
      </c>
      <c r="AN162" s="1113">
        <v>0</v>
      </c>
      <c r="AO162" s="271">
        <v>0</v>
      </c>
      <c r="AP162" s="271">
        <v>0</v>
      </c>
      <c r="AQ162" s="271">
        <v>0</v>
      </c>
      <c r="AR162" s="271">
        <v>0</v>
      </c>
      <c r="AS162" s="271">
        <v>0</v>
      </c>
      <c r="AT162" s="271">
        <v>0</v>
      </c>
      <c r="AU162" s="271">
        <v>0</v>
      </c>
      <c r="AV162" s="271">
        <v>30372513</v>
      </c>
      <c r="AW162" s="1113">
        <v>10356918</v>
      </c>
      <c r="AX162" s="271">
        <v>0</v>
      </c>
      <c r="AY162" s="271">
        <v>0</v>
      </c>
      <c r="AZ162" s="271">
        <v>0</v>
      </c>
      <c r="BA162" s="271">
        <v>0</v>
      </c>
      <c r="BB162" s="271">
        <v>0</v>
      </c>
      <c r="BC162" s="271">
        <v>0</v>
      </c>
      <c r="BD162" s="271">
        <v>0</v>
      </c>
      <c r="BE162" s="271">
        <v>0</v>
      </c>
      <c r="BF162" s="271">
        <v>0</v>
      </c>
      <c r="BG162" s="271">
        <v>0</v>
      </c>
      <c r="BH162" s="271">
        <v>0</v>
      </c>
      <c r="BI162" s="1113">
        <v>0</v>
      </c>
      <c r="BJ162" s="271">
        <v>0</v>
      </c>
      <c r="BK162" s="271">
        <v>0</v>
      </c>
      <c r="BL162" s="271">
        <v>0</v>
      </c>
      <c r="BM162" s="271">
        <v>0</v>
      </c>
      <c r="BN162" s="271">
        <v>0</v>
      </c>
      <c r="BO162" s="271">
        <v>0</v>
      </c>
      <c r="BP162" s="271">
        <v>0</v>
      </c>
      <c r="BQ162" s="271">
        <v>348469</v>
      </c>
      <c r="BR162" s="271">
        <v>0</v>
      </c>
      <c r="BS162" s="271">
        <v>1133611</v>
      </c>
      <c r="BT162" s="300">
        <v>0</v>
      </c>
      <c r="BU162" s="300">
        <v>0</v>
      </c>
      <c r="BV162" s="300">
        <v>0</v>
      </c>
      <c r="BW162" s="300">
        <v>0</v>
      </c>
      <c r="BX162" s="300">
        <v>0</v>
      </c>
      <c r="BY162" s="300">
        <v>0</v>
      </c>
      <c r="BZ162" s="300">
        <v>0</v>
      </c>
      <c r="CA162" s="300">
        <v>0</v>
      </c>
      <c r="CB162" s="300">
        <v>0</v>
      </c>
      <c r="CC162" s="300">
        <v>0</v>
      </c>
      <c r="CD162" s="300">
        <v>0</v>
      </c>
      <c r="CE162" s="300">
        <v>0</v>
      </c>
    </row>
    <row r="163" spans="1:83" x14ac:dyDescent="0.3">
      <c r="A163" s="271">
        <v>513</v>
      </c>
      <c r="B163" s="271">
        <v>513</v>
      </c>
      <c r="C163" s="271" t="s">
        <v>263</v>
      </c>
      <c r="D163" s="271" t="s">
        <v>480</v>
      </c>
      <c r="E163" s="271">
        <v>0</v>
      </c>
      <c r="F163" s="271">
        <v>0</v>
      </c>
      <c r="G163" s="271">
        <v>0</v>
      </c>
      <c r="H163" s="1113">
        <v>0</v>
      </c>
      <c r="I163" s="271">
        <v>0</v>
      </c>
      <c r="J163" s="271">
        <v>0</v>
      </c>
      <c r="K163" s="271">
        <v>0</v>
      </c>
      <c r="L163" s="271">
        <v>0</v>
      </c>
      <c r="M163" s="271">
        <v>0</v>
      </c>
      <c r="N163" s="271">
        <v>0</v>
      </c>
      <c r="O163" s="271">
        <v>0</v>
      </c>
      <c r="P163" s="271">
        <v>0</v>
      </c>
      <c r="Q163" s="271">
        <v>0</v>
      </c>
      <c r="R163" s="271">
        <v>0</v>
      </c>
      <c r="S163" s="271">
        <v>0</v>
      </c>
      <c r="T163" s="271">
        <v>0</v>
      </c>
      <c r="U163" s="271">
        <v>0</v>
      </c>
      <c r="V163" s="271">
        <v>0</v>
      </c>
      <c r="W163" s="271">
        <v>0</v>
      </c>
      <c r="X163" s="271">
        <v>0</v>
      </c>
      <c r="Y163" s="271">
        <v>0</v>
      </c>
      <c r="Z163" s="271">
        <v>0</v>
      </c>
      <c r="AA163" s="271">
        <v>0</v>
      </c>
      <c r="AB163" s="271">
        <v>0</v>
      </c>
      <c r="AC163" s="271">
        <v>0</v>
      </c>
      <c r="AD163" s="271">
        <v>0</v>
      </c>
      <c r="AE163" s="271">
        <v>0</v>
      </c>
      <c r="AF163" s="271">
        <v>0</v>
      </c>
      <c r="AG163" s="271">
        <v>0</v>
      </c>
      <c r="AH163" s="271">
        <v>0</v>
      </c>
      <c r="AI163" s="271">
        <v>0</v>
      </c>
      <c r="AJ163" s="271">
        <v>0</v>
      </c>
      <c r="AK163" s="271">
        <v>0</v>
      </c>
      <c r="AL163" s="271">
        <v>0</v>
      </c>
      <c r="AM163" s="271">
        <v>0</v>
      </c>
      <c r="AN163" s="271">
        <v>0</v>
      </c>
      <c r="AO163" s="271">
        <v>0</v>
      </c>
      <c r="AP163" s="271">
        <v>0</v>
      </c>
      <c r="AQ163" s="271">
        <v>0</v>
      </c>
      <c r="AR163" s="271">
        <v>0</v>
      </c>
      <c r="AS163" s="271">
        <v>0</v>
      </c>
      <c r="AT163" s="271">
        <v>0</v>
      </c>
      <c r="AU163" s="271">
        <v>0</v>
      </c>
      <c r="AV163" s="271">
        <v>0</v>
      </c>
      <c r="AW163" s="271">
        <v>0</v>
      </c>
      <c r="AX163" s="271">
        <v>0</v>
      </c>
      <c r="AY163" s="271">
        <v>0</v>
      </c>
      <c r="AZ163" s="271">
        <v>0</v>
      </c>
      <c r="BA163" s="271">
        <v>0</v>
      </c>
      <c r="BB163" s="271">
        <v>0</v>
      </c>
      <c r="BC163" s="271">
        <v>0</v>
      </c>
      <c r="BD163" s="271">
        <v>0</v>
      </c>
      <c r="BE163" s="271">
        <v>0</v>
      </c>
      <c r="BF163" s="271">
        <v>0</v>
      </c>
      <c r="BG163" s="271">
        <v>0</v>
      </c>
      <c r="BH163" s="271">
        <v>0</v>
      </c>
      <c r="BI163" s="271">
        <v>0</v>
      </c>
      <c r="BJ163" s="271">
        <v>0</v>
      </c>
      <c r="BK163" s="271">
        <v>0</v>
      </c>
      <c r="BL163" s="271">
        <v>0</v>
      </c>
      <c r="BM163" s="271">
        <v>0</v>
      </c>
      <c r="BN163" s="271">
        <v>0</v>
      </c>
      <c r="BO163" s="271">
        <v>0</v>
      </c>
      <c r="BP163" s="271">
        <v>0</v>
      </c>
      <c r="BQ163" s="271">
        <v>0</v>
      </c>
      <c r="BR163" s="271">
        <v>0</v>
      </c>
      <c r="BS163" s="271">
        <v>0</v>
      </c>
      <c r="BT163" s="300">
        <v>0</v>
      </c>
      <c r="BU163" s="300">
        <v>0</v>
      </c>
      <c r="BV163" s="300">
        <v>0</v>
      </c>
      <c r="BW163" s="300">
        <v>0</v>
      </c>
      <c r="BX163" s="300">
        <v>0</v>
      </c>
      <c r="BY163" s="300">
        <v>0</v>
      </c>
      <c r="BZ163" s="300">
        <v>0</v>
      </c>
      <c r="CA163" s="300">
        <v>0</v>
      </c>
      <c r="CB163" s="300">
        <v>0</v>
      </c>
      <c r="CC163" s="300">
        <v>0</v>
      </c>
      <c r="CD163" s="300">
        <v>0</v>
      </c>
      <c r="CE163" s="300">
        <v>0</v>
      </c>
    </row>
    <row r="164" spans="1:83" x14ac:dyDescent="0.3">
      <c r="A164" s="271">
        <v>514</v>
      </c>
      <c r="B164" s="271">
        <v>514</v>
      </c>
      <c r="C164" s="271" t="s">
        <v>264</v>
      </c>
      <c r="D164" s="271" t="s">
        <v>481</v>
      </c>
      <c r="E164" s="271">
        <v>0</v>
      </c>
      <c r="F164" s="271">
        <v>0</v>
      </c>
      <c r="G164" s="271">
        <v>0</v>
      </c>
      <c r="H164" s="1113">
        <v>0</v>
      </c>
      <c r="I164" s="271">
        <v>0</v>
      </c>
      <c r="J164" s="271">
        <v>0</v>
      </c>
      <c r="K164" s="271">
        <v>0</v>
      </c>
      <c r="L164" s="271">
        <v>0</v>
      </c>
      <c r="M164" s="271">
        <v>369670</v>
      </c>
      <c r="N164" s="271">
        <v>0</v>
      </c>
      <c r="O164" s="271">
        <v>0</v>
      </c>
      <c r="P164" s="271">
        <v>0</v>
      </c>
      <c r="Q164" s="271">
        <v>0</v>
      </c>
      <c r="R164" s="271">
        <v>2387240</v>
      </c>
      <c r="S164" s="271">
        <v>0</v>
      </c>
      <c r="T164" s="271">
        <v>0</v>
      </c>
      <c r="U164" s="271">
        <v>0</v>
      </c>
      <c r="V164" s="271">
        <v>0</v>
      </c>
      <c r="W164" s="271">
        <v>0</v>
      </c>
      <c r="X164" s="271">
        <v>0</v>
      </c>
      <c r="Y164" s="1113">
        <v>0</v>
      </c>
      <c r="Z164" s="271">
        <v>0</v>
      </c>
      <c r="AA164" s="271">
        <v>0</v>
      </c>
      <c r="AB164" s="271">
        <v>0</v>
      </c>
      <c r="AC164" s="271">
        <v>0</v>
      </c>
      <c r="AD164" s="271">
        <v>0</v>
      </c>
      <c r="AE164" s="271">
        <v>0</v>
      </c>
      <c r="AF164" s="271">
        <v>0</v>
      </c>
      <c r="AG164" s="271">
        <v>2000000</v>
      </c>
      <c r="AH164" s="271">
        <v>0</v>
      </c>
      <c r="AI164" s="271">
        <v>0</v>
      </c>
      <c r="AJ164" s="271">
        <v>0</v>
      </c>
      <c r="AK164" s="271">
        <v>0</v>
      </c>
      <c r="AL164" s="271">
        <v>0</v>
      </c>
      <c r="AM164" s="271">
        <v>0</v>
      </c>
      <c r="AN164" s="271">
        <v>0</v>
      </c>
      <c r="AO164" s="271">
        <v>0</v>
      </c>
      <c r="AP164" s="271">
        <v>0</v>
      </c>
      <c r="AQ164" s="271">
        <v>0</v>
      </c>
      <c r="AR164" s="271">
        <v>0</v>
      </c>
      <c r="AS164" s="271">
        <v>0</v>
      </c>
      <c r="AT164" s="271">
        <v>0</v>
      </c>
      <c r="AU164" s="271">
        <v>0</v>
      </c>
      <c r="AV164" s="271">
        <v>0</v>
      </c>
      <c r="AW164" s="271">
        <v>4993763</v>
      </c>
      <c r="AX164" s="271">
        <v>0</v>
      </c>
      <c r="AY164" s="271">
        <v>0</v>
      </c>
      <c r="AZ164" s="271">
        <v>0</v>
      </c>
      <c r="BA164" s="271">
        <v>0</v>
      </c>
      <c r="BB164" s="271">
        <v>0</v>
      </c>
      <c r="BC164" s="271">
        <v>0</v>
      </c>
      <c r="BD164" s="271">
        <v>0</v>
      </c>
      <c r="BE164" s="271">
        <v>0</v>
      </c>
      <c r="BF164" s="271">
        <v>0</v>
      </c>
      <c r="BG164" s="271">
        <v>0</v>
      </c>
      <c r="BH164" s="1113">
        <v>0</v>
      </c>
      <c r="BI164" s="271">
        <v>0</v>
      </c>
      <c r="BJ164" s="271">
        <v>0</v>
      </c>
      <c r="BK164" s="271">
        <v>0</v>
      </c>
      <c r="BL164" s="271">
        <v>0</v>
      </c>
      <c r="BM164" s="271">
        <v>0</v>
      </c>
      <c r="BN164" s="271">
        <v>0</v>
      </c>
      <c r="BO164" s="271">
        <v>84000</v>
      </c>
      <c r="BP164" s="271">
        <v>0</v>
      </c>
      <c r="BQ164" s="271">
        <v>2007139</v>
      </c>
      <c r="BR164" s="271">
        <v>0</v>
      </c>
      <c r="BS164" s="271">
        <v>0</v>
      </c>
      <c r="BT164" s="300">
        <v>0</v>
      </c>
      <c r="BU164" s="300">
        <v>0</v>
      </c>
      <c r="BV164" s="300">
        <v>0</v>
      </c>
      <c r="BW164" s="300">
        <v>0</v>
      </c>
      <c r="BX164" s="300">
        <v>0</v>
      </c>
      <c r="BY164" s="300">
        <v>0</v>
      </c>
      <c r="BZ164" s="300">
        <v>0</v>
      </c>
      <c r="CA164" s="300">
        <v>0</v>
      </c>
      <c r="CB164" s="300">
        <v>0</v>
      </c>
      <c r="CC164" s="300">
        <v>0</v>
      </c>
      <c r="CD164" s="300">
        <v>0</v>
      </c>
      <c r="CE164" s="300">
        <v>0</v>
      </c>
    </row>
    <row r="165" spans="1:83" x14ac:dyDescent="0.3">
      <c r="A165" s="271">
        <v>515</v>
      </c>
      <c r="B165" s="271">
        <v>515</v>
      </c>
      <c r="C165" s="271" t="s">
        <v>277</v>
      </c>
      <c r="D165" s="271" t="s">
        <v>482</v>
      </c>
      <c r="E165" s="271">
        <v>204424</v>
      </c>
      <c r="F165" s="1113">
        <v>12755</v>
      </c>
      <c r="G165" s="1113">
        <v>0</v>
      </c>
      <c r="H165" s="1113">
        <v>542317</v>
      </c>
      <c r="I165" s="271">
        <v>0</v>
      </c>
      <c r="J165" s="271">
        <v>0</v>
      </c>
      <c r="K165" s="271">
        <v>0</v>
      </c>
      <c r="L165" s="1113">
        <v>0</v>
      </c>
      <c r="M165" s="1113">
        <v>0</v>
      </c>
      <c r="N165" s="271">
        <v>0</v>
      </c>
      <c r="O165" s="271">
        <v>0</v>
      </c>
      <c r="P165" s="271">
        <v>0</v>
      </c>
      <c r="Q165" s="1113">
        <v>0</v>
      </c>
      <c r="R165" s="1113">
        <v>0</v>
      </c>
      <c r="S165" s="271">
        <v>0</v>
      </c>
      <c r="T165" s="271">
        <v>0</v>
      </c>
      <c r="U165" s="271">
        <v>189661</v>
      </c>
      <c r="V165" s="271">
        <v>0</v>
      </c>
      <c r="W165" s="271">
        <v>1310387</v>
      </c>
      <c r="X165" s="271">
        <v>0</v>
      </c>
      <c r="Y165" s="271">
        <v>0</v>
      </c>
      <c r="Z165" s="271">
        <v>0</v>
      </c>
      <c r="AA165" s="271">
        <v>30686</v>
      </c>
      <c r="AB165" s="271">
        <v>0</v>
      </c>
      <c r="AC165" s="1113">
        <v>0</v>
      </c>
      <c r="AD165" s="271">
        <v>0</v>
      </c>
      <c r="AE165" s="271">
        <v>0</v>
      </c>
      <c r="AF165" s="271">
        <v>0</v>
      </c>
      <c r="AG165" s="271">
        <v>69725203</v>
      </c>
      <c r="AH165" s="1113">
        <v>0</v>
      </c>
      <c r="AI165" s="1113">
        <v>0</v>
      </c>
      <c r="AJ165" s="271">
        <v>129875</v>
      </c>
      <c r="AK165" s="1113">
        <v>0</v>
      </c>
      <c r="AL165" s="271">
        <v>0</v>
      </c>
      <c r="AM165" s="271">
        <v>0</v>
      </c>
      <c r="AN165" s="1113">
        <v>0</v>
      </c>
      <c r="AO165" s="271">
        <v>17696444</v>
      </c>
      <c r="AP165" s="271">
        <v>0</v>
      </c>
      <c r="AQ165" s="271">
        <v>0</v>
      </c>
      <c r="AR165" s="271">
        <v>0</v>
      </c>
      <c r="AS165" s="271">
        <v>0</v>
      </c>
      <c r="AT165" s="271">
        <v>0</v>
      </c>
      <c r="AU165" s="271">
        <v>371872</v>
      </c>
      <c r="AV165" s="271">
        <v>240099665</v>
      </c>
      <c r="AW165" s="1113">
        <v>4806670</v>
      </c>
      <c r="AX165" s="271">
        <v>0</v>
      </c>
      <c r="AY165" s="271">
        <v>0</v>
      </c>
      <c r="AZ165" s="1113">
        <v>977796</v>
      </c>
      <c r="BA165" s="271">
        <v>0</v>
      </c>
      <c r="BB165" s="271">
        <v>0</v>
      </c>
      <c r="BC165" s="1113">
        <v>89132</v>
      </c>
      <c r="BD165" s="271">
        <v>0</v>
      </c>
      <c r="BE165" s="271">
        <v>0</v>
      </c>
      <c r="BF165" s="271">
        <v>0</v>
      </c>
      <c r="BG165" s="271">
        <v>7540422</v>
      </c>
      <c r="BH165" s="271">
        <v>0</v>
      </c>
      <c r="BI165" s="271">
        <v>0</v>
      </c>
      <c r="BJ165" s="271">
        <v>0</v>
      </c>
      <c r="BK165" s="1113">
        <v>0</v>
      </c>
      <c r="BL165" s="271">
        <v>0</v>
      </c>
      <c r="BM165" s="271">
        <v>32865339</v>
      </c>
      <c r="BN165" s="271">
        <v>1553056</v>
      </c>
      <c r="BO165" s="1113">
        <v>1700</v>
      </c>
      <c r="BP165" s="271">
        <v>47240177</v>
      </c>
      <c r="BQ165" s="1113">
        <v>74337191</v>
      </c>
      <c r="BR165" s="271">
        <v>1057</v>
      </c>
      <c r="BS165" s="271">
        <v>0</v>
      </c>
      <c r="BT165" s="300">
        <v>0</v>
      </c>
      <c r="BU165" s="300">
        <v>28110010</v>
      </c>
      <c r="BV165" s="300">
        <v>0</v>
      </c>
      <c r="BW165" s="300">
        <v>0</v>
      </c>
      <c r="BX165" s="300">
        <v>0</v>
      </c>
      <c r="BY165" s="300">
        <v>0</v>
      </c>
      <c r="BZ165" s="300">
        <v>204461</v>
      </c>
      <c r="CA165" s="300">
        <v>0</v>
      </c>
      <c r="CB165" s="300">
        <v>0</v>
      </c>
      <c r="CC165" s="300">
        <v>118409</v>
      </c>
      <c r="CD165" s="300">
        <v>0</v>
      </c>
      <c r="CE165" s="300">
        <v>0</v>
      </c>
    </row>
    <row r="166" spans="1:83" x14ac:dyDescent="0.3">
      <c r="A166" s="271">
        <v>516</v>
      </c>
      <c r="B166" s="271">
        <v>516</v>
      </c>
      <c r="C166" s="271" t="s">
        <v>278</v>
      </c>
      <c r="D166" s="271" t="s">
        <v>483</v>
      </c>
      <c r="E166" s="1113">
        <v>8359807</v>
      </c>
      <c r="F166" s="1113">
        <v>15725530</v>
      </c>
      <c r="G166" s="1113">
        <v>0</v>
      </c>
      <c r="H166" s="1113">
        <v>12445435</v>
      </c>
      <c r="I166" s="271">
        <v>8079066</v>
      </c>
      <c r="J166" s="1113">
        <v>1069000</v>
      </c>
      <c r="K166" s="1113">
        <v>0</v>
      </c>
      <c r="L166" s="1113">
        <v>3191448</v>
      </c>
      <c r="M166" s="1113">
        <v>55098017</v>
      </c>
      <c r="N166" s="271">
        <v>0</v>
      </c>
      <c r="O166" s="1113">
        <v>0</v>
      </c>
      <c r="P166" s="271">
        <v>0</v>
      </c>
      <c r="Q166" s="1113">
        <v>2794047</v>
      </c>
      <c r="R166" s="1113">
        <v>61507410</v>
      </c>
      <c r="S166" s="271">
        <v>0</v>
      </c>
      <c r="T166" s="1113">
        <v>5073033</v>
      </c>
      <c r="U166" s="1113">
        <v>4618169</v>
      </c>
      <c r="V166" s="1113">
        <v>1837949</v>
      </c>
      <c r="W166" s="1113">
        <v>33503594</v>
      </c>
      <c r="X166" s="1113">
        <v>0</v>
      </c>
      <c r="Y166" s="1113">
        <v>8210493</v>
      </c>
      <c r="Z166" s="271">
        <v>14448082</v>
      </c>
      <c r="AA166" s="1113">
        <v>82513591</v>
      </c>
      <c r="AB166" s="1113">
        <v>2780186</v>
      </c>
      <c r="AC166" s="1113">
        <v>3198631</v>
      </c>
      <c r="AD166" s="1113">
        <v>0</v>
      </c>
      <c r="AE166" s="1113">
        <v>0</v>
      </c>
      <c r="AF166" s="271">
        <v>0</v>
      </c>
      <c r="AG166" s="271">
        <v>197461870</v>
      </c>
      <c r="AH166" s="1113">
        <v>0</v>
      </c>
      <c r="AI166" s="1113">
        <v>2337098</v>
      </c>
      <c r="AJ166" s="1113">
        <v>2923448</v>
      </c>
      <c r="AK166" s="1113">
        <v>2871297</v>
      </c>
      <c r="AL166" s="271">
        <v>268756</v>
      </c>
      <c r="AM166" s="271">
        <v>0</v>
      </c>
      <c r="AN166" s="1113">
        <v>0</v>
      </c>
      <c r="AO166" s="1113">
        <v>23463499</v>
      </c>
      <c r="AP166" s="1113">
        <v>0</v>
      </c>
      <c r="AQ166" s="271">
        <v>25825160</v>
      </c>
      <c r="AR166" s="1113">
        <v>0</v>
      </c>
      <c r="AS166" s="1113">
        <v>0</v>
      </c>
      <c r="AT166" s="1113">
        <v>6691766</v>
      </c>
      <c r="AU166" s="1113">
        <v>4058459</v>
      </c>
      <c r="AV166" s="271">
        <v>63246490</v>
      </c>
      <c r="AW166" s="1113">
        <v>365052201</v>
      </c>
      <c r="AX166" s="1113">
        <v>6758148</v>
      </c>
      <c r="AY166" s="1113">
        <v>4696454</v>
      </c>
      <c r="AZ166" s="1113">
        <v>2158042</v>
      </c>
      <c r="BA166" s="271">
        <v>4421601</v>
      </c>
      <c r="BB166" s="271">
        <v>0</v>
      </c>
      <c r="BC166" s="1113">
        <v>18306809</v>
      </c>
      <c r="BD166" s="271">
        <v>4216086</v>
      </c>
      <c r="BE166" s="1113">
        <v>0</v>
      </c>
      <c r="BF166" s="1113">
        <v>1540777</v>
      </c>
      <c r="BG166" s="1113">
        <v>34539226</v>
      </c>
      <c r="BH166" s="1113">
        <v>0</v>
      </c>
      <c r="BI166" s="1113">
        <v>44339402</v>
      </c>
      <c r="BJ166" s="1113">
        <v>9244764</v>
      </c>
      <c r="BK166" s="1113">
        <v>0</v>
      </c>
      <c r="BL166" s="271">
        <v>0</v>
      </c>
      <c r="BM166" s="1113">
        <v>82697128</v>
      </c>
      <c r="BN166" s="1113">
        <v>103138297</v>
      </c>
      <c r="BO166" s="1113">
        <v>22451868</v>
      </c>
      <c r="BP166" s="1113">
        <v>37813328</v>
      </c>
      <c r="BQ166" s="1113">
        <v>0</v>
      </c>
      <c r="BR166" s="1113">
        <v>4659784</v>
      </c>
      <c r="BS166" s="271">
        <v>34853285</v>
      </c>
      <c r="BT166" s="300">
        <v>0</v>
      </c>
      <c r="BU166" s="300">
        <v>35302307</v>
      </c>
      <c r="BV166" s="300">
        <v>4775036</v>
      </c>
      <c r="BW166" s="300">
        <v>0</v>
      </c>
      <c r="BX166" s="300">
        <v>23947017</v>
      </c>
      <c r="BY166" s="300">
        <v>0</v>
      </c>
      <c r="BZ166" s="300">
        <v>143594576</v>
      </c>
      <c r="CA166" s="300">
        <v>3671506</v>
      </c>
      <c r="CB166" s="300">
        <v>0</v>
      </c>
      <c r="CC166" s="300">
        <v>2049524</v>
      </c>
      <c r="CD166" s="300">
        <v>0</v>
      </c>
      <c r="CE166" s="300">
        <v>0</v>
      </c>
    </row>
    <row r="167" spans="1:83" x14ac:dyDescent="0.3">
      <c r="A167" s="271">
        <v>517</v>
      </c>
      <c r="B167" s="271">
        <v>517</v>
      </c>
      <c r="C167" s="271" t="s">
        <v>279</v>
      </c>
      <c r="D167" s="271" t="s">
        <v>484</v>
      </c>
      <c r="E167" s="1113">
        <v>0</v>
      </c>
      <c r="F167" s="271">
        <v>0</v>
      </c>
      <c r="G167" s="271">
        <v>0</v>
      </c>
      <c r="H167" s="271">
        <v>0</v>
      </c>
      <c r="I167" s="271">
        <v>0</v>
      </c>
      <c r="J167" s="271">
        <v>0</v>
      </c>
      <c r="K167" s="1113">
        <v>0</v>
      </c>
      <c r="L167" s="271">
        <v>87210</v>
      </c>
      <c r="M167" s="271">
        <v>0</v>
      </c>
      <c r="N167" s="271">
        <v>0</v>
      </c>
      <c r="O167" s="271">
        <v>0</v>
      </c>
      <c r="P167" s="271">
        <v>0</v>
      </c>
      <c r="Q167" s="271">
        <v>0</v>
      </c>
      <c r="R167" s="271">
        <v>0</v>
      </c>
      <c r="S167" s="271">
        <v>0</v>
      </c>
      <c r="T167" s="271">
        <v>0</v>
      </c>
      <c r="U167" s="271">
        <v>0</v>
      </c>
      <c r="V167" s="271">
        <v>0</v>
      </c>
      <c r="W167" s="271">
        <v>0</v>
      </c>
      <c r="X167" s="271">
        <v>0</v>
      </c>
      <c r="Y167" s="271">
        <v>0</v>
      </c>
      <c r="Z167" s="271">
        <v>0</v>
      </c>
      <c r="AA167" s="271">
        <v>51317174</v>
      </c>
      <c r="AB167" s="1113">
        <v>0</v>
      </c>
      <c r="AC167" s="271">
        <v>0</v>
      </c>
      <c r="AD167" s="271">
        <v>0</v>
      </c>
      <c r="AE167" s="271">
        <v>0</v>
      </c>
      <c r="AF167" s="271">
        <v>0</v>
      </c>
      <c r="AG167" s="271">
        <v>0</v>
      </c>
      <c r="AH167" s="271">
        <v>0</v>
      </c>
      <c r="AI167" s="271">
        <v>0</v>
      </c>
      <c r="AJ167" s="271">
        <v>0</v>
      </c>
      <c r="AK167" s="1113">
        <v>0</v>
      </c>
      <c r="AL167" s="271">
        <v>0</v>
      </c>
      <c r="AM167" s="271">
        <v>0</v>
      </c>
      <c r="AN167" s="271">
        <v>7639707</v>
      </c>
      <c r="AO167" s="271">
        <v>16268480</v>
      </c>
      <c r="AP167" s="271">
        <v>0</v>
      </c>
      <c r="AQ167" s="271">
        <v>0</v>
      </c>
      <c r="AR167" s="271">
        <v>0</v>
      </c>
      <c r="AS167" s="271">
        <v>0</v>
      </c>
      <c r="AT167" s="271">
        <v>0</v>
      </c>
      <c r="AU167" s="271">
        <v>0</v>
      </c>
      <c r="AV167" s="271">
        <v>628850394</v>
      </c>
      <c r="AW167" s="1113">
        <v>0</v>
      </c>
      <c r="AX167" s="271">
        <v>0</v>
      </c>
      <c r="AY167" s="271">
        <v>0</v>
      </c>
      <c r="AZ167" s="271">
        <v>0</v>
      </c>
      <c r="BA167" s="271">
        <v>0</v>
      </c>
      <c r="BB167" s="271">
        <v>0</v>
      </c>
      <c r="BC167" s="271">
        <v>0</v>
      </c>
      <c r="BD167" s="271">
        <v>0</v>
      </c>
      <c r="BE167" s="271">
        <v>0</v>
      </c>
      <c r="BF167" s="271">
        <v>0</v>
      </c>
      <c r="BG167" s="271">
        <v>0</v>
      </c>
      <c r="BH167" s="271">
        <v>0</v>
      </c>
      <c r="BI167" s="271">
        <v>0</v>
      </c>
      <c r="BJ167" s="271">
        <v>0</v>
      </c>
      <c r="BK167" s="271">
        <v>0</v>
      </c>
      <c r="BL167" s="271">
        <v>0</v>
      </c>
      <c r="BM167" s="271">
        <v>0</v>
      </c>
      <c r="BN167" s="271">
        <v>0</v>
      </c>
      <c r="BO167" s="271">
        <v>0</v>
      </c>
      <c r="BP167" s="271">
        <v>99034286</v>
      </c>
      <c r="BQ167" s="271">
        <v>380320090</v>
      </c>
      <c r="BR167" s="271">
        <v>0</v>
      </c>
      <c r="BS167" s="271">
        <v>0</v>
      </c>
      <c r="BT167" s="300">
        <v>0</v>
      </c>
      <c r="BU167" s="300">
        <v>2873050</v>
      </c>
      <c r="BV167" s="300">
        <v>0</v>
      </c>
      <c r="BW167" s="300">
        <v>0</v>
      </c>
      <c r="BX167" s="300">
        <v>184026</v>
      </c>
      <c r="BY167" s="300">
        <v>0</v>
      </c>
      <c r="BZ167" s="300">
        <v>0</v>
      </c>
      <c r="CA167" s="300">
        <v>0</v>
      </c>
      <c r="CB167" s="300">
        <v>0</v>
      </c>
      <c r="CC167" s="300">
        <v>0</v>
      </c>
      <c r="CD167" s="300">
        <v>0</v>
      </c>
      <c r="CE167" s="300">
        <v>0</v>
      </c>
    </row>
    <row r="168" spans="1:83" x14ac:dyDescent="0.3">
      <c r="A168" s="271">
        <v>518</v>
      </c>
      <c r="B168" s="271">
        <v>518</v>
      </c>
      <c r="C168" s="271" t="s">
        <v>280</v>
      </c>
      <c r="D168" s="271" t="s">
        <v>485</v>
      </c>
      <c r="E168" s="1113">
        <v>188865</v>
      </c>
      <c r="F168" s="1113">
        <v>757400</v>
      </c>
      <c r="G168" s="1113">
        <v>0</v>
      </c>
      <c r="H168" s="1113">
        <v>566116</v>
      </c>
      <c r="I168" s="271">
        <v>40422</v>
      </c>
      <c r="J168" s="1113">
        <v>4657</v>
      </c>
      <c r="K168" s="1113">
        <v>0</v>
      </c>
      <c r="L168" s="1113">
        <v>0</v>
      </c>
      <c r="M168" s="1113">
        <v>1896526</v>
      </c>
      <c r="N168" s="271">
        <v>0</v>
      </c>
      <c r="O168" s="1113">
        <v>0</v>
      </c>
      <c r="P168" s="271">
        <v>0</v>
      </c>
      <c r="Q168" s="1113">
        <v>9643</v>
      </c>
      <c r="R168" s="1113">
        <v>4787712</v>
      </c>
      <c r="S168" s="271">
        <v>0</v>
      </c>
      <c r="T168" s="271">
        <v>110299</v>
      </c>
      <c r="U168" s="1113">
        <v>506804</v>
      </c>
      <c r="V168" s="1113">
        <v>183184</v>
      </c>
      <c r="W168" s="1113">
        <v>1534218</v>
      </c>
      <c r="X168" s="1113">
        <v>0</v>
      </c>
      <c r="Y168" s="1113">
        <v>0</v>
      </c>
      <c r="Z168" s="271">
        <v>321393</v>
      </c>
      <c r="AA168" s="1113">
        <v>2288847</v>
      </c>
      <c r="AB168" s="1113">
        <v>0</v>
      </c>
      <c r="AC168" s="1113">
        <v>384656</v>
      </c>
      <c r="AD168" s="1113">
        <v>0</v>
      </c>
      <c r="AE168" s="1113">
        <v>0</v>
      </c>
      <c r="AF168" s="271">
        <v>0</v>
      </c>
      <c r="AG168" s="271">
        <v>19416113</v>
      </c>
      <c r="AH168" s="1113">
        <v>0</v>
      </c>
      <c r="AI168" s="1113">
        <v>81308</v>
      </c>
      <c r="AJ168" s="1113">
        <v>514514</v>
      </c>
      <c r="AK168" s="1113">
        <v>0</v>
      </c>
      <c r="AL168" s="271">
        <v>3358</v>
      </c>
      <c r="AM168" s="271">
        <v>0</v>
      </c>
      <c r="AN168" s="1113">
        <v>0</v>
      </c>
      <c r="AO168" s="271">
        <v>2699001</v>
      </c>
      <c r="AP168" s="1113">
        <v>0</v>
      </c>
      <c r="AQ168" s="271">
        <v>2291249</v>
      </c>
      <c r="AR168" s="1113">
        <v>0</v>
      </c>
      <c r="AS168" s="1113">
        <v>0</v>
      </c>
      <c r="AT168" s="1113">
        <v>219319</v>
      </c>
      <c r="AU168" s="1113">
        <v>15297</v>
      </c>
      <c r="AV168" s="271">
        <v>131587754</v>
      </c>
      <c r="AW168" s="1113">
        <v>29535143</v>
      </c>
      <c r="AX168" s="1113">
        <v>276294</v>
      </c>
      <c r="AY168" s="1113">
        <v>200175</v>
      </c>
      <c r="AZ168" s="271">
        <v>246614</v>
      </c>
      <c r="BA168" s="271">
        <v>199604</v>
      </c>
      <c r="BB168" s="271">
        <v>0</v>
      </c>
      <c r="BC168" s="1113">
        <v>1757537</v>
      </c>
      <c r="BD168" s="271">
        <v>6338</v>
      </c>
      <c r="BE168" s="1113">
        <v>0</v>
      </c>
      <c r="BF168" s="1113">
        <v>38161</v>
      </c>
      <c r="BG168" s="1113">
        <v>2845758</v>
      </c>
      <c r="BH168" s="1113">
        <v>0</v>
      </c>
      <c r="BI168" s="1113">
        <v>2486846</v>
      </c>
      <c r="BJ168" s="271">
        <v>290213</v>
      </c>
      <c r="BK168" s="1113">
        <v>0</v>
      </c>
      <c r="BL168" s="271">
        <v>0</v>
      </c>
      <c r="BM168" s="1113">
        <v>5249014</v>
      </c>
      <c r="BN168" s="1113">
        <v>19088516</v>
      </c>
      <c r="BO168" s="1113">
        <v>516528</v>
      </c>
      <c r="BP168" s="1113">
        <v>11716610</v>
      </c>
      <c r="BQ168" s="1113">
        <v>13726361</v>
      </c>
      <c r="BR168" s="1113">
        <v>58883</v>
      </c>
      <c r="BS168" s="271">
        <v>1491555</v>
      </c>
      <c r="BT168" s="300">
        <v>0</v>
      </c>
      <c r="BU168" s="300">
        <v>2688373</v>
      </c>
      <c r="BV168" s="300">
        <v>143491</v>
      </c>
      <c r="BW168" s="300">
        <v>0</v>
      </c>
      <c r="BX168" s="300">
        <v>911483</v>
      </c>
      <c r="BY168" s="300">
        <v>0</v>
      </c>
      <c r="BZ168" s="300">
        <v>11169727</v>
      </c>
      <c r="CA168" s="300">
        <v>54987</v>
      </c>
      <c r="CB168" s="300">
        <v>0</v>
      </c>
      <c r="CC168" s="300">
        <v>29283</v>
      </c>
      <c r="CD168" s="300">
        <v>0</v>
      </c>
      <c r="CE168" s="300">
        <v>0</v>
      </c>
    </row>
    <row r="169" spans="1:83" x14ac:dyDescent="0.3">
      <c r="A169" s="271">
        <v>519</v>
      </c>
      <c r="B169" s="271">
        <v>519</v>
      </c>
      <c r="C169" s="271" t="s">
        <v>281</v>
      </c>
      <c r="D169" s="271" t="s">
        <v>486</v>
      </c>
      <c r="E169" s="271">
        <v>4088</v>
      </c>
      <c r="F169" s="1113">
        <v>0</v>
      </c>
      <c r="G169" s="271">
        <v>0</v>
      </c>
      <c r="H169" s="1113">
        <v>11227</v>
      </c>
      <c r="I169" s="271">
        <v>0</v>
      </c>
      <c r="J169" s="271">
        <v>0</v>
      </c>
      <c r="K169" s="271">
        <v>0</v>
      </c>
      <c r="L169" s="1113">
        <v>0</v>
      </c>
      <c r="M169" s="1113">
        <v>0</v>
      </c>
      <c r="N169" s="271">
        <v>0</v>
      </c>
      <c r="O169" s="271">
        <v>0</v>
      </c>
      <c r="P169" s="271">
        <v>0</v>
      </c>
      <c r="Q169" s="1113">
        <v>0</v>
      </c>
      <c r="R169" s="1113">
        <v>0</v>
      </c>
      <c r="S169" s="271">
        <v>0</v>
      </c>
      <c r="T169" s="271">
        <v>0</v>
      </c>
      <c r="U169" s="271">
        <v>4742</v>
      </c>
      <c r="V169" s="271">
        <v>0</v>
      </c>
      <c r="W169" s="271">
        <v>30358</v>
      </c>
      <c r="X169" s="271">
        <v>0</v>
      </c>
      <c r="Y169" s="271">
        <v>0</v>
      </c>
      <c r="Z169" s="271">
        <v>0</v>
      </c>
      <c r="AA169" s="271">
        <v>979</v>
      </c>
      <c r="AB169" s="271">
        <v>0</v>
      </c>
      <c r="AC169" s="1113">
        <v>0</v>
      </c>
      <c r="AD169" s="271">
        <v>0</v>
      </c>
      <c r="AE169" s="271">
        <v>0</v>
      </c>
      <c r="AF169" s="271">
        <v>0</v>
      </c>
      <c r="AG169" s="271">
        <v>1347004</v>
      </c>
      <c r="AH169" s="1113">
        <v>0</v>
      </c>
      <c r="AI169" s="1113">
        <v>0</v>
      </c>
      <c r="AJ169" s="271">
        <v>2550</v>
      </c>
      <c r="AK169" s="1113">
        <v>0</v>
      </c>
      <c r="AL169" s="271">
        <v>0</v>
      </c>
      <c r="AM169" s="271">
        <v>0</v>
      </c>
      <c r="AN169" s="1113">
        <v>0</v>
      </c>
      <c r="AO169" s="271">
        <v>235201</v>
      </c>
      <c r="AP169" s="271">
        <v>0</v>
      </c>
      <c r="AQ169" s="271">
        <v>0</v>
      </c>
      <c r="AR169" s="271">
        <v>0</v>
      </c>
      <c r="AS169" s="271">
        <v>0</v>
      </c>
      <c r="AT169" s="271">
        <v>0</v>
      </c>
      <c r="AU169" s="271">
        <v>9325</v>
      </c>
      <c r="AV169" s="271">
        <v>7455632</v>
      </c>
      <c r="AW169" s="1113">
        <v>145592</v>
      </c>
      <c r="AX169" s="271">
        <v>0</v>
      </c>
      <c r="AY169" s="271">
        <v>0</v>
      </c>
      <c r="AZ169" s="1113">
        <v>19556</v>
      </c>
      <c r="BA169" s="271">
        <v>0</v>
      </c>
      <c r="BB169" s="271">
        <v>0</v>
      </c>
      <c r="BC169" s="1113">
        <v>2765</v>
      </c>
      <c r="BD169" s="271">
        <v>0</v>
      </c>
      <c r="BE169" s="271">
        <v>0</v>
      </c>
      <c r="BF169" s="271">
        <v>0</v>
      </c>
      <c r="BG169" s="271">
        <v>158065</v>
      </c>
      <c r="BH169" s="271">
        <v>0</v>
      </c>
      <c r="BI169" s="271">
        <v>0</v>
      </c>
      <c r="BJ169" s="271">
        <v>0</v>
      </c>
      <c r="BK169" s="1113">
        <v>0</v>
      </c>
      <c r="BL169" s="271">
        <v>0</v>
      </c>
      <c r="BM169" s="271">
        <v>605771</v>
      </c>
      <c r="BN169" s="271">
        <v>52844</v>
      </c>
      <c r="BO169" s="1113">
        <v>0</v>
      </c>
      <c r="BP169" s="271">
        <v>1389759</v>
      </c>
      <c r="BQ169" s="1113">
        <v>1503541</v>
      </c>
      <c r="BR169" s="271">
        <v>0</v>
      </c>
      <c r="BS169" s="271">
        <v>0</v>
      </c>
      <c r="BT169" s="300">
        <v>0</v>
      </c>
      <c r="BU169" s="300">
        <v>806365</v>
      </c>
      <c r="BV169" s="300">
        <v>0</v>
      </c>
      <c r="BW169" s="300">
        <v>0</v>
      </c>
      <c r="BX169" s="300">
        <v>0</v>
      </c>
      <c r="BY169" s="300">
        <v>0</v>
      </c>
      <c r="BZ169" s="300">
        <v>5112</v>
      </c>
      <c r="CA169" s="300">
        <v>0</v>
      </c>
      <c r="CB169" s="300">
        <v>0</v>
      </c>
      <c r="CC169" s="300">
        <v>95</v>
      </c>
      <c r="CD169" s="300">
        <v>0</v>
      </c>
      <c r="CE169" s="300">
        <v>0</v>
      </c>
    </row>
    <row r="170" spans="1:83" x14ac:dyDescent="0.3">
      <c r="A170" s="271">
        <v>520</v>
      </c>
      <c r="B170" s="271">
        <v>520</v>
      </c>
      <c r="C170" s="271" t="s">
        <v>282</v>
      </c>
      <c r="D170" s="271" t="s">
        <v>487</v>
      </c>
      <c r="E170" s="1113">
        <v>149440</v>
      </c>
      <c r="F170" s="1113">
        <v>258226</v>
      </c>
      <c r="G170" s="1113">
        <v>0</v>
      </c>
      <c r="H170" s="1113">
        <v>341558</v>
      </c>
      <c r="I170" s="271">
        <v>196277</v>
      </c>
      <c r="J170" s="1113">
        <v>24050</v>
      </c>
      <c r="K170" s="1113">
        <v>0</v>
      </c>
      <c r="L170" s="1113">
        <v>76889</v>
      </c>
      <c r="M170" s="1113">
        <v>1040322</v>
      </c>
      <c r="N170" s="271">
        <v>0</v>
      </c>
      <c r="O170" s="1113">
        <v>0</v>
      </c>
      <c r="P170" s="271">
        <v>0</v>
      </c>
      <c r="Q170" s="1113">
        <v>93135</v>
      </c>
      <c r="R170" s="1113">
        <v>1168802</v>
      </c>
      <c r="S170" s="271">
        <v>0</v>
      </c>
      <c r="T170" s="1113">
        <v>75910</v>
      </c>
      <c r="U170" s="1113">
        <v>75098</v>
      </c>
      <c r="V170" s="1113">
        <v>46642</v>
      </c>
      <c r="W170" s="1113">
        <v>591713</v>
      </c>
      <c r="X170" s="1113">
        <v>0</v>
      </c>
      <c r="Y170" s="1113">
        <v>223549</v>
      </c>
      <c r="Z170" s="271">
        <v>262145</v>
      </c>
      <c r="AA170" s="1113">
        <v>2505742</v>
      </c>
      <c r="AB170" s="1113">
        <v>69505</v>
      </c>
      <c r="AC170" s="1113">
        <v>38086</v>
      </c>
      <c r="AD170" s="1113">
        <v>0</v>
      </c>
      <c r="AE170" s="1113">
        <v>0</v>
      </c>
      <c r="AF170" s="271">
        <v>0</v>
      </c>
      <c r="AG170" s="271">
        <v>2944089</v>
      </c>
      <c r="AH170" s="1113">
        <v>0</v>
      </c>
      <c r="AI170" s="1113">
        <v>43999</v>
      </c>
      <c r="AJ170" s="1113">
        <v>41182</v>
      </c>
      <c r="AK170" s="1113">
        <v>71782</v>
      </c>
      <c r="AL170" s="271">
        <v>5374</v>
      </c>
      <c r="AM170" s="271">
        <v>0</v>
      </c>
      <c r="AN170" s="1113">
        <v>0</v>
      </c>
      <c r="AO170" s="1113">
        <v>355431</v>
      </c>
      <c r="AP170" s="1113">
        <v>0</v>
      </c>
      <c r="AQ170" s="271">
        <v>557102</v>
      </c>
      <c r="AR170" s="1113">
        <v>0</v>
      </c>
      <c r="AS170" s="1113">
        <v>0</v>
      </c>
      <c r="AT170" s="1113">
        <v>89883</v>
      </c>
      <c r="AU170" s="1113">
        <v>102454</v>
      </c>
      <c r="AV170" s="271">
        <v>3481769</v>
      </c>
      <c r="AW170" s="1113">
        <v>8728785</v>
      </c>
      <c r="AX170" s="1113">
        <v>123564</v>
      </c>
      <c r="AY170" s="1113">
        <v>156435</v>
      </c>
      <c r="AZ170" s="1113">
        <v>45644</v>
      </c>
      <c r="BA170" s="271">
        <v>92838</v>
      </c>
      <c r="BB170" s="271">
        <v>0</v>
      </c>
      <c r="BC170" s="1113">
        <v>486229</v>
      </c>
      <c r="BD170" s="271">
        <v>140536</v>
      </c>
      <c r="BE170" s="1113">
        <v>0</v>
      </c>
      <c r="BF170" s="1113">
        <v>36976</v>
      </c>
      <c r="BG170" s="1113">
        <v>1068792</v>
      </c>
      <c r="BH170" s="1113">
        <v>0</v>
      </c>
      <c r="BI170" s="1113">
        <v>1074993</v>
      </c>
      <c r="BJ170" s="1113">
        <v>181309</v>
      </c>
      <c r="BK170" s="1113">
        <v>0</v>
      </c>
      <c r="BL170" s="271">
        <v>0</v>
      </c>
      <c r="BM170" s="1113">
        <v>1329966</v>
      </c>
      <c r="BN170" s="1113">
        <v>2453372</v>
      </c>
      <c r="BO170" s="1113">
        <v>721265</v>
      </c>
      <c r="BP170" s="1113">
        <v>572756</v>
      </c>
      <c r="BQ170" s="1113">
        <v>0</v>
      </c>
      <c r="BR170" s="1113">
        <v>91267</v>
      </c>
      <c r="BS170" s="271">
        <v>746752</v>
      </c>
      <c r="BT170" s="300">
        <v>0</v>
      </c>
      <c r="BU170" s="300">
        <v>636537</v>
      </c>
      <c r="BV170" s="300">
        <v>136276</v>
      </c>
      <c r="BW170" s="300">
        <v>0</v>
      </c>
      <c r="BX170" s="300">
        <v>446349</v>
      </c>
      <c r="BY170" s="300">
        <v>0</v>
      </c>
      <c r="BZ170" s="300">
        <v>3545575</v>
      </c>
      <c r="CA170" s="300">
        <v>81236</v>
      </c>
      <c r="CB170" s="300">
        <v>0</v>
      </c>
      <c r="CC170" s="300">
        <v>67733</v>
      </c>
      <c r="CD170" s="300">
        <v>0</v>
      </c>
      <c r="CE170" s="300">
        <v>0</v>
      </c>
    </row>
    <row r="171" spans="1:83" x14ac:dyDescent="0.3">
      <c r="A171" s="271">
        <v>521</v>
      </c>
      <c r="B171" s="271">
        <v>521</v>
      </c>
      <c r="C171" s="271" t="s">
        <v>283</v>
      </c>
      <c r="D171" s="271" t="s">
        <v>488</v>
      </c>
      <c r="E171" s="1113">
        <v>0</v>
      </c>
      <c r="F171" s="271">
        <v>0</v>
      </c>
      <c r="G171" s="271">
        <v>0</v>
      </c>
      <c r="H171" s="271">
        <v>0</v>
      </c>
      <c r="I171" s="271">
        <v>0</v>
      </c>
      <c r="J171" s="271">
        <v>0</v>
      </c>
      <c r="K171" s="1113">
        <v>0</v>
      </c>
      <c r="L171" s="271">
        <v>2215</v>
      </c>
      <c r="M171" s="271">
        <v>0</v>
      </c>
      <c r="N171" s="271">
        <v>0</v>
      </c>
      <c r="O171" s="271">
        <v>0</v>
      </c>
      <c r="P171" s="271">
        <v>0</v>
      </c>
      <c r="Q171" s="271">
        <v>0</v>
      </c>
      <c r="R171" s="271">
        <v>0</v>
      </c>
      <c r="S171" s="271">
        <v>0</v>
      </c>
      <c r="T171" s="271">
        <v>0</v>
      </c>
      <c r="U171" s="271">
        <v>0</v>
      </c>
      <c r="V171" s="271">
        <v>0</v>
      </c>
      <c r="W171" s="271">
        <v>0</v>
      </c>
      <c r="X171" s="271">
        <v>0</v>
      </c>
      <c r="Y171" s="271">
        <v>0</v>
      </c>
      <c r="Z171" s="271">
        <v>0</v>
      </c>
      <c r="AA171" s="271">
        <v>445701</v>
      </c>
      <c r="AB171" s="271">
        <v>0</v>
      </c>
      <c r="AC171" s="271">
        <v>0</v>
      </c>
      <c r="AD171" s="271">
        <v>0</v>
      </c>
      <c r="AE171" s="271">
        <v>0</v>
      </c>
      <c r="AF171" s="271">
        <v>0</v>
      </c>
      <c r="AG171" s="271">
        <v>0</v>
      </c>
      <c r="AH171" s="271">
        <v>0</v>
      </c>
      <c r="AI171" s="271">
        <v>0</v>
      </c>
      <c r="AJ171" s="271">
        <v>0</v>
      </c>
      <c r="AK171" s="1113">
        <v>0</v>
      </c>
      <c r="AL171" s="271">
        <v>0</v>
      </c>
      <c r="AM171" s="271">
        <v>0</v>
      </c>
      <c r="AN171" s="271">
        <v>180580</v>
      </c>
      <c r="AO171" s="271">
        <v>272213</v>
      </c>
      <c r="AP171" s="271">
        <v>0</v>
      </c>
      <c r="AQ171" s="271">
        <v>0</v>
      </c>
      <c r="AR171" s="271">
        <v>0</v>
      </c>
      <c r="AS171" s="271">
        <v>0</v>
      </c>
      <c r="AT171" s="271">
        <v>0</v>
      </c>
      <c r="AU171" s="271">
        <v>0</v>
      </c>
      <c r="AV171" s="271">
        <v>14702743</v>
      </c>
      <c r="AW171" s="1113">
        <v>0</v>
      </c>
      <c r="AX171" s="271">
        <v>0</v>
      </c>
      <c r="AY171" s="271">
        <v>0</v>
      </c>
      <c r="AZ171" s="271">
        <v>0</v>
      </c>
      <c r="BA171" s="271">
        <v>0</v>
      </c>
      <c r="BB171" s="271">
        <v>0</v>
      </c>
      <c r="BC171" s="271">
        <v>0</v>
      </c>
      <c r="BD171" s="271">
        <v>0</v>
      </c>
      <c r="BE171" s="271">
        <v>0</v>
      </c>
      <c r="BF171" s="271">
        <v>0</v>
      </c>
      <c r="BG171" s="271">
        <v>0</v>
      </c>
      <c r="BH171" s="271">
        <v>0</v>
      </c>
      <c r="BI171" s="271">
        <v>0</v>
      </c>
      <c r="BJ171" s="271">
        <v>0</v>
      </c>
      <c r="BK171" s="271">
        <v>0</v>
      </c>
      <c r="BL171" s="271">
        <v>0</v>
      </c>
      <c r="BM171" s="271">
        <v>0</v>
      </c>
      <c r="BN171" s="271">
        <v>0</v>
      </c>
      <c r="BO171" s="271">
        <v>0</v>
      </c>
      <c r="BP171" s="271">
        <v>1950739</v>
      </c>
      <c r="BQ171" s="271">
        <v>10679296</v>
      </c>
      <c r="BR171" s="271">
        <v>0</v>
      </c>
      <c r="BS171" s="271">
        <v>0</v>
      </c>
      <c r="BT171" s="300">
        <v>0</v>
      </c>
      <c r="BU171" s="300">
        <v>70373</v>
      </c>
      <c r="BV171" s="300">
        <v>0</v>
      </c>
      <c r="BW171" s="300">
        <v>0</v>
      </c>
      <c r="BX171" s="300">
        <v>3681</v>
      </c>
      <c r="BY171" s="300">
        <v>0</v>
      </c>
      <c r="BZ171" s="300">
        <v>0</v>
      </c>
      <c r="CA171" s="300">
        <v>0</v>
      </c>
      <c r="CB171" s="300">
        <v>0</v>
      </c>
      <c r="CC171" s="300">
        <v>0</v>
      </c>
      <c r="CD171" s="300">
        <v>0</v>
      </c>
      <c r="CE171" s="300">
        <v>0</v>
      </c>
    </row>
    <row r="172" spans="1:83" x14ac:dyDescent="0.3">
      <c r="A172" s="271">
        <v>522</v>
      </c>
      <c r="B172" s="271">
        <v>522</v>
      </c>
      <c r="C172" s="271" t="s">
        <v>284</v>
      </c>
      <c r="D172" s="271" t="s">
        <v>489</v>
      </c>
      <c r="E172" s="1113">
        <v>0</v>
      </c>
      <c r="F172" s="1113">
        <v>17525</v>
      </c>
      <c r="G172" s="271">
        <v>0</v>
      </c>
      <c r="H172" s="1113">
        <v>25263</v>
      </c>
      <c r="I172" s="271">
        <v>4243</v>
      </c>
      <c r="J172" s="1113">
        <v>0</v>
      </c>
      <c r="K172" s="1113">
        <v>0</v>
      </c>
      <c r="L172" s="1113">
        <v>0</v>
      </c>
      <c r="M172" s="1113">
        <v>152148</v>
      </c>
      <c r="N172" s="271">
        <v>0</v>
      </c>
      <c r="O172" s="1113">
        <v>0</v>
      </c>
      <c r="P172" s="271">
        <v>0</v>
      </c>
      <c r="Q172" s="1113">
        <v>1861</v>
      </c>
      <c r="R172" s="1113">
        <v>139062</v>
      </c>
      <c r="S172" s="271">
        <v>0</v>
      </c>
      <c r="T172" s="271">
        <v>341</v>
      </c>
      <c r="U172" s="1113">
        <v>34117</v>
      </c>
      <c r="V172" s="1113">
        <v>11812</v>
      </c>
      <c r="W172" s="1113">
        <v>60802</v>
      </c>
      <c r="X172" s="271">
        <v>0</v>
      </c>
      <c r="Y172" s="1113">
        <v>0</v>
      </c>
      <c r="Z172" s="271">
        <v>14782</v>
      </c>
      <c r="AA172" s="271">
        <v>252679</v>
      </c>
      <c r="AB172" s="271">
        <v>0</v>
      </c>
      <c r="AC172" s="1113">
        <v>16027</v>
      </c>
      <c r="AD172" s="1113">
        <v>0</v>
      </c>
      <c r="AE172" s="1113">
        <v>0</v>
      </c>
      <c r="AF172" s="271">
        <v>0</v>
      </c>
      <c r="AG172" s="271">
        <v>565484</v>
      </c>
      <c r="AH172" s="1113">
        <v>0</v>
      </c>
      <c r="AI172" s="1113">
        <v>2230</v>
      </c>
      <c r="AJ172" s="1113">
        <v>33315</v>
      </c>
      <c r="AK172" s="1113">
        <v>0</v>
      </c>
      <c r="AL172" s="271">
        <v>0</v>
      </c>
      <c r="AM172" s="271">
        <v>0</v>
      </c>
      <c r="AN172" s="1113">
        <v>0</v>
      </c>
      <c r="AO172" s="271">
        <v>119258</v>
      </c>
      <c r="AP172" s="1113">
        <v>0</v>
      </c>
      <c r="AQ172" s="271">
        <v>124080</v>
      </c>
      <c r="AR172" s="1113">
        <v>0</v>
      </c>
      <c r="AS172" s="1113">
        <v>0</v>
      </c>
      <c r="AT172" s="271">
        <v>2474</v>
      </c>
      <c r="AU172" s="1113">
        <v>0</v>
      </c>
      <c r="AV172" s="271">
        <v>3440722</v>
      </c>
      <c r="AW172" s="1113">
        <v>1229523</v>
      </c>
      <c r="AX172" s="1113">
        <v>28428</v>
      </c>
      <c r="AY172" s="1113">
        <v>4605</v>
      </c>
      <c r="AZ172" s="271">
        <v>11271</v>
      </c>
      <c r="BA172" s="271">
        <v>2805</v>
      </c>
      <c r="BB172" s="271">
        <v>0</v>
      </c>
      <c r="BC172" s="1113">
        <v>165001</v>
      </c>
      <c r="BD172" s="271">
        <v>905</v>
      </c>
      <c r="BE172" s="271">
        <v>0</v>
      </c>
      <c r="BF172" s="1113">
        <v>3165</v>
      </c>
      <c r="BG172" s="1113">
        <v>254260</v>
      </c>
      <c r="BH172" s="271">
        <v>0</v>
      </c>
      <c r="BI172" s="1113">
        <v>179761</v>
      </c>
      <c r="BJ172" s="271">
        <v>11484</v>
      </c>
      <c r="BK172" s="1113">
        <v>0</v>
      </c>
      <c r="BL172" s="271">
        <v>0</v>
      </c>
      <c r="BM172" s="271">
        <v>285918</v>
      </c>
      <c r="BN172" s="1113">
        <v>648556</v>
      </c>
      <c r="BO172" s="1113">
        <v>7795</v>
      </c>
      <c r="BP172" s="1113">
        <v>1120976</v>
      </c>
      <c r="BQ172" s="1113">
        <v>434746</v>
      </c>
      <c r="BR172" s="1113">
        <v>0</v>
      </c>
      <c r="BS172" s="271">
        <v>94310</v>
      </c>
      <c r="BT172" s="300">
        <v>0</v>
      </c>
      <c r="BU172" s="300">
        <v>186903</v>
      </c>
      <c r="BV172" s="300">
        <v>786</v>
      </c>
      <c r="BW172" s="300">
        <v>0</v>
      </c>
      <c r="BX172" s="300">
        <v>57974</v>
      </c>
      <c r="BY172" s="300">
        <v>0</v>
      </c>
      <c r="BZ172" s="300">
        <v>397833</v>
      </c>
      <c r="CA172" s="300">
        <v>2679</v>
      </c>
      <c r="CB172" s="300">
        <v>0</v>
      </c>
      <c r="CC172" s="300">
        <v>4657</v>
      </c>
      <c r="CD172" s="300">
        <v>0</v>
      </c>
      <c r="CE172" s="300">
        <v>0</v>
      </c>
    </row>
    <row r="173" spans="1:83" x14ac:dyDescent="0.3">
      <c r="A173" s="271">
        <v>523</v>
      </c>
      <c r="B173" s="271">
        <v>523</v>
      </c>
      <c r="C173" s="271" t="s">
        <v>285</v>
      </c>
      <c r="D173" s="271" t="s">
        <v>490</v>
      </c>
      <c r="E173" s="271">
        <v>5792</v>
      </c>
      <c r="F173" s="1113">
        <v>12758</v>
      </c>
      <c r="G173" s="1113">
        <v>0</v>
      </c>
      <c r="H173" s="1113">
        <v>389989</v>
      </c>
      <c r="I173" s="271">
        <v>0</v>
      </c>
      <c r="J173" s="271">
        <v>0</v>
      </c>
      <c r="K173" s="271">
        <v>0</v>
      </c>
      <c r="L173" s="1113">
        <v>0</v>
      </c>
      <c r="M173" s="1113">
        <v>0</v>
      </c>
      <c r="N173" s="271">
        <v>0</v>
      </c>
      <c r="O173" s="271">
        <v>0</v>
      </c>
      <c r="P173" s="271">
        <v>0</v>
      </c>
      <c r="Q173" s="1113">
        <v>0</v>
      </c>
      <c r="R173" s="1113">
        <v>0</v>
      </c>
      <c r="S173" s="271">
        <v>0</v>
      </c>
      <c r="T173" s="271">
        <v>0</v>
      </c>
      <c r="U173" s="271">
        <v>87938</v>
      </c>
      <c r="V173" s="271">
        <v>0</v>
      </c>
      <c r="W173" s="271">
        <v>117680</v>
      </c>
      <c r="X173" s="271">
        <v>0</v>
      </c>
      <c r="Y173" s="271">
        <v>0</v>
      </c>
      <c r="Z173" s="271">
        <v>0</v>
      </c>
      <c r="AA173" s="271">
        <v>27829</v>
      </c>
      <c r="AB173" s="271">
        <v>0</v>
      </c>
      <c r="AC173" s="1113">
        <v>0</v>
      </c>
      <c r="AD173" s="271">
        <v>0</v>
      </c>
      <c r="AE173" s="271">
        <v>0</v>
      </c>
      <c r="AF173" s="271">
        <v>0</v>
      </c>
      <c r="AG173" s="271">
        <v>38923186</v>
      </c>
      <c r="AH173" s="1113">
        <v>0</v>
      </c>
      <c r="AI173" s="1113">
        <v>0</v>
      </c>
      <c r="AJ173" s="271">
        <v>31955</v>
      </c>
      <c r="AK173" s="1113">
        <v>0</v>
      </c>
      <c r="AL173" s="271">
        <v>0</v>
      </c>
      <c r="AM173" s="271">
        <v>0</v>
      </c>
      <c r="AN173" s="1113">
        <v>0</v>
      </c>
      <c r="AO173" s="271">
        <v>7482911</v>
      </c>
      <c r="AP173" s="271">
        <v>0</v>
      </c>
      <c r="AQ173" s="271">
        <v>0</v>
      </c>
      <c r="AR173" s="271">
        <v>0</v>
      </c>
      <c r="AS173" s="271">
        <v>0</v>
      </c>
      <c r="AT173" s="271">
        <v>0</v>
      </c>
      <c r="AU173" s="271">
        <v>371757</v>
      </c>
      <c r="AV173" s="271">
        <v>96231939</v>
      </c>
      <c r="AW173" s="1113">
        <v>2342470</v>
      </c>
      <c r="AX173" s="271">
        <v>0</v>
      </c>
      <c r="AY173" s="271">
        <v>0</v>
      </c>
      <c r="AZ173" s="1113">
        <v>133632</v>
      </c>
      <c r="BA173" s="271">
        <v>0</v>
      </c>
      <c r="BB173" s="271">
        <v>0</v>
      </c>
      <c r="BC173" s="1113">
        <v>75766</v>
      </c>
      <c r="BD173" s="271">
        <v>0</v>
      </c>
      <c r="BE173" s="271">
        <v>0</v>
      </c>
      <c r="BF173" s="271">
        <v>0</v>
      </c>
      <c r="BG173" s="271">
        <v>390386</v>
      </c>
      <c r="BH173" s="271">
        <v>0</v>
      </c>
      <c r="BI173" s="271">
        <v>0</v>
      </c>
      <c r="BJ173" s="271">
        <v>0</v>
      </c>
      <c r="BK173" s="1113">
        <v>0</v>
      </c>
      <c r="BL173" s="271">
        <v>0</v>
      </c>
      <c r="BM173" s="271">
        <v>19013346</v>
      </c>
      <c r="BN173" s="271">
        <v>776292</v>
      </c>
      <c r="BO173" s="1113">
        <v>1700</v>
      </c>
      <c r="BP173" s="271">
        <v>22551138</v>
      </c>
      <c r="BQ173" s="1113">
        <v>46818338</v>
      </c>
      <c r="BR173" s="271">
        <v>857</v>
      </c>
      <c r="BS173" s="271">
        <v>0</v>
      </c>
      <c r="BT173" s="300">
        <v>0</v>
      </c>
      <c r="BU173" s="300">
        <v>10194484</v>
      </c>
      <c r="BV173" s="300">
        <v>0</v>
      </c>
      <c r="BW173" s="300">
        <v>0</v>
      </c>
      <c r="BX173" s="300">
        <v>0</v>
      </c>
      <c r="BY173" s="300">
        <v>0</v>
      </c>
      <c r="BZ173" s="300">
        <v>77527</v>
      </c>
      <c r="CA173" s="300">
        <v>0</v>
      </c>
      <c r="CB173" s="300">
        <v>0</v>
      </c>
      <c r="CC173" s="300">
        <v>117780</v>
      </c>
      <c r="CD173" s="300">
        <v>0</v>
      </c>
      <c r="CE173" s="300">
        <v>0</v>
      </c>
    </row>
    <row r="174" spans="1:83" x14ac:dyDescent="0.3">
      <c r="A174" s="271">
        <v>524</v>
      </c>
      <c r="B174" s="271">
        <v>524</v>
      </c>
      <c r="C174" s="271" t="s">
        <v>286</v>
      </c>
      <c r="D174" s="271" t="s">
        <v>491</v>
      </c>
      <c r="E174" s="1113">
        <v>2269057</v>
      </c>
      <c r="F174" s="1113">
        <v>6154868</v>
      </c>
      <c r="G174" s="1113">
        <v>0</v>
      </c>
      <c r="H174" s="1113">
        <v>5587559</v>
      </c>
      <c r="I174" s="271">
        <v>3116787</v>
      </c>
      <c r="J174" s="1113">
        <v>732560</v>
      </c>
      <c r="K174" s="1113">
        <v>0</v>
      </c>
      <c r="L174" s="1113">
        <v>1490030</v>
      </c>
      <c r="M174" s="1113">
        <v>16806290</v>
      </c>
      <c r="N174" s="271">
        <v>0</v>
      </c>
      <c r="O174" s="1113">
        <v>0</v>
      </c>
      <c r="P174" s="271">
        <v>0</v>
      </c>
      <c r="Q174" s="1113">
        <v>93135</v>
      </c>
      <c r="R174" s="1113">
        <v>24528308</v>
      </c>
      <c r="S174" s="271">
        <v>0</v>
      </c>
      <c r="T174" s="1113">
        <v>2845561</v>
      </c>
      <c r="U174" s="1113">
        <v>2318852</v>
      </c>
      <c r="V174" s="1113">
        <v>1065141</v>
      </c>
      <c r="W174" s="1113">
        <v>10632346</v>
      </c>
      <c r="X174" s="1113">
        <v>0</v>
      </c>
      <c r="Y174" s="1113">
        <v>3330850</v>
      </c>
      <c r="Z174" s="271">
        <v>5134019</v>
      </c>
      <c r="AA174" s="1113">
        <v>32302981</v>
      </c>
      <c r="AB174" s="1113">
        <v>1094911</v>
      </c>
      <c r="AC174" s="1113">
        <v>1094230</v>
      </c>
      <c r="AD174" s="1113">
        <v>0</v>
      </c>
      <c r="AE174" s="1113">
        <v>0</v>
      </c>
      <c r="AF174" s="271">
        <v>0</v>
      </c>
      <c r="AG174" s="271">
        <v>76836822</v>
      </c>
      <c r="AH174" s="1113">
        <v>0</v>
      </c>
      <c r="AI174" s="1113">
        <v>1470759</v>
      </c>
      <c r="AJ174" s="1113">
        <v>1991182</v>
      </c>
      <c r="AK174" s="1113">
        <v>1346503</v>
      </c>
      <c r="AL174" s="271">
        <v>139752</v>
      </c>
      <c r="AM174" s="271">
        <v>0</v>
      </c>
      <c r="AN174" s="1113">
        <v>0</v>
      </c>
      <c r="AO174" s="1113">
        <v>8060537</v>
      </c>
      <c r="AP174" s="1113">
        <v>0</v>
      </c>
      <c r="AQ174" s="271">
        <v>13462147</v>
      </c>
      <c r="AR174" s="1113">
        <v>0</v>
      </c>
      <c r="AS174" s="1113">
        <v>0</v>
      </c>
      <c r="AT174" s="1113">
        <v>1686965</v>
      </c>
      <c r="AU174" s="1113">
        <v>1187846</v>
      </c>
      <c r="AV174" s="271">
        <v>31856048</v>
      </c>
      <c r="AW174" s="1113">
        <v>155230958</v>
      </c>
      <c r="AX174" s="1113">
        <v>3390272</v>
      </c>
      <c r="AY174" s="1113">
        <v>1944745</v>
      </c>
      <c r="AZ174" s="1113">
        <v>1736640</v>
      </c>
      <c r="BA174" s="271">
        <v>1208405</v>
      </c>
      <c r="BB174" s="271">
        <v>0</v>
      </c>
      <c r="BC174" s="1113">
        <v>13767741</v>
      </c>
      <c r="BD174" s="271">
        <v>1124291</v>
      </c>
      <c r="BE174" s="1113">
        <v>0</v>
      </c>
      <c r="BF174" s="1113">
        <v>909719</v>
      </c>
      <c r="BG174" s="1113">
        <v>11490916</v>
      </c>
      <c r="BH174" s="1113">
        <v>0</v>
      </c>
      <c r="BI174" s="1113">
        <v>21690485</v>
      </c>
      <c r="BJ174" s="1113">
        <v>4853012</v>
      </c>
      <c r="BK174" s="1113">
        <v>0</v>
      </c>
      <c r="BL174" s="271">
        <v>0</v>
      </c>
      <c r="BM174" s="1113">
        <v>17832819</v>
      </c>
      <c r="BN174" s="1113">
        <v>40073121</v>
      </c>
      <c r="BO174" s="1113">
        <v>10565814</v>
      </c>
      <c r="BP174" s="1113">
        <v>18150718</v>
      </c>
      <c r="BQ174" s="1113">
        <v>0</v>
      </c>
      <c r="BR174" s="1113">
        <v>863647</v>
      </c>
      <c r="BS174" s="271">
        <v>11025951</v>
      </c>
      <c r="BT174" s="300">
        <v>0</v>
      </c>
      <c r="BU174" s="300">
        <v>9884983</v>
      </c>
      <c r="BV174" s="300">
        <v>2267519</v>
      </c>
      <c r="BW174" s="300">
        <v>0</v>
      </c>
      <c r="BX174" s="300">
        <v>6788544</v>
      </c>
      <c r="BY174" s="300">
        <v>0</v>
      </c>
      <c r="BZ174" s="300">
        <v>35922247</v>
      </c>
      <c r="CA174" s="300">
        <v>1340906</v>
      </c>
      <c r="CB174" s="300">
        <v>0</v>
      </c>
      <c r="CC174" s="300">
        <v>1203589</v>
      </c>
      <c r="CD174" s="300">
        <v>0</v>
      </c>
      <c r="CE174" s="300">
        <v>0</v>
      </c>
    </row>
    <row r="175" spans="1:83" x14ac:dyDescent="0.3">
      <c r="A175" s="271">
        <v>525</v>
      </c>
      <c r="B175" s="271">
        <v>525</v>
      </c>
      <c r="C175" s="271" t="s">
        <v>287</v>
      </c>
      <c r="D175" s="271" t="s">
        <v>492</v>
      </c>
      <c r="E175" s="1113">
        <v>0</v>
      </c>
      <c r="F175" s="271">
        <v>0</v>
      </c>
      <c r="G175" s="271">
        <v>0</v>
      </c>
      <c r="H175" s="271">
        <v>0</v>
      </c>
      <c r="I175" s="271">
        <v>0</v>
      </c>
      <c r="J175" s="271">
        <v>0</v>
      </c>
      <c r="K175" s="1113">
        <v>0</v>
      </c>
      <c r="L175" s="271">
        <v>83144</v>
      </c>
      <c r="M175" s="271">
        <v>0</v>
      </c>
      <c r="N175" s="271">
        <v>0</v>
      </c>
      <c r="O175" s="271">
        <v>0</v>
      </c>
      <c r="P175" s="271">
        <v>0</v>
      </c>
      <c r="Q175" s="271">
        <v>0</v>
      </c>
      <c r="R175" s="271">
        <v>0</v>
      </c>
      <c r="S175" s="271">
        <v>0</v>
      </c>
      <c r="T175" s="271">
        <v>0</v>
      </c>
      <c r="U175" s="271">
        <v>0</v>
      </c>
      <c r="V175" s="271">
        <v>0</v>
      </c>
      <c r="W175" s="271">
        <v>0</v>
      </c>
      <c r="X175" s="271">
        <v>0</v>
      </c>
      <c r="Y175" s="271">
        <v>0</v>
      </c>
      <c r="Z175" s="271">
        <v>0</v>
      </c>
      <c r="AA175" s="271">
        <v>8619823</v>
      </c>
      <c r="AB175" s="1113">
        <v>0</v>
      </c>
      <c r="AC175" s="271">
        <v>0</v>
      </c>
      <c r="AD175" s="271">
        <v>0</v>
      </c>
      <c r="AE175" s="271">
        <v>0</v>
      </c>
      <c r="AF175" s="271">
        <v>0</v>
      </c>
      <c r="AG175" s="271">
        <v>0</v>
      </c>
      <c r="AH175" s="271">
        <v>0</v>
      </c>
      <c r="AI175" s="271">
        <v>0</v>
      </c>
      <c r="AJ175" s="271">
        <v>0</v>
      </c>
      <c r="AK175" s="1113">
        <v>0</v>
      </c>
      <c r="AL175" s="271">
        <v>0</v>
      </c>
      <c r="AM175" s="271">
        <v>0</v>
      </c>
      <c r="AN175" s="271">
        <v>551109</v>
      </c>
      <c r="AO175" s="271">
        <v>4452063</v>
      </c>
      <c r="AP175" s="271">
        <v>0</v>
      </c>
      <c r="AQ175" s="271">
        <v>0</v>
      </c>
      <c r="AR175" s="271">
        <v>0</v>
      </c>
      <c r="AS175" s="271">
        <v>0</v>
      </c>
      <c r="AT175" s="271">
        <v>0</v>
      </c>
      <c r="AU175" s="271">
        <v>0</v>
      </c>
      <c r="AV175" s="271">
        <v>280601054</v>
      </c>
      <c r="AW175" s="1113">
        <v>0</v>
      </c>
      <c r="AX175" s="271">
        <v>0</v>
      </c>
      <c r="AY175" s="271">
        <v>0</v>
      </c>
      <c r="AZ175" s="271">
        <v>0</v>
      </c>
      <c r="BA175" s="271">
        <v>0</v>
      </c>
      <c r="BB175" s="271">
        <v>0</v>
      </c>
      <c r="BC175" s="271">
        <v>1368865</v>
      </c>
      <c r="BD175" s="271">
        <v>0</v>
      </c>
      <c r="BE175" s="271">
        <v>0</v>
      </c>
      <c r="BF175" s="271">
        <v>0</v>
      </c>
      <c r="BG175" s="271">
        <v>0</v>
      </c>
      <c r="BH175" s="271">
        <v>0</v>
      </c>
      <c r="BI175" s="271">
        <v>0</v>
      </c>
      <c r="BJ175" s="271">
        <v>0</v>
      </c>
      <c r="BK175" s="271">
        <v>0</v>
      </c>
      <c r="BL175" s="271">
        <v>0</v>
      </c>
      <c r="BM175" s="271">
        <v>0</v>
      </c>
      <c r="BN175" s="271">
        <v>0</v>
      </c>
      <c r="BO175" s="271">
        <v>0</v>
      </c>
      <c r="BP175" s="271">
        <v>39234767</v>
      </c>
      <c r="BQ175" s="271">
        <v>181760524</v>
      </c>
      <c r="BR175" s="271">
        <v>0</v>
      </c>
      <c r="BS175" s="271">
        <v>0</v>
      </c>
      <c r="BT175" s="300">
        <v>0</v>
      </c>
      <c r="BU175" s="300">
        <v>406851</v>
      </c>
      <c r="BV175" s="300">
        <v>0</v>
      </c>
      <c r="BW175" s="300">
        <v>0</v>
      </c>
      <c r="BX175" s="300">
        <v>51420</v>
      </c>
      <c r="BY175" s="300">
        <v>0</v>
      </c>
      <c r="BZ175" s="300">
        <v>0</v>
      </c>
      <c r="CA175" s="300">
        <v>0</v>
      </c>
      <c r="CB175" s="300">
        <v>0</v>
      </c>
      <c r="CC175" s="300">
        <v>0</v>
      </c>
      <c r="CD175" s="300">
        <v>0</v>
      </c>
      <c r="CE175" s="300">
        <v>0</v>
      </c>
    </row>
    <row r="176" spans="1:83" x14ac:dyDescent="0.3">
      <c r="A176" s="271">
        <v>526</v>
      </c>
      <c r="B176" s="271">
        <v>526</v>
      </c>
      <c r="C176" s="271" t="s">
        <v>288</v>
      </c>
      <c r="D176" s="271" t="s">
        <v>493</v>
      </c>
      <c r="E176" s="1113">
        <v>188865</v>
      </c>
      <c r="F176" s="1113">
        <v>643951</v>
      </c>
      <c r="G176" s="1113">
        <v>0</v>
      </c>
      <c r="H176" s="1113">
        <v>517751</v>
      </c>
      <c r="I176" s="271">
        <v>32564</v>
      </c>
      <c r="J176" s="1113">
        <v>4657</v>
      </c>
      <c r="K176" s="1113">
        <v>0</v>
      </c>
      <c r="L176" s="1113">
        <v>0</v>
      </c>
      <c r="M176" s="1113">
        <v>1326745</v>
      </c>
      <c r="N176" s="271">
        <v>0</v>
      </c>
      <c r="O176" s="1113">
        <v>0</v>
      </c>
      <c r="P176" s="271">
        <v>0</v>
      </c>
      <c r="Q176" s="1113">
        <v>2199</v>
      </c>
      <c r="R176" s="1113">
        <v>4697253</v>
      </c>
      <c r="S176" s="271">
        <v>0</v>
      </c>
      <c r="T176" s="271">
        <v>110158</v>
      </c>
      <c r="U176" s="1113">
        <v>390287</v>
      </c>
      <c r="V176" s="1113">
        <v>106794</v>
      </c>
      <c r="W176" s="1113">
        <v>1274380</v>
      </c>
      <c r="X176" s="1113">
        <v>0</v>
      </c>
      <c r="Y176" s="1113">
        <v>0</v>
      </c>
      <c r="Z176" s="271">
        <v>270428</v>
      </c>
      <c r="AA176" s="1113">
        <v>1683303</v>
      </c>
      <c r="AB176" s="1113">
        <v>0</v>
      </c>
      <c r="AC176" s="1113">
        <v>269617</v>
      </c>
      <c r="AD176" s="1113">
        <v>0</v>
      </c>
      <c r="AE176" s="1113">
        <v>0</v>
      </c>
      <c r="AF176" s="271">
        <v>0</v>
      </c>
      <c r="AG176" s="271">
        <v>12959283</v>
      </c>
      <c r="AH176" s="1113">
        <v>0</v>
      </c>
      <c r="AI176" s="1113">
        <v>72387</v>
      </c>
      <c r="AJ176" s="1113">
        <v>223333</v>
      </c>
      <c r="AK176" s="1113">
        <v>0</v>
      </c>
      <c r="AL176" s="271">
        <v>3358</v>
      </c>
      <c r="AM176" s="271">
        <v>0</v>
      </c>
      <c r="AN176" s="1113">
        <v>0</v>
      </c>
      <c r="AO176" s="271">
        <v>1488202</v>
      </c>
      <c r="AP176" s="1113">
        <v>0</v>
      </c>
      <c r="AQ176" s="271">
        <v>1048314</v>
      </c>
      <c r="AR176" s="1113">
        <v>0</v>
      </c>
      <c r="AS176" s="1113">
        <v>0</v>
      </c>
      <c r="AT176" s="1113">
        <v>195100</v>
      </c>
      <c r="AU176" s="1113">
        <v>15297</v>
      </c>
      <c r="AV176" s="271">
        <v>37278203</v>
      </c>
      <c r="AW176" s="1113">
        <v>15948610</v>
      </c>
      <c r="AX176" s="1113">
        <v>154641</v>
      </c>
      <c r="AY176" s="1113">
        <v>164399</v>
      </c>
      <c r="AZ176" s="271">
        <v>166925</v>
      </c>
      <c r="BA176" s="271">
        <v>126260</v>
      </c>
      <c r="BB176" s="271">
        <v>0</v>
      </c>
      <c r="BC176" s="1113">
        <v>0</v>
      </c>
      <c r="BD176" s="271">
        <v>3621</v>
      </c>
      <c r="BE176" s="1113">
        <v>0</v>
      </c>
      <c r="BF176" s="1113">
        <v>46813</v>
      </c>
      <c r="BG176" s="1113">
        <v>1220367</v>
      </c>
      <c r="BH176" s="1113">
        <v>0</v>
      </c>
      <c r="BI176" s="1113">
        <v>1642665</v>
      </c>
      <c r="BJ176" s="271">
        <v>244916</v>
      </c>
      <c r="BK176" s="1113">
        <v>0</v>
      </c>
      <c r="BL176" s="271">
        <v>0</v>
      </c>
      <c r="BM176" s="1113">
        <v>4034402</v>
      </c>
      <c r="BN176" s="1113">
        <v>15748358</v>
      </c>
      <c r="BO176" s="1113">
        <v>496981</v>
      </c>
      <c r="BP176" s="1113">
        <v>5941179</v>
      </c>
      <c r="BQ176" s="1113">
        <v>9514505</v>
      </c>
      <c r="BR176" s="1113">
        <v>72910</v>
      </c>
      <c r="BS176" s="271">
        <v>892007</v>
      </c>
      <c r="BT176" s="300">
        <v>0</v>
      </c>
      <c r="BU176" s="300">
        <v>2089758</v>
      </c>
      <c r="BV176" s="300">
        <v>143115</v>
      </c>
      <c r="BW176" s="300">
        <v>0</v>
      </c>
      <c r="BX176" s="300">
        <v>565366</v>
      </c>
      <c r="BY176" s="300">
        <v>0</v>
      </c>
      <c r="BZ176" s="300">
        <v>6591319</v>
      </c>
      <c r="CA176" s="300">
        <v>48848</v>
      </c>
      <c r="CB176" s="300">
        <v>0</v>
      </c>
      <c r="CC176" s="300">
        <v>16090</v>
      </c>
      <c r="CD176" s="300">
        <v>0</v>
      </c>
      <c r="CE176" s="300">
        <v>0</v>
      </c>
    </row>
    <row r="177" spans="1:83" x14ac:dyDescent="0.3">
      <c r="A177" s="271">
        <v>527</v>
      </c>
      <c r="B177" s="271">
        <v>527</v>
      </c>
      <c r="C177" s="271" t="s">
        <v>289</v>
      </c>
      <c r="D177" s="271" t="s">
        <v>494</v>
      </c>
      <c r="E177" s="271">
        <v>0</v>
      </c>
      <c r="F177" s="271">
        <v>0</v>
      </c>
      <c r="G177" s="271">
        <v>0</v>
      </c>
      <c r="H177" s="1113">
        <v>0</v>
      </c>
      <c r="I177" s="271">
        <v>0</v>
      </c>
      <c r="J177" s="271">
        <v>0</v>
      </c>
      <c r="K177" s="271">
        <v>0</v>
      </c>
      <c r="L177" s="271">
        <v>0</v>
      </c>
      <c r="M177" s="1113">
        <v>58900</v>
      </c>
      <c r="N177" s="271">
        <v>0</v>
      </c>
      <c r="O177" s="271">
        <v>0</v>
      </c>
      <c r="P177" s="271">
        <v>0</v>
      </c>
      <c r="Q177" s="271">
        <v>0</v>
      </c>
      <c r="R177" s="271">
        <v>115715</v>
      </c>
      <c r="S177" s="271">
        <v>0</v>
      </c>
      <c r="T177" s="271">
        <v>0</v>
      </c>
      <c r="U177" s="271">
        <v>0</v>
      </c>
      <c r="V177" s="271">
        <v>0</v>
      </c>
      <c r="W177" s="271">
        <v>0</v>
      </c>
      <c r="X177" s="271">
        <v>0</v>
      </c>
      <c r="Y177" s="1113">
        <v>0</v>
      </c>
      <c r="Z177" s="271">
        <v>137268</v>
      </c>
      <c r="AA177" s="271">
        <v>0</v>
      </c>
      <c r="AB177" s="271">
        <v>0</v>
      </c>
      <c r="AC177" s="271">
        <v>0</v>
      </c>
      <c r="AD177" s="271">
        <v>0</v>
      </c>
      <c r="AE177" s="271">
        <v>0</v>
      </c>
      <c r="AF177" s="271">
        <v>0</v>
      </c>
      <c r="AG177" s="271">
        <v>9294212</v>
      </c>
      <c r="AH177" s="271">
        <v>0</v>
      </c>
      <c r="AI177" s="271">
        <v>0</v>
      </c>
      <c r="AJ177" s="1113">
        <v>0</v>
      </c>
      <c r="AK177" s="271">
        <v>0</v>
      </c>
      <c r="AL177" s="271">
        <v>0</v>
      </c>
      <c r="AM177" s="271">
        <v>0</v>
      </c>
      <c r="AN177" s="271">
        <v>0</v>
      </c>
      <c r="AO177" s="271">
        <v>0</v>
      </c>
      <c r="AP177" s="271">
        <v>0</v>
      </c>
      <c r="AQ177" s="271">
        <v>47400</v>
      </c>
      <c r="AR177" s="271">
        <v>0</v>
      </c>
      <c r="AS177" s="271">
        <v>0</v>
      </c>
      <c r="AT177" s="271">
        <v>0</v>
      </c>
      <c r="AU177" s="271">
        <v>0</v>
      </c>
      <c r="AV177" s="271">
        <v>0</v>
      </c>
      <c r="AW177" s="271">
        <v>12956255</v>
      </c>
      <c r="AX177" s="271">
        <v>0</v>
      </c>
      <c r="AY177" s="271">
        <v>0</v>
      </c>
      <c r="AZ177" s="271">
        <v>0</v>
      </c>
      <c r="BA177" s="271">
        <v>0</v>
      </c>
      <c r="BB177" s="271">
        <v>0</v>
      </c>
      <c r="BC177" s="271">
        <v>0</v>
      </c>
      <c r="BD177" s="271">
        <v>0</v>
      </c>
      <c r="BE177" s="271">
        <v>0</v>
      </c>
      <c r="BF177" s="271">
        <v>0</v>
      </c>
      <c r="BG177" s="271">
        <v>0</v>
      </c>
      <c r="BH177" s="271">
        <v>0</v>
      </c>
      <c r="BI177" s="271">
        <v>0</v>
      </c>
      <c r="BJ177" s="271">
        <v>0</v>
      </c>
      <c r="BK177" s="271">
        <v>0</v>
      </c>
      <c r="BL177" s="271">
        <v>0</v>
      </c>
      <c r="BM177" s="271">
        <v>0</v>
      </c>
      <c r="BN177" s="271">
        <v>0</v>
      </c>
      <c r="BO177" s="271">
        <v>0</v>
      </c>
      <c r="BP177" s="271">
        <v>0</v>
      </c>
      <c r="BQ177" s="271">
        <v>7245462</v>
      </c>
      <c r="BR177" s="271">
        <v>0</v>
      </c>
      <c r="BS177" s="271">
        <v>0</v>
      </c>
      <c r="BT177" s="300">
        <v>0</v>
      </c>
      <c r="BU177" s="300">
        <v>0</v>
      </c>
      <c r="BV177" s="300">
        <v>0</v>
      </c>
      <c r="BW177" s="300">
        <v>0</v>
      </c>
      <c r="BX177" s="300">
        <v>0</v>
      </c>
      <c r="BY177" s="300">
        <v>0</v>
      </c>
      <c r="BZ177" s="300">
        <v>0</v>
      </c>
      <c r="CA177" s="300">
        <v>0</v>
      </c>
      <c r="CB177" s="300">
        <v>0</v>
      </c>
      <c r="CC177" s="300">
        <v>0</v>
      </c>
      <c r="CD177" s="300">
        <v>0</v>
      </c>
      <c r="CE177" s="300">
        <v>413771</v>
      </c>
    </row>
    <row r="178" spans="1:83" x14ac:dyDescent="0.3">
      <c r="A178" s="271">
        <v>528</v>
      </c>
      <c r="B178" s="271">
        <v>528</v>
      </c>
      <c r="C178" s="271" t="s">
        <v>271</v>
      </c>
      <c r="D178" s="271" t="s">
        <v>495</v>
      </c>
      <c r="E178" s="1113">
        <v>230118</v>
      </c>
      <c r="F178" s="1113">
        <v>764184</v>
      </c>
      <c r="G178" s="1113">
        <v>77774</v>
      </c>
      <c r="H178" s="1113">
        <v>270662</v>
      </c>
      <c r="I178" s="1113">
        <v>237436</v>
      </c>
      <c r="J178" s="1113">
        <v>22586</v>
      </c>
      <c r="K178" s="1113">
        <v>18071</v>
      </c>
      <c r="L178" s="1113">
        <v>18933</v>
      </c>
      <c r="M178" s="1113">
        <v>1457274</v>
      </c>
      <c r="N178" s="271">
        <v>62864109</v>
      </c>
      <c r="O178" s="1113">
        <v>948009</v>
      </c>
      <c r="P178" s="1113">
        <v>3755342</v>
      </c>
      <c r="Q178" s="1113">
        <v>7654</v>
      </c>
      <c r="R178" s="1113">
        <v>4543381</v>
      </c>
      <c r="S178" s="271">
        <v>39774</v>
      </c>
      <c r="T178" s="1113">
        <v>136282</v>
      </c>
      <c r="U178" s="1113">
        <v>807435</v>
      </c>
      <c r="V178" s="1113">
        <v>574340</v>
      </c>
      <c r="W178" s="1113">
        <v>2140707</v>
      </c>
      <c r="X178" s="1113">
        <v>824766</v>
      </c>
      <c r="Y178" s="1113">
        <v>163612</v>
      </c>
      <c r="Z178" s="1113">
        <v>306843</v>
      </c>
      <c r="AA178" s="1113">
        <v>13563996</v>
      </c>
      <c r="AB178" s="1113">
        <v>0</v>
      </c>
      <c r="AC178" s="1113">
        <v>176229</v>
      </c>
      <c r="AD178" s="1113">
        <v>17269399</v>
      </c>
      <c r="AE178" s="1113">
        <v>208708</v>
      </c>
      <c r="AF178" s="1113">
        <v>0</v>
      </c>
      <c r="AG178" s="1113">
        <v>28296105</v>
      </c>
      <c r="AH178" s="1113">
        <v>46666</v>
      </c>
      <c r="AI178" s="1113">
        <v>98902</v>
      </c>
      <c r="AJ178" s="1113">
        <v>2938375</v>
      </c>
      <c r="AK178" s="1113">
        <v>275848</v>
      </c>
      <c r="AL178" s="271">
        <v>17461</v>
      </c>
      <c r="AM178" s="1113">
        <v>0</v>
      </c>
      <c r="AN178" s="1113">
        <v>52913</v>
      </c>
      <c r="AO178" s="1113">
        <v>4917920</v>
      </c>
      <c r="AP178" s="1113">
        <v>0</v>
      </c>
      <c r="AQ178" s="1113">
        <v>1737936</v>
      </c>
      <c r="AR178" s="1113">
        <v>771333</v>
      </c>
      <c r="AS178" s="1113">
        <v>28469</v>
      </c>
      <c r="AT178" s="1113">
        <v>254330</v>
      </c>
      <c r="AU178" s="1113">
        <v>44462</v>
      </c>
      <c r="AV178" s="271">
        <v>162723993</v>
      </c>
      <c r="AW178" s="1113">
        <v>30280715</v>
      </c>
      <c r="AX178" s="1113">
        <v>479222</v>
      </c>
      <c r="AY178" s="1113">
        <v>73954</v>
      </c>
      <c r="AZ178" s="1113">
        <v>120178</v>
      </c>
      <c r="BA178" s="1113">
        <v>65655</v>
      </c>
      <c r="BB178" s="1113">
        <v>0</v>
      </c>
      <c r="BC178" s="1113">
        <v>1758169</v>
      </c>
      <c r="BD178" s="1113">
        <v>28983</v>
      </c>
      <c r="BE178" s="1113">
        <v>21417</v>
      </c>
      <c r="BF178" s="1113">
        <v>20270</v>
      </c>
      <c r="BG178" s="1113">
        <v>7243958</v>
      </c>
      <c r="BH178" s="1113">
        <v>6242</v>
      </c>
      <c r="BI178" s="1113">
        <v>4596341</v>
      </c>
      <c r="BJ178" s="1113">
        <v>628007</v>
      </c>
      <c r="BK178" s="1113">
        <v>95584</v>
      </c>
      <c r="BL178" s="1113">
        <v>0</v>
      </c>
      <c r="BM178" s="1113">
        <v>5737216</v>
      </c>
      <c r="BN178" s="1113">
        <v>8099507</v>
      </c>
      <c r="BO178" s="1113">
        <v>529543</v>
      </c>
      <c r="BP178" s="1113">
        <v>25525399</v>
      </c>
      <c r="BQ178" s="1113">
        <v>57706464</v>
      </c>
      <c r="BR178" s="1113">
        <v>103146</v>
      </c>
      <c r="BS178" s="1113">
        <v>2884319</v>
      </c>
      <c r="BT178" s="300">
        <v>225773</v>
      </c>
      <c r="BU178" s="300">
        <v>6237192</v>
      </c>
      <c r="BV178" s="300">
        <v>51968</v>
      </c>
      <c r="BW178" s="300">
        <v>34555</v>
      </c>
      <c r="BX178" s="300">
        <v>2725751</v>
      </c>
      <c r="BY178" s="300">
        <v>0</v>
      </c>
      <c r="BZ178" s="300">
        <v>18847537</v>
      </c>
      <c r="CA178" s="300">
        <v>62692</v>
      </c>
      <c r="CB178" s="300">
        <v>4812156</v>
      </c>
      <c r="CC178" s="300">
        <v>217016</v>
      </c>
      <c r="CD178" s="300">
        <v>1124507</v>
      </c>
      <c r="CE178" s="300">
        <v>19807096</v>
      </c>
    </row>
    <row r="179" spans="1:83" x14ac:dyDescent="0.3">
      <c r="A179" s="271">
        <v>529</v>
      </c>
      <c r="B179" s="271">
        <v>529</v>
      </c>
      <c r="C179" s="271" t="s">
        <v>272</v>
      </c>
      <c r="D179" s="271" t="s">
        <v>496</v>
      </c>
      <c r="E179" s="1113">
        <v>26596</v>
      </c>
      <c r="F179" s="1113">
        <v>93681</v>
      </c>
      <c r="G179" s="1113">
        <v>9853</v>
      </c>
      <c r="H179" s="1113">
        <v>23371</v>
      </c>
      <c r="I179" s="1113">
        <v>30639</v>
      </c>
      <c r="J179" s="1113">
        <v>3244</v>
      </c>
      <c r="K179" s="1113">
        <v>2062</v>
      </c>
      <c r="L179" s="1113">
        <v>2609</v>
      </c>
      <c r="M179" s="1113">
        <v>171515</v>
      </c>
      <c r="N179" s="271">
        <v>7134979</v>
      </c>
      <c r="O179" s="1113">
        <v>57850</v>
      </c>
      <c r="P179" s="1113">
        <v>270971</v>
      </c>
      <c r="Q179" s="1113">
        <v>1720</v>
      </c>
      <c r="R179" s="1113">
        <v>130491</v>
      </c>
      <c r="S179" s="271">
        <v>3683</v>
      </c>
      <c r="T179" s="1113">
        <v>13222</v>
      </c>
      <c r="U179" s="1113">
        <v>66946</v>
      </c>
      <c r="V179" s="1113">
        <v>57738</v>
      </c>
      <c r="W179" s="1113">
        <v>136396</v>
      </c>
      <c r="X179" s="1113">
        <v>87343</v>
      </c>
      <c r="Y179" s="1113">
        <v>25048</v>
      </c>
      <c r="Z179" s="1113">
        <v>33032</v>
      </c>
      <c r="AA179" s="1113">
        <v>1749057</v>
      </c>
      <c r="AB179" s="1113">
        <v>0</v>
      </c>
      <c r="AC179" s="271">
        <v>27642</v>
      </c>
      <c r="AD179" s="1113">
        <v>2156973</v>
      </c>
      <c r="AE179" s="1113">
        <v>31590</v>
      </c>
      <c r="AF179" s="1113">
        <v>0</v>
      </c>
      <c r="AG179" s="1113">
        <v>2590019</v>
      </c>
      <c r="AH179" s="1113">
        <v>13388</v>
      </c>
      <c r="AI179" s="1113">
        <v>15215</v>
      </c>
      <c r="AJ179" s="1113">
        <v>353892</v>
      </c>
      <c r="AK179" s="1113">
        <v>45926</v>
      </c>
      <c r="AL179" s="271">
        <v>3333</v>
      </c>
      <c r="AM179" s="1113">
        <v>0</v>
      </c>
      <c r="AN179" s="1113">
        <v>7698</v>
      </c>
      <c r="AO179" s="1113">
        <v>578649</v>
      </c>
      <c r="AP179" s="1113">
        <v>0</v>
      </c>
      <c r="AQ179" s="1113">
        <v>178625</v>
      </c>
      <c r="AR179" s="1113">
        <v>111384</v>
      </c>
      <c r="AS179" s="1113">
        <v>3011</v>
      </c>
      <c r="AT179" s="1113">
        <v>56075</v>
      </c>
      <c r="AU179" s="1113">
        <v>7006</v>
      </c>
      <c r="AV179" s="271">
        <v>20565922</v>
      </c>
      <c r="AW179" s="1113">
        <v>4767822</v>
      </c>
      <c r="AX179" s="1113">
        <v>89525</v>
      </c>
      <c r="AY179" s="1113">
        <v>12067</v>
      </c>
      <c r="AZ179" s="271">
        <v>18573</v>
      </c>
      <c r="BA179" s="1113">
        <v>11243</v>
      </c>
      <c r="BB179" s="1113">
        <v>0</v>
      </c>
      <c r="BC179" s="1113">
        <v>278660</v>
      </c>
      <c r="BD179" s="271">
        <v>3794</v>
      </c>
      <c r="BE179" s="1113">
        <v>3170</v>
      </c>
      <c r="BF179" s="1113">
        <v>3061</v>
      </c>
      <c r="BG179" s="1113">
        <v>712248</v>
      </c>
      <c r="BH179" s="1113">
        <v>653</v>
      </c>
      <c r="BI179" s="1113">
        <v>627168</v>
      </c>
      <c r="BJ179" s="1113">
        <v>83022</v>
      </c>
      <c r="BK179" s="1113">
        <v>4578</v>
      </c>
      <c r="BL179" s="1113">
        <v>0</v>
      </c>
      <c r="BM179" s="1113">
        <v>604847</v>
      </c>
      <c r="BN179" s="1113">
        <v>692239</v>
      </c>
      <c r="BO179" s="1113">
        <v>58936</v>
      </c>
      <c r="BP179" s="1113">
        <v>2355606</v>
      </c>
      <c r="BQ179" s="1113">
        <v>6803755</v>
      </c>
      <c r="BR179" s="1113">
        <v>12984</v>
      </c>
      <c r="BS179" s="1113">
        <v>23898</v>
      </c>
      <c r="BT179" s="300">
        <v>21120</v>
      </c>
      <c r="BU179" s="300">
        <v>714942</v>
      </c>
      <c r="BV179" s="300">
        <v>11162</v>
      </c>
      <c r="BW179" s="300">
        <v>7570</v>
      </c>
      <c r="BX179" s="300">
        <v>28781</v>
      </c>
      <c r="BY179" s="300">
        <v>0</v>
      </c>
      <c r="BZ179" s="300">
        <v>2029469</v>
      </c>
      <c r="CA179" s="300">
        <v>11187</v>
      </c>
      <c r="CB179" s="300">
        <v>567089</v>
      </c>
      <c r="CC179" s="300">
        <v>30873</v>
      </c>
      <c r="CD179" s="300">
        <v>123251</v>
      </c>
      <c r="CE179" s="300">
        <v>2009091</v>
      </c>
    </row>
    <row r="180" spans="1:83" x14ac:dyDescent="0.3">
      <c r="A180" s="271">
        <v>530</v>
      </c>
      <c r="B180" s="271">
        <v>530</v>
      </c>
      <c r="C180" s="271" t="s">
        <v>273</v>
      </c>
      <c r="D180" s="271" t="s">
        <v>497</v>
      </c>
      <c r="E180" s="1113">
        <v>10908</v>
      </c>
      <c r="F180" s="1113">
        <v>65108</v>
      </c>
      <c r="G180" s="1113">
        <v>601</v>
      </c>
      <c r="H180" s="1113">
        <v>3017</v>
      </c>
      <c r="I180" s="1113">
        <v>1964</v>
      </c>
      <c r="J180" s="1113">
        <v>500</v>
      </c>
      <c r="K180" s="1113">
        <v>0</v>
      </c>
      <c r="L180" s="1113">
        <v>301</v>
      </c>
      <c r="M180" s="1113">
        <v>58494</v>
      </c>
      <c r="N180" s="271">
        <v>329947</v>
      </c>
      <c r="O180" s="1113">
        <v>0</v>
      </c>
      <c r="P180" s="271">
        <v>25018</v>
      </c>
      <c r="Q180" s="1113">
        <v>301</v>
      </c>
      <c r="R180" s="1113">
        <v>36701</v>
      </c>
      <c r="S180" s="271">
        <v>344</v>
      </c>
      <c r="T180" s="1113">
        <v>2662</v>
      </c>
      <c r="U180" s="1113">
        <v>699</v>
      </c>
      <c r="V180" s="1113">
        <v>3032</v>
      </c>
      <c r="W180" s="1113">
        <v>143497</v>
      </c>
      <c r="X180" s="271">
        <v>32217</v>
      </c>
      <c r="Y180" s="1113">
        <v>2150</v>
      </c>
      <c r="Z180" s="1113">
        <v>15071</v>
      </c>
      <c r="AA180" s="1113">
        <v>30066</v>
      </c>
      <c r="AB180" s="1113">
        <v>0</v>
      </c>
      <c r="AC180" s="1113">
        <v>10537</v>
      </c>
      <c r="AD180" s="1113">
        <v>49785</v>
      </c>
      <c r="AE180" s="1113">
        <v>20217</v>
      </c>
      <c r="AF180" s="1113">
        <v>0</v>
      </c>
      <c r="AG180" s="271">
        <v>259565</v>
      </c>
      <c r="AH180" s="1113">
        <v>1931</v>
      </c>
      <c r="AI180" s="1113">
        <v>5840</v>
      </c>
      <c r="AJ180" s="1113">
        <v>55855</v>
      </c>
      <c r="AK180" s="1113">
        <v>3508</v>
      </c>
      <c r="AL180" s="271">
        <v>243</v>
      </c>
      <c r="AM180" s="1113">
        <v>0</v>
      </c>
      <c r="AN180" s="1113">
        <v>3353</v>
      </c>
      <c r="AO180" s="1113">
        <v>75756</v>
      </c>
      <c r="AP180" s="1113">
        <v>0</v>
      </c>
      <c r="AQ180" s="271">
        <v>44006</v>
      </c>
      <c r="AR180" s="1113">
        <v>10027</v>
      </c>
      <c r="AS180" s="1113">
        <v>1143</v>
      </c>
      <c r="AT180" s="1113">
        <v>14040</v>
      </c>
      <c r="AU180" s="1113">
        <v>3285</v>
      </c>
      <c r="AV180" s="271">
        <v>1197214</v>
      </c>
      <c r="AW180" s="1113">
        <v>104263</v>
      </c>
      <c r="AX180" s="1113">
        <v>24502</v>
      </c>
      <c r="AY180" s="1113">
        <v>952</v>
      </c>
      <c r="AZ180" s="271">
        <v>3966</v>
      </c>
      <c r="BA180" s="1113">
        <v>328</v>
      </c>
      <c r="BB180" s="1113">
        <v>0</v>
      </c>
      <c r="BC180" s="1113">
        <v>87745</v>
      </c>
      <c r="BD180" s="271">
        <v>495</v>
      </c>
      <c r="BE180" s="1113">
        <v>1892</v>
      </c>
      <c r="BF180" s="1113">
        <v>426</v>
      </c>
      <c r="BG180" s="1113">
        <v>26994</v>
      </c>
      <c r="BH180" s="1113">
        <v>1357</v>
      </c>
      <c r="BI180" s="1113">
        <v>32429</v>
      </c>
      <c r="BJ180" s="1113">
        <v>8966</v>
      </c>
      <c r="BK180" s="1113">
        <v>2947</v>
      </c>
      <c r="BL180" s="1113">
        <v>0</v>
      </c>
      <c r="BM180" s="1113">
        <v>202451</v>
      </c>
      <c r="BN180" s="1113">
        <v>127941</v>
      </c>
      <c r="BO180" s="1113">
        <v>29080</v>
      </c>
      <c r="BP180" s="1113">
        <v>356527</v>
      </c>
      <c r="BQ180" s="1113">
        <v>612838</v>
      </c>
      <c r="BR180" s="1113">
        <v>1831</v>
      </c>
      <c r="BS180" s="1113">
        <v>10693</v>
      </c>
      <c r="BT180" s="300">
        <v>5356</v>
      </c>
      <c r="BU180" s="300">
        <v>53058</v>
      </c>
      <c r="BV180" s="300">
        <v>5051</v>
      </c>
      <c r="BW180" s="300">
        <v>4124</v>
      </c>
      <c r="BX180" s="300">
        <v>26232</v>
      </c>
      <c r="BY180" s="300">
        <v>0</v>
      </c>
      <c r="BZ180" s="300">
        <v>5869</v>
      </c>
      <c r="CA180" s="300">
        <v>53</v>
      </c>
      <c r="CB180" s="300">
        <v>20813</v>
      </c>
      <c r="CC180" s="300">
        <v>10232</v>
      </c>
      <c r="CD180" s="300">
        <v>47796</v>
      </c>
      <c r="CE180" s="300">
        <v>60060</v>
      </c>
    </row>
    <row r="181" spans="1:83" x14ac:dyDescent="0.3">
      <c r="A181" s="271">
        <v>531</v>
      </c>
      <c r="B181" s="271">
        <v>531</v>
      </c>
      <c r="C181" s="271" t="s">
        <v>274</v>
      </c>
      <c r="D181" s="271" t="s">
        <v>498</v>
      </c>
      <c r="E181" s="271">
        <v>0</v>
      </c>
      <c r="F181" s="271">
        <v>0</v>
      </c>
      <c r="G181" s="271">
        <v>0</v>
      </c>
      <c r="H181" s="1113">
        <v>0</v>
      </c>
      <c r="I181" s="271">
        <v>29</v>
      </c>
      <c r="J181" s="1113">
        <v>56</v>
      </c>
      <c r="K181" s="271">
        <v>0</v>
      </c>
      <c r="L181" s="271">
        <v>0</v>
      </c>
      <c r="M181" s="1113">
        <v>0</v>
      </c>
      <c r="N181" s="271">
        <v>119738</v>
      </c>
      <c r="O181" s="271">
        <v>0</v>
      </c>
      <c r="P181" s="271">
        <v>330</v>
      </c>
      <c r="Q181" s="1113">
        <v>0</v>
      </c>
      <c r="R181" s="271">
        <v>0</v>
      </c>
      <c r="S181" s="271">
        <v>0</v>
      </c>
      <c r="T181" s="271">
        <v>0</v>
      </c>
      <c r="U181" s="271">
        <v>0</v>
      </c>
      <c r="V181" s="271">
        <v>0</v>
      </c>
      <c r="W181" s="271">
        <v>0</v>
      </c>
      <c r="X181" s="271">
        <v>451</v>
      </c>
      <c r="Y181" s="271">
        <v>0</v>
      </c>
      <c r="Z181" s="271">
        <v>0</v>
      </c>
      <c r="AA181" s="271">
        <v>0</v>
      </c>
      <c r="AB181" s="271">
        <v>0</v>
      </c>
      <c r="AC181" s="271">
        <v>0</v>
      </c>
      <c r="AD181" s="271">
        <v>0</v>
      </c>
      <c r="AE181" s="271">
        <v>0</v>
      </c>
      <c r="AF181" s="271">
        <v>0</v>
      </c>
      <c r="AG181" s="271">
        <v>15831</v>
      </c>
      <c r="AH181" s="271">
        <v>17</v>
      </c>
      <c r="AI181" s="271">
        <v>0</v>
      </c>
      <c r="AJ181" s="271">
        <v>0</v>
      </c>
      <c r="AK181" s="271">
        <v>0</v>
      </c>
      <c r="AL181" s="271">
        <v>0</v>
      </c>
      <c r="AM181" s="271">
        <v>0</v>
      </c>
      <c r="AN181" s="271">
        <v>0</v>
      </c>
      <c r="AO181" s="271">
        <v>7484</v>
      </c>
      <c r="AP181" s="271">
        <v>0</v>
      </c>
      <c r="AQ181" s="271">
        <v>0</v>
      </c>
      <c r="AR181" s="271">
        <v>0</v>
      </c>
      <c r="AS181" s="271">
        <v>0</v>
      </c>
      <c r="AT181" s="271">
        <v>0</v>
      </c>
      <c r="AU181" s="271">
        <v>0</v>
      </c>
      <c r="AV181" s="271">
        <v>51635</v>
      </c>
      <c r="AW181" s="271">
        <v>0</v>
      </c>
      <c r="AX181" s="271">
        <v>0</v>
      </c>
      <c r="AY181" s="271">
        <v>0</v>
      </c>
      <c r="AZ181" s="271">
        <v>0</v>
      </c>
      <c r="BA181" s="271">
        <v>0</v>
      </c>
      <c r="BB181" s="271">
        <v>0</v>
      </c>
      <c r="BC181" s="271">
        <v>0</v>
      </c>
      <c r="BD181" s="271">
        <v>0</v>
      </c>
      <c r="BE181" s="271">
        <v>0</v>
      </c>
      <c r="BF181" s="271">
        <v>0</v>
      </c>
      <c r="BG181" s="271">
        <v>0</v>
      </c>
      <c r="BH181" s="271">
        <v>0</v>
      </c>
      <c r="BI181" s="271">
        <v>0</v>
      </c>
      <c r="BJ181" s="271">
        <v>901</v>
      </c>
      <c r="BK181" s="271">
        <v>0</v>
      </c>
      <c r="BL181" s="271">
        <v>0</v>
      </c>
      <c r="BM181" s="271">
        <v>0</v>
      </c>
      <c r="BN181" s="271">
        <v>1240</v>
      </c>
      <c r="BO181" s="271">
        <v>0</v>
      </c>
      <c r="BP181" s="1113">
        <v>0</v>
      </c>
      <c r="BQ181" s="1113">
        <v>6117</v>
      </c>
      <c r="BR181" s="271">
        <v>0</v>
      </c>
      <c r="BS181" s="271">
        <v>0</v>
      </c>
      <c r="BT181" s="300">
        <v>0</v>
      </c>
      <c r="BU181" s="300">
        <v>0</v>
      </c>
      <c r="BV181" s="300">
        <v>0</v>
      </c>
      <c r="BW181" s="300">
        <v>0</v>
      </c>
      <c r="BX181" s="300">
        <v>0</v>
      </c>
      <c r="BY181" s="300">
        <v>0</v>
      </c>
      <c r="BZ181" s="300">
        <v>10624</v>
      </c>
      <c r="CA181" s="300">
        <v>0</v>
      </c>
      <c r="CB181" s="300">
        <v>9765</v>
      </c>
      <c r="CC181" s="300">
        <v>0</v>
      </c>
      <c r="CD181" s="300">
        <v>0</v>
      </c>
      <c r="CE181" s="300">
        <v>0</v>
      </c>
    </row>
    <row r="182" spans="1:83" x14ac:dyDescent="0.3">
      <c r="A182" s="271">
        <v>532</v>
      </c>
      <c r="B182" s="271">
        <v>532</v>
      </c>
      <c r="C182" s="271" t="s">
        <v>568</v>
      </c>
      <c r="D182" s="271" t="s">
        <v>499</v>
      </c>
      <c r="E182" s="1113">
        <v>2652337</v>
      </c>
      <c r="F182" s="1113">
        <v>2375429</v>
      </c>
      <c r="G182" s="1113">
        <v>971481</v>
      </c>
      <c r="H182" s="1113">
        <v>865670</v>
      </c>
      <c r="I182" s="1113">
        <v>620042</v>
      </c>
      <c r="J182" s="1113">
        <v>408021</v>
      </c>
      <c r="K182" s="1113">
        <v>58326</v>
      </c>
      <c r="L182" s="1113">
        <v>69683</v>
      </c>
      <c r="M182" s="1113">
        <v>4834650</v>
      </c>
      <c r="N182" s="1113">
        <v>149154663</v>
      </c>
      <c r="O182" s="1113">
        <v>1646555</v>
      </c>
      <c r="P182" s="1113">
        <v>6835026</v>
      </c>
      <c r="Q182" s="1113">
        <v>140421</v>
      </c>
      <c r="R182" s="1113">
        <v>16622793</v>
      </c>
      <c r="S182" s="271">
        <v>68683</v>
      </c>
      <c r="T182" s="1113">
        <v>265541</v>
      </c>
      <c r="U182" s="1113">
        <v>1848615</v>
      </c>
      <c r="V182" s="1113">
        <v>1575173</v>
      </c>
      <c r="W182" s="1113">
        <v>4348579</v>
      </c>
      <c r="X182" s="1113">
        <v>2117039</v>
      </c>
      <c r="Y182" s="1113">
        <v>705208</v>
      </c>
      <c r="Z182" s="1113">
        <v>1142613</v>
      </c>
      <c r="AA182" s="1113">
        <v>24558955</v>
      </c>
      <c r="AB182" s="1113">
        <v>1017117</v>
      </c>
      <c r="AC182" s="1113">
        <v>628807</v>
      </c>
      <c r="AD182" s="1113">
        <v>35423212</v>
      </c>
      <c r="AE182" s="1113">
        <v>717536</v>
      </c>
      <c r="AF182" s="1113">
        <v>0</v>
      </c>
      <c r="AG182" s="1113">
        <v>59254431</v>
      </c>
      <c r="AH182" s="1113">
        <v>121739</v>
      </c>
      <c r="AI182" s="1113">
        <v>203586</v>
      </c>
      <c r="AJ182" s="1113">
        <v>7286404</v>
      </c>
      <c r="AK182" s="1113">
        <v>754061</v>
      </c>
      <c r="AL182" s="271">
        <v>53565</v>
      </c>
      <c r="AM182" s="1113">
        <v>0</v>
      </c>
      <c r="AN182" s="1113">
        <v>119539</v>
      </c>
      <c r="AO182" s="1113">
        <v>12455163</v>
      </c>
      <c r="AP182" s="1113">
        <v>65186</v>
      </c>
      <c r="AQ182" s="1113">
        <v>4195277</v>
      </c>
      <c r="AR182" s="1113">
        <v>2546993</v>
      </c>
      <c r="AS182" s="1113">
        <v>53375</v>
      </c>
      <c r="AT182" s="1113">
        <v>900974</v>
      </c>
      <c r="AU182" s="1113">
        <v>161614</v>
      </c>
      <c r="AV182" s="271">
        <v>248743183</v>
      </c>
      <c r="AW182" s="1113">
        <v>71417048</v>
      </c>
      <c r="AX182" s="1113">
        <v>1634588</v>
      </c>
      <c r="AY182" s="1113">
        <v>281354</v>
      </c>
      <c r="AZ182" s="1113">
        <v>296811</v>
      </c>
      <c r="BA182" s="1113">
        <v>198124</v>
      </c>
      <c r="BB182" s="1113">
        <v>0</v>
      </c>
      <c r="BC182" s="1113">
        <v>5227129</v>
      </c>
      <c r="BD182" s="1113">
        <v>246781</v>
      </c>
      <c r="BE182" s="1113">
        <v>96190</v>
      </c>
      <c r="BF182" s="1113">
        <v>47047</v>
      </c>
      <c r="BG182" s="1113">
        <v>12024762</v>
      </c>
      <c r="BH182" s="1113">
        <v>14981</v>
      </c>
      <c r="BI182" s="1113">
        <v>12716004</v>
      </c>
      <c r="BJ182" s="1113">
        <v>2452624</v>
      </c>
      <c r="BK182" s="1113">
        <v>200146</v>
      </c>
      <c r="BL182" s="1113">
        <v>72187</v>
      </c>
      <c r="BM182" s="1113">
        <v>15190694</v>
      </c>
      <c r="BN182" s="1113">
        <v>15301886</v>
      </c>
      <c r="BO182" s="1113">
        <v>1707016</v>
      </c>
      <c r="BP182" s="1113">
        <v>48324924</v>
      </c>
      <c r="BQ182" s="1113">
        <v>107797366</v>
      </c>
      <c r="BR182" s="1113">
        <v>362835</v>
      </c>
      <c r="BS182" s="1113">
        <v>5638197</v>
      </c>
      <c r="BT182" s="300">
        <v>1467218</v>
      </c>
      <c r="BU182" s="300">
        <v>9349876</v>
      </c>
      <c r="BV182" s="300">
        <v>146707</v>
      </c>
      <c r="BW182" s="300">
        <v>568419</v>
      </c>
      <c r="BX182" s="300">
        <v>2562144</v>
      </c>
      <c r="BY182" s="300">
        <v>0</v>
      </c>
      <c r="BZ182" s="300">
        <v>36876678</v>
      </c>
      <c r="CA182" s="300">
        <v>267604</v>
      </c>
      <c r="CB182" s="300">
        <v>14008315</v>
      </c>
      <c r="CC182" s="300">
        <v>572766</v>
      </c>
      <c r="CD182" s="300">
        <v>3278980</v>
      </c>
      <c r="CE182" s="300">
        <v>38589274</v>
      </c>
    </row>
    <row r="183" spans="1:83" x14ac:dyDescent="0.3">
      <c r="A183" s="271">
        <v>533</v>
      </c>
      <c r="B183" s="271">
        <v>533</v>
      </c>
      <c r="C183" s="271" t="s">
        <v>569</v>
      </c>
      <c r="D183" s="271" t="s">
        <v>500</v>
      </c>
      <c r="E183" s="1113">
        <v>0</v>
      </c>
      <c r="F183" s="271">
        <v>0</v>
      </c>
      <c r="G183" s="271">
        <v>600000</v>
      </c>
      <c r="H183" s="1113">
        <v>0</v>
      </c>
      <c r="I183" s="271">
        <v>0</v>
      </c>
      <c r="J183" s="271">
        <v>0</v>
      </c>
      <c r="K183" s="271">
        <v>0</v>
      </c>
      <c r="L183" s="271">
        <v>0</v>
      </c>
      <c r="M183" s="271">
        <v>0</v>
      </c>
      <c r="N183" s="271">
        <v>2550000</v>
      </c>
      <c r="O183" s="271">
        <v>0</v>
      </c>
      <c r="P183" s="1113">
        <v>0</v>
      </c>
      <c r="Q183" s="1113">
        <v>0</v>
      </c>
      <c r="R183" s="271">
        <v>0</v>
      </c>
      <c r="S183" s="271">
        <v>0</v>
      </c>
      <c r="T183" s="271">
        <v>0</v>
      </c>
      <c r="U183" s="271">
        <v>0</v>
      </c>
      <c r="V183" s="271">
        <v>0</v>
      </c>
      <c r="W183" s="271">
        <v>0</v>
      </c>
      <c r="X183" s="271">
        <v>0</v>
      </c>
      <c r="Y183" s="1113">
        <v>0</v>
      </c>
      <c r="Z183" s="271">
        <v>0</v>
      </c>
      <c r="AA183" s="271">
        <v>0</v>
      </c>
      <c r="AB183" s="1113">
        <v>0</v>
      </c>
      <c r="AC183" s="271">
        <v>45903</v>
      </c>
      <c r="AD183" s="1113">
        <v>0</v>
      </c>
      <c r="AE183" s="271">
        <v>0</v>
      </c>
      <c r="AF183" s="271">
        <v>0</v>
      </c>
      <c r="AG183" s="271">
        <v>0</v>
      </c>
      <c r="AH183" s="1113">
        <v>0</v>
      </c>
      <c r="AI183" s="271">
        <v>0</v>
      </c>
      <c r="AJ183" s="271">
        <v>623980</v>
      </c>
      <c r="AK183" s="1113">
        <v>0</v>
      </c>
      <c r="AL183" s="271">
        <v>0</v>
      </c>
      <c r="AM183" s="271">
        <v>0</v>
      </c>
      <c r="AN183" s="271">
        <v>0</v>
      </c>
      <c r="AO183" s="271">
        <v>0</v>
      </c>
      <c r="AP183" s="1113">
        <v>0</v>
      </c>
      <c r="AQ183" s="271">
        <v>0</v>
      </c>
      <c r="AR183" s="271">
        <v>0</v>
      </c>
      <c r="AS183" s="271">
        <v>0</v>
      </c>
      <c r="AT183" s="271">
        <v>0</v>
      </c>
      <c r="AU183" s="271">
        <v>0</v>
      </c>
      <c r="AV183" s="271">
        <v>0</v>
      </c>
      <c r="AW183" s="1113">
        <v>0</v>
      </c>
      <c r="AX183" s="1113">
        <v>0</v>
      </c>
      <c r="AY183" s="1113">
        <v>0</v>
      </c>
      <c r="AZ183" s="271">
        <v>0</v>
      </c>
      <c r="BA183" s="271">
        <v>0</v>
      </c>
      <c r="BB183" s="1113">
        <v>0</v>
      </c>
      <c r="BC183" s="271">
        <v>0</v>
      </c>
      <c r="BD183" s="271">
        <v>0</v>
      </c>
      <c r="BE183" s="271">
        <v>0</v>
      </c>
      <c r="BF183" s="1113">
        <v>0</v>
      </c>
      <c r="BG183" s="271">
        <v>0</v>
      </c>
      <c r="BH183" s="271">
        <v>0</v>
      </c>
      <c r="BI183" s="271">
        <v>0</v>
      </c>
      <c r="BJ183" s="271">
        <v>87139</v>
      </c>
      <c r="BK183" s="1113">
        <v>0</v>
      </c>
      <c r="BL183" s="271">
        <v>0</v>
      </c>
      <c r="BM183" s="271">
        <v>600718</v>
      </c>
      <c r="BN183" s="271">
        <v>465100</v>
      </c>
      <c r="BO183" s="271">
        <v>0</v>
      </c>
      <c r="BP183" s="1113">
        <v>575000</v>
      </c>
      <c r="BQ183" s="1113">
        <v>5155000</v>
      </c>
      <c r="BR183" s="271">
        <v>0</v>
      </c>
      <c r="BS183" s="271">
        <v>0</v>
      </c>
      <c r="BT183" s="300">
        <v>0</v>
      </c>
      <c r="BU183" s="300">
        <v>0</v>
      </c>
      <c r="BV183" s="300">
        <v>0</v>
      </c>
      <c r="BW183" s="300">
        <v>0</v>
      </c>
      <c r="BX183" s="300">
        <v>0</v>
      </c>
      <c r="BY183" s="300">
        <v>0</v>
      </c>
      <c r="BZ183" s="300">
        <v>0</v>
      </c>
      <c r="CA183" s="300">
        <v>0</v>
      </c>
      <c r="CB183" s="300">
        <v>0</v>
      </c>
      <c r="CC183" s="300">
        <v>0</v>
      </c>
      <c r="CD183" s="300">
        <v>126989</v>
      </c>
      <c r="CE183" s="300">
        <v>0</v>
      </c>
    </row>
    <row r="184" spans="1:83" x14ac:dyDescent="0.3">
      <c r="A184" s="271"/>
      <c r="B184" s="271">
        <v>534</v>
      </c>
      <c r="C184" s="271" t="s">
        <v>275</v>
      </c>
      <c r="D184" s="271" t="s">
        <v>501</v>
      </c>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71"/>
      <c r="AE184" s="271"/>
      <c r="AF184" s="271"/>
      <c r="AG184" s="271"/>
      <c r="AH184" s="271"/>
      <c r="AI184" s="271"/>
      <c r="AJ184" s="271"/>
      <c r="AK184" s="271"/>
      <c r="AL184" s="271"/>
      <c r="AM184" s="271"/>
      <c r="AN184" s="271"/>
      <c r="AO184" s="271"/>
      <c r="AP184" s="271"/>
      <c r="AQ184" s="271"/>
      <c r="AR184" s="271"/>
      <c r="AS184" s="271"/>
      <c r="AT184" s="271"/>
      <c r="AU184" s="271"/>
      <c r="AV184" s="271"/>
      <c r="AW184" s="271"/>
      <c r="AX184" s="271"/>
      <c r="AY184" s="271"/>
      <c r="AZ184" s="271"/>
      <c r="BA184" s="271"/>
      <c r="BB184" s="271"/>
      <c r="BC184" s="271"/>
      <c r="BD184" s="271"/>
      <c r="BE184" s="271"/>
      <c r="BF184" s="271"/>
      <c r="BG184" s="271"/>
      <c r="BH184" s="271"/>
      <c r="BI184" s="271"/>
      <c r="BJ184" s="271"/>
      <c r="BK184" s="271"/>
      <c r="BL184" s="271"/>
      <c r="BM184" s="271"/>
      <c r="BN184" s="271"/>
      <c r="BO184" s="271"/>
      <c r="BP184" s="271"/>
      <c r="BQ184" s="271"/>
      <c r="BR184" s="271"/>
      <c r="BS184" s="271"/>
    </row>
    <row r="185" spans="1:83" x14ac:dyDescent="0.3">
      <c r="A185" s="271">
        <v>535</v>
      </c>
      <c r="B185" s="271">
        <v>535</v>
      </c>
      <c r="C185" s="271" t="s">
        <v>253</v>
      </c>
      <c r="D185" s="271" t="s">
        <v>502</v>
      </c>
      <c r="E185" s="271">
        <v>0</v>
      </c>
      <c r="F185" s="271">
        <v>0</v>
      </c>
      <c r="G185" s="271">
        <v>0</v>
      </c>
      <c r="H185" s="271">
        <v>0</v>
      </c>
      <c r="I185" s="271">
        <v>0</v>
      </c>
      <c r="J185" s="271">
        <v>0</v>
      </c>
      <c r="K185" s="271">
        <v>0</v>
      </c>
      <c r="L185" s="271">
        <v>0</v>
      </c>
      <c r="M185" s="1113">
        <v>0</v>
      </c>
      <c r="N185" s="271">
        <v>20195338</v>
      </c>
      <c r="O185" s="271">
        <v>0</v>
      </c>
      <c r="P185" s="271">
        <v>0</v>
      </c>
      <c r="Q185" s="1113">
        <v>0</v>
      </c>
      <c r="R185" s="271">
        <v>260261</v>
      </c>
      <c r="S185" s="271">
        <v>0</v>
      </c>
      <c r="T185" s="271">
        <v>0</v>
      </c>
      <c r="U185" s="271">
        <v>0</v>
      </c>
      <c r="V185" s="271">
        <v>0</v>
      </c>
      <c r="W185" s="271">
        <v>0</v>
      </c>
      <c r="X185" s="271">
        <v>0</v>
      </c>
      <c r="Y185" s="271">
        <v>0</v>
      </c>
      <c r="Z185" s="271">
        <v>0</v>
      </c>
      <c r="AA185" s="271">
        <v>4994489</v>
      </c>
      <c r="AB185" s="271">
        <v>0</v>
      </c>
      <c r="AC185" s="271">
        <v>0</v>
      </c>
      <c r="AD185" s="271">
        <v>0</v>
      </c>
      <c r="AE185" s="271">
        <v>0</v>
      </c>
      <c r="AF185" s="271">
        <v>0</v>
      </c>
      <c r="AG185" s="271">
        <v>7445701</v>
      </c>
      <c r="AH185" s="271">
        <v>0</v>
      </c>
      <c r="AI185" s="271">
        <v>0</v>
      </c>
      <c r="AJ185" s="271">
        <v>0</v>
      </c>
      <c r="AK185" s="1113">
        <v>0</v>
      </c>
      <c r="AL185" s="271">
        <v>0</v>
      </c>
      <c r="AM185" s="271">
        <v>0</v>
      </c>
      <c r="AN185" s="271">
        <v>0</v>
      </c>
      <c r="AO185" s="271">
        <v>0</v>
      </c>
      <c r="AP185" s="271">
        <v>0</v>
      </c>
      <c r="AQ185" s="271">
        <v>0</v>
      </c>
      <c r="AR185" s="271">
        <v>0</v>
      </c>
      <c r="AS185" s="271">
        <v>0</v>
      </c>
      <c r="AT185" s="271">
        <v>0</v>
      </c>
      <c r="AU185" s="271">
        <v>0</v>
      </c>
      <c r="AV185" s="271">
        <v>80426609</v>
      </c>
      <c r="AW185" s="271">
        <v>54628705</v>
      </c>
      <c r="AX185" s="271">
        <v>75179</v>
      </c>
      <c r="AY185" s="1113">
        <v>0</v>
      </c>
      <c r="AZ185" s="271">
        <v>0</v>
      </c>
      <c r="BA185" s="271">
        <v>0</v>
      </c>
      <c r="BB185" s="271">
        <v>0</v>
      </c>
      <c r="BC185" s="271">
        <v>0</v>
      </c>
      <c r="BD185" s="271">
        <v>0</v>
      </c>
      <c r="BE185" s="271">
        <v>0</v>
      </c>
      <c r="BF185" s="271">
        <v>0</v>
      </c>
      <c r="BG185" s="271">
        <v>560482</v>
      </c>
      <c r="BH185" s="271">
        <v>0</v>
      </c>
      <c r="BI185" s="271">
        <v>0</v>
      </c>
      <c r="BJ185" s="271">
        <v>0</v>
      </c>
      <c r="BK185" s="271">
        <v>0</v>
      </c>
      <c r="BL185" s="271">
        <v>0</v>
      </c>
      <c r="BM185" s="271">
        <v>0</v>
      </c>
      <c r="BN185" s="271">
        <v>732027</v>
      </c>
      <c r="BO185" s="271">
        <v>0</v>
      </c>
      <c r="BP185" s="271">
        <v>8405866</v>
      </c>
      <c r="BQ185" s="271">
        <v>28594526</v>
      </c>
      <c r="BR185" s="271">
        <v>0</v>
      </c>
      <c r="BS185" s="271">
        <v>4600000</v>
      </c>
      <c r="BT185" s="300">
        <v>0</v>
      </c>
      <c r="BU185" s="300">
        <v>3058507</v>
      </c>
      <c r="BV185" s="300">
        <v>0</v>
      </c>
      <c r="BW185" s="300">
        <v>0</v>
      </c>
      <c r="BX185" s="300">
        <v>0</v>
      </c>
      <c r="BY185" s="300">
        <v>0</v>
      </c>
      <c r="BZ185" s="300">
        <v>0</v>
      </c>
      <c r="CA185" s="300">
        <v>0</v>
      </c>
      <c r="CB185" s="300">
        <v>0</v>
      </c>
      <c r="CC185" s="300">
        <v>0</v>
      </c>
      <c r="CD185" s="300">
        <v>0</v>
      </c>
      <c r="CE185" s="300">
        <v>2656369</v>
      </c>
    </row>
    <row r="186" spans="1:83" x14ac:dyDescent="0.3">
      <c r="A186" s="271">
        <v>536</v>
      </c>
      <c r="B186" s="271">
        <v>536</v>
      </c>
      <c r="C186" s="271" t="s">
        <v>199</v>
      </c>
      <c r="D186" s="271" t="s">
        <v>503</v>
      </c>
      <c r="E186" s="1113">
        <v>131351</v>
      </c>
      <c r="F186" s="271">
        <v>76140</v>
      </c>
      <c r="G186" s="1113">
        <v>0</v>
      </c>
      <c r="H186" s="1113">
        <v>18118</v>
      </c>
      <c r="I186" s="1113">
        <v>165000</v>
      </c>
      <c r="J186" s="1113">
        <v>9829</v>
      </c>
      <c r="K186" s="1113">
        <v>25317</v>
      </c>
      <c r="L186" s="1113">
        <v>202684</v>
      </c>
      <c r="M186" s="1113">
        <v>662356</v>
      </c>
      <c r="N186" s="271">
        <v>4545982</v>
      </c>
      <c r="O186" s="1113">
        <v>0</v>
      </c>
      <c r="P186" s="271">
        <v>571851</v>
      </c>
      <c r="Q186" s="1113">
        <v>18218</v>
      </c>
      <c r="R186" s="1113">
        <v>776441</v>
      </c>
      <c r="S186" s="271">
        <v>3228</v>
      </c>
      <c r="T186" s="1113">
        <v>59067</v>
      </c>
      <c r="U186" s="1113">
        <v>76161</v>
      </c>
      <c r="V186" s="1113">
        <v>0</v>
      </c>
      <c r="W186" s="1113">
        <v>664177</v>
      </c>
      <c r="X186" s="271">
        <v>24449</v>
      </c>
      <c r="Y186" s="1113">
        <v>13674</v>
      </c>
      <c r="Z186" s="1113">
        <v>109744</v>
      </c>
      <c r="AA186" s="1113">
        <v>1755094</v>
      </c>
      <c r="AB186" s="1113">
        <v>3073405</v>
      </c>
      <c r="AC186" s="1113">
        <v>16890</v>
      </c>
      <c r="AD186" s="271">
        <v>0</v>
      </c>
      <c r="AE186" s="271">
        <v>78145</v>
      </c>
      <c r="AF186" s="1113">
        <v>0</v>
      </c>
      <c r="AG186" s="1113">
        <v>3230841</v>
      </c>
      <c r="AH186" s="1113">
        <v>41500</v>
      </c>
      <c r="AI186" s="271">
        <v>30347</v>
      </c>
      <c r="AJ186" s="1113">
        <v>322370</v>
      </c>
      <c r="AK186" s="1113">
        <v>57654</v>
      </c>
      <c r="AL186" s="271">
        <v>20447</v>
      </c>
      <c r="AM186" s="271">
        <v>0</v>
      </c>
      <c r="AN186" s="1113">
        <v>105449</v>
      </c>
      <c r="AO186" s="1113">
        <v>372650</v>
      </c>
      <c r="AP186" s="1113">
        <v>0</v>
      </c>
      <c r="AQ186" s="1113">
        <v>14713</v>
      </c>
      <c r="AR186" s="1113">
        <v>52377</v>
      </c>
      <c r="AS186" s="271">
        <v>0</v>
      </c>
      <c r="AT186" s="271">
        <v>146834</v>
      </c>
      <c r="AU186" s="1113">
        <v>172096</v>
      </c>
      <c r="AV186" s="271">
        <v>1455326</v>
      </c>
      <c r="AW186" s="1113">
        <v>1245700</v>
      </c>
      <c r="AX186" s="1113">
        <v>22947</v>
      </c>
      <c r="AY186" s="1113">
        <v>13891</v>
      </c>
      <c r="AZ186" s="1113">
        <v>78342</v>
      </c>
      <c r="BA186" s="1113">
        <v>81673</v>
      </c>
      <c r="BB186" s="1113">
        <v>0</v>
      </c>
      <c r="BC186" s="1113">
        <v>44431</v>
      </c>
      <c r="BD186" s="1113">
        <v>0</v>
      </c>
      <c r="BE186" s="1113">
        <v>37579</v>
      </c>
      <c r="BF186" s="1113">
        <v>13654</v>
      </c>
      <c r="BG186" s="1113">
        <v>421363</v>
      </c>
      <c r="BH186" s="1113">
        <v>20370</v>
      </c>
      <c r="BI186" s="1113">
        <v>785677</v>
      </c>
      <c r="BJ186" s="1113">
        <v>586034</v>
      </c>
      <c r="BK186" s="1113">
        <v>84063</v>
      </c>
      <c r="BL186" s="1113">
        <v>0</v>
      </c>
      <c r="BM186" s="271">
        <v>1036622</v>
      </c>
      <c r="BN186" s="1113">
        <v>0</v>
      </c>
      <c r="BO186" s="1113">
        <v>339241</v>
      </c>
      <c r="BP186" s="271">
        <v>76648</v>
      </c>
      <c r="BQ186" s="1113">
        <v>1646090</v>
      </c>
      <c r="BR186" s="1113">
        <v>6383</v>
      </c>
      <c r="BS186" s="1113">
        <v>112145</v>
      </c>
      <c r="BT186" s="300">
        <v>218347</v>
      </c>
      <c r="BU186" s="300">
        <v>75919</v>
      </c>
      <c r="BV186" s="300">
        <v>67992</v>
      </c>
      <c r="BW186" s="300">
        <v>136238</v>
      </c>
      <c r="BX186" s="300">
        <v>0</v>
      </c>
      <c r="BY186" s="300">
        <v>0</v>
      </c>
      <c r="BZ186" s="300">
        <v>5133741</v>
      </c>
      <c r="CA186" s="300">
        <v>16572</v>
      </c>
      <c r="CB186" s="300">
        <v>29194</v>
      </c>
      <c r="CC186" s="300">
        <v>72955</v>
      </c>
      <c r="CD186" s="300">
        <v>226867</v>
      </c>
      <c r="CE186" s="300">
        <v>10901211</v>
      </c>
    </row>
    <row r="187" spans="1:83" x14ac:dyDescent="0.3">
      <c r="A187" s="271">
        <v>537</v>
      </c>
      <c r="B187" s="271">
        <v>537</v>
      </c>
      <c r="C187" s="271" t="s">
        <v>1757</v>
      </c>
      <c r="D187" s="271" t="s">
        <v>504</v>
      </c>
      <c r="E187" s="271">
        <v>2</v>
      </c>
      <c r="F187" s="271">
        <v>2</v>
      </c>
      <c r="G187" s="271">
        <v>0</v>
      </c>
      <c r="H187" s="271">
        <v>1</v>
      </c>
      <c r="I187" s="271">
        <v>2</v>
      </c>
      <c r="J187" s="271">
        <v>2</v>
      </c>
      <c r="K187" s="271">
        <v>0</v>
      </c>
      <c r="L187" s="271">
        <v>2</v>
      </c>
      <c r="M187" s="271">
        <v>2</v>
      </c>
      <c r="N187" s="271">
        <v>0</v>
      </c>
      <c r="O187" s="271">
        <v>0</v>
      </c>
      <c r="P187" s="271">
        <v>0</v>
      </c>
      <c r="Q187" s="271">
        <v>2</v>
      </c>
      <c r="R187" s="271">
        <v>2</v>
      </c>
      <c r="S187" s="271">
        <v>0</v>
      </c>
      <c r="T187" s="271">
        <v>2</v>
      </c>
      <c r="U187" s="271">
        <v>2</v>
      </c>
      <c r="V187" s="271">
        <v>2</v>
      </c>
      <c r="W187" s="271">
        <v>1</v>
      </c>
      <c r="X187" s="271">
        <v>0</v>
      </c>
      <c r="Y187" s="271">
        <v>2</v>
      </c>
      <c r="Z187" s="271">
        <v>2</v>
      </c>
      <c r="AA187" s="271">
        <v>1</v>
      </c>
      <c r="AB187" s="271">
        <v>2</v>
      </c>
      <c r="AC187" s="271">
        <v>1</v>
      </c>
      <c r="AD187" s="271">
        <v>0</v>
      </c>
      <c r="AE187" s="271">
        <v>0</v>
      </c>
      <c r="AF187" s="271">
        <v>0</v>
      </c>
      <c r="AG187" s="271">
        <v>1</v>
      </c>
      <c r="AH187" s="271">
        <v>2</v>
      </c>
      <c r="AI187" s="271">
        <v>2</v>
      </c>
      <c r="AJ187" s="271">
        <v>2</v>
      </c>
      <c r="AK187" s="271">
        <v>2</v>
      </c>
      <c r="AL187" s="271">
        <v>2</v>
      </c>
      <c r="AM187" s="271">
        <v>0</v>
      </c>
      <c r="AN187" s="271">
        <v>2</v>
      </c>
      <c r="AO187" s="271">
        <v>2</v>
      </c>
      <c r="AP187" s="271">
        <v>2</v>
      </c>
      <c r="AQ187" s="271">
        <v>1</v>
      </c>
      <c r="AR187" s="271">
        <v>0</v>
      </c>
      <c r="AS187" s="271">
        <v>0</v>
      </c>
      <c r="AT187" s="271">
        <v>2</v>
      </c>
      <c r="AU187" s="271">
        <v>1</v>
      </c>
      <c r="AV187" s="271">
        <v>1</v>
      </c>
      <c r="AW187" s="271">
        <v>1</v>
      </c>
      <c r="AX187" s="271">
        <v>2</v>
      </c>
      <c r="AY187" s="271">
        <v>1</v>
      </c>
      <c r="AZ187" s="271">
        <v>2</v>
      </c>
      <c r="BA187" s="271">
        <v>0</v>
      </c>
      <c r="BB187" s="271">
        <v>0</v>
      </c>
      <c r="BC187" s="271">
        <v>2</v>
      </c>
      <c r="BD187" s="271">
        <v>2</v>
      </c>
      <c r="BE187" s="271">
        <v>2</v>
      </c>
      <c r="BF187" s="271">
        <v>0</v>
      </c>
      <c r="BG187" s="271">
        <v>2</v>
      </c>
      <c r="BH187" s="271">
        <v>0</v>
      </c>
      <c r="BI187" s="271">
        <v>1</v>
      </c>
      <c r="BJ187" s="271">
        <v>1</v>
      </c>
      <c r="BK187" s="271">
        <v>2</v>
      </c>
      <c r="BL187" s="271">
        <v>0</v>
      </c>
      <c r="BM187" s="271">
        <v>2</v>
      </c>
      <c r="BN187" s="271">
        <v>1</v>
      </c>
      <c r="BO187" s="271">
        <v>2</v>
      </c>
      <c r="BP187" s="271">
        <v>1</v>
      </c>
      <c r="BQ187" s="271">
        <v>1</v>
      </c>
      <c r="BR187" s="271">
        <v>2</v>
      </c>
      <c r="BS187" s="271">
        <v>2</v>
      </c>
      <c r="BT187" s="300">
        <v>0</v>
      </c>
      <c r="BU187" s="300">
        <v>1</v>
      </c>
      <c r="BV187" s="300">
        <v>2</v>
      </c>
      <c r="BW187" s="300">
        <v>2</v>
      </c>
      <c r="BX187" s="300">
        <v>2</v>
      </c>
      <c r="BY187" s="300">
        <v>0</v>
      </c>
      <c r="BZ187" s="300">
        <v>1</v>
      </c>
      <c r="CA187" s="300">
        <v>2</v>
      </c>
      <c r="CB187" s="300">
        <v>0</v>
      </c>
      <c r="CC187" s="300">
        <v>1</v>
      </c>
      <c r="CD187" s="300">
        <v>0</v>
      </c>
      <c r="CE187" s="300">
        <v>2</v>
      </c>
    </row>
    <row r="188" spans="1:83" x14ac:dyDescent="0.3">
      <c r="A188" s="271">
        <v>538</v>
      </c>
      <c r="B188" s="271">
        <v>538</v>
      </c>
      <c r="C188" s="271" t="s">
        <v>1758</v>
      </c>
      <c r="D188" s="271" t="s">
        <v>505</v>
      </c>
      <c r="E188" s="271">
        <v>2</v>
      </c>
      <c r="F188" s="271">
        <v>2</v>
      </c>
      <c r="G188" s="271">
        <v>0</v>
      </c>
      <c r="H188" s="271">
        <v>2</v>
      </c>
      <c r="I188" s="271">
        <v>2</v>
      </c>
      <c r="J188" s="271">
        <v>1</v>
      </c>
      <c r="K188" s="271">
        <v>0</v>
      </c>
      <c r="L188" s="271">
        <v>2</v>
      </c>
      <c r="M188" s="271">
        <v>2</v>
      </c>
      <c r="N188" s="271">
        <v>0</v>
      </c>
      <c r="O188" s="271">
        <v>0</v>
      </c>
      <c r="P188" s="271">
        <v>0</v>
      </c>
      <c r="Q188" s="271">
        <v>2</v>
      </c>
      <c r="R188" s="271">
        <v>2</v>
      </c>
      <c r="S188" s="271">
        <v>0</v>
      </c>
      <c r="T188" s="271">
        <v>2</v>
      </c>
      <c r="U188" s="271">
        <v>2</v>
      </c>
      <c r="V188" s="271">
        <v>2</v>
      </c>
      <c r="W188" s="271">
        <v>1</v>
      </c>
      <c r="X188" s="271">
        <v>0</v>
      </c>
      <c r="Y188" s="271">
        <v>2</v>
      </c>
      <c r="Z188" s="271">
        <v>1</v>
      </c>
      <c r="AA188" s="271">
        <v>1</v>
      </c>
      <c r="AB188" s="271">
        <v>2</v>
      </c>
      <c r="AC188" s="271">
        <v>2</v>
      </c>
      <c r="AD188" s="271">
        <v>0</v>
      </c>
      <c r="AE188" s="271">
        <v>0</v>
      </c>
      <c r="AF188" s="271">
        <v>0</v>
      </c>
      <c r="AG188" s="271">
        <v>2</v>
      </c>
      <c r="AH188" s="271">
        <v>2</v>
      </c>
      <c r="AI188" s="271">
        <v>2</v>
      </c>
      <c r="AJ188" s="271">
        <v>2</v>
      </c>
      <c r="AK188" s="271">
        <v>2</v>
      </c>
      <c r="AL188" s="271">
        <v>2</v>
      </c>
      <c r="AM188" s="271">
        <v>0</v>
      </c>
      <c r="AN188" s="271">
        <v>2</v>
      </c>
      <c r="AO188" s="271">
        <v>2</v>
      </c>
      <c r="AP188" s="271">
        <v>2</v>
      </c>
      <c r="AQ188" s="271">
        <v>1</v>
      </c>
      <c r="AR188" s="271">
        <v>0</v>
      </c>
      <c r="AS188" s="271">
        <v>0</v>
      </c>
      <c r="AT188" s="271">
        <v>2</v>
      </c>
      <c r="AU188" s="271">
        <v>2</v>
      </c>
      <c r="AV188" s="271">
        <v>1</v>
      </c>
      <c r="AW188" s="271">
        <v>2</v>
      </c>
      <c r="AX188" s="271">
        <v>2</v>
      </c>
      <c r="AY188" s="271">
        <v>2</v>
      </c>
      <c r="AZ188" s="271">
        <v>2</v>
      </c>
      <c r="BA188" s="271">
        <v>0</v>
      </c>
      <c r="BB188" s="271">
        <v>0</v>
      </c>
      <c r="BC188" s="271">
        <v>2</v>
      </c>
      <c r="BD188" s="271">
        <v>0</v>
      </c>
      <c r="BE188" s="271">
        <v>2</v>
      </c>
      <c r="BF188" s="271">
        <v>2</v>
      </c>
      <c r="BG188" s="271">
        <v>1</v>
      </c>
      <c r="BH188" s="271">
        <v>0</v>
      </c>
      <c r="BI188" s="271">
        <v>1</v>
      </c>
      <c r="BJ188" s="271">
        <v>1</v>
      </c>
      <c r="BK188" s="271">
        <v>2</v>
      </c>
      <c r="BL188" s="271">
        <v>0</v>
      </c>
      <c r="BM188" s="271">
        <v>2</v>
      </c>
      <c r="BN188" s="271">
        <v>1</v>
      </c>
      <c r="BO188" s="271">
        <v>0</v>
      </c>
      <c r="BP188" s="271">
        <v>1</v>
      </c>
      <c r="BQ188" s="271">
        <v>1</v>
      </c>
      <c r="BR188" s="271">
        <v>2</v>
      </c>
      <c r="BS188" s="271">
        <v>2</v>
      </c>
      <c r="BT188" s="300">
        <v>0</v>
      </c>
      <c r="BU188" s="300">
        <v>1</v>
      </c>
      <c r="BV188" s="300">
        <v>2</v>
      </c>
      <c r="BW188" s="300">
        <v>2</v>
      </c>
      <c r="BX188" s="300">
        <v>2</v>
      </c>
      <c r="BY188" s="300">
        <v>0</v>
      </c>
      <c r="BZ188" s="300">
        <v>1</v>
      </c>
      <c r="CA188" s="300">
        <v>2</v>
      </c>
      <c r="CB188" s="300">
        <v>0</v>
      </c>
      <c r="CC188" s="300">
        <v>2</v>
      </c>
      <c r="CD188" s="300">
        <v>2</v>
      </c>
      <c r="CE188" s="300">
        <v>2</v>
      </c>
    </row>
    <row r="189" spans="1:83" x14ac:dyDescent="0.3">
      <c r="A189" s="271">
        <v>539</v>
      </c>
      <c r="B189" s="271">
        <v>539</v>
      </c>
      <c r="C189" s="271" t="s">
        <v>1759</v>
      </c>
      <c r="D189" s="271" t="s">
        <v>506</v>
      </c>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c r="AF189" s="271"/>
      <c r="AG189" s="271"/>
      <c r="AH189" s="271"/>
      <c r="AI189" s="271"/>
      <c r="AJ189" s="271"/>
      <c r="AK189" s="271"/>
      <c r="AL189" s="271"/>
      <c r="AM189" s="271"/>
      <c r="AN189" s="271"/>
      <c r="AO189" s="271"/>
      <c r="AP189" s="271"/>
      <c r="AQ189" s="271"/>
      <c r="AR189" s="271"/>
      <c r="AS189" s="271"/>
      <c r="AT189" s="271"/>
      <c r="AU189" s="271"/>
      <c r="AV189" s="271"/>
      <c r="AW189" s="271"/>
      <c r="AX189" s="271"/>
      <c r="AY189" s="271"/>
      <c r="AZ189" s="271"/>
      <c r="BA189" s="271"/>
      <c r="BB189" s="271"/>
      <c r="BC189" s="271"/>
      <c r="BD189" s="271"/>
      <c r="BE189" s="271"/>
      <c r="BF189" s="271"/>
      <c r="BG189" s="271"/>
      <c r="BH189" s="271"/>
      <c r="BI189" s="271"/>
      <c r="BJ189" s="271"/>
      <c r="BK189" s="271"/>
      <c r="BL189" s="271"/>
      <c r="BM189" s="271"/>
      <c r="BN189" s="271"/>
      <c r="BO189" s="271"/>
      <c r="BP189" s="271"/>
      <c r="BQ189" s="271"/>
      <c r="BR189" s="271"/>
      <c r="BS189" s="271"/>
    </row>
    <row r="190" spans="1:83" x14ac:dyDescent="0.3">
      <c r="A190" s="271">
        <v>540</v>
      </c>
      <c r="B190" s="271">
        <v>540</v>
      </c>
      <c r="C190" s="271" t="s">
        <v>1760</v>
      </c>
      <c r="D190" s="271" t="s">
        <v>507</v>
      </c>
      <c r="E190" s="1113">
        <v>0</v>
      </c>
      <c r="F190" s="271">
        <v>0</v>
      </c>
      <c r="G190" s="1113">
        <v>54062</v>
      </c>
      <c r="H190" s="1113">
        <v>0</v>
      </c>
      <c r="I190" s="271">
        <v>19550</v>
      </c>
      <c r="J190" s="271">
        <v>0</v>
      </c>
      <c r="K190" s="1113">
        <v>0</v>
      </c>
      <c r="L190" s="1113">
        <v>0</v>
      </c>
      <c r="M190" s="1113">
        <v>63363</v>
      </c>
      <c r="N190" s="271">
        <v>4242452</v>
      </c>
      <c r="O190" s="1113">
        <v>125437</v>
      </c>
      <c r="P190" s="271">
        <v>20263</v>
      </c>
      <c r="Q190" s="1113">
        <v>0</v>
      </c>
      <c r="R190" s="271">
        <v>1551875</v>
      </c>
      <c r="S190" s="271">
        <v>16000</v>
      </c>
      <c r="T190" s="271">
        <v>0</v>
      </c>
      <c r="U190" s="271">
        <v>0</v>
      </c>
      <c r="V190" s="271">
        <v>0</v>
      </c>
      <c r="W190" s="271">
        <v>214539</v>
      </c>
      <c r="X190" s="271">
        <v>0</v>
      </c>
      <c r="Y190" s="1113">
        <v>0</v>
      </c>
      <c r="Z190" s="1113">
        <v>0</v>
      </c>
      <c r="AA190" s="1113">
        <v>1189271</v>
      </c>
      <c r="AB190" s="271">
        <v>0</v>
      </c>
      <c r="AC190" s="1113">
        <v>60875</v>
      </c>
      <c r="AD190" s="271">
        <v>2888904</v>
      </c>
      <c r="AE190" s="271">
        <v>183853</v>
      </c>
      <c r="AF190" s="271">
        <v>0</v>
      </c>
      <c r="AG190" s="1113">
        <v>0</v>
      </c>
      <c r="AH190" s="1113">
        <v>10000</v>
      </c>
      <c r="AI190" s="1113">
        <v>15000</v>
      </c>
      <c r="AJ190" s="271">
        <v>701999</v>
      </c>
      <c r="AK190" s="271">
        <v>74416</v>
      </c>
      <c r="AL190" s="271">
        <v>0</v>
      </c>
      <c r="AM190" s="271">
        <v>0</v>
      </c>
      <c r="AN190" s="271">
        <v>0</v>
      </c>
      <c r="AO190" s="271">
        <v>1281000</v>
      </c>
      <c r="AP190" s="271">
        <v>22900</v>
      </c>
      <c r="AQ190" s="1113">
        <v>197000</v>
      </c>
      <c r="AR190" s="271">
        <v>0</v>
      </c>
      <c r="AS190" s="271">
        <v>0</v>
      </c>
      <c r="AT190" s="271">
        <v>0</v>
      </c>
      <c r="AU190" s="1113">
        <v>0</v>
      </c>
      <c r="AV190" s="271">
        <v>4853059</v>
      </c>
      <c r="AW190" s="1113">
        <v>650000</v>
      </c>
      <c r="AX190" s="1113">
        <v>0</v>
      </c>
      <c r="AY190" s="1113">
        <v>0</v>
      </c>
      <c r="AZ190" s="271">
        <v>0</v>
      </c>
      <c r="BA190" s="271">
        <v>0</v>
      </c>
      <c r="BB190" s="271">
        <v>0</v>
      </c>
      <c r="BC190" s="271">
        <v>48450</v>
      </c>
      <c r="BD190" s="271">
        <v>0</v>
      </c>
      <c r="BE190" s="271">
        <v>12307</v>
      </c>
      <c r="BF190" s="1113">
        <v>0</v>
      </c>
      <c r="BG190" s="1113">
        <v>0</v>
      </c>
      <c r="BH190" s="271">
        <v>0</v>
      </c>
      <c r="BI190" s="1113">
        <v>365201</v>
      </c>
      <c r="BJ190" s="271">
        <v>0</v>
      </c>
      <c r="BK190" s="271">
        <v>0</v>
      </c>
      <c r="BL190" s="271">
        <v>0</v>
      </c>
      <c r="BM190" s="271">
        <v>1151439</v>
      </c>
      <c r="BN190" s="1113">
        <v>713196</v>
      </c>
      <c r="BO190" s="271">
        <v>0</v>
      </c>
      <c r="BP190" s="271">
        <v>740000</v>
      </c>
      <c r="BQ190" s="1113">
        <v>300000</v>
      </c>
      <c r="BR190" s="271">
        <v>34353</v>
      </c>
      <c r="BS190" s="1113">
        <v>0</v>
      </c>
      <c r="BT190" s="300">
        <v>78338</v>
      </c>
      <c r="BU190" s="300">
        <v>346733</v>
      </c>
      <c r="BV190" s="300">
        <v>0</v>
      </c>
      <c r="BW190" s="300">
        <v>369975</v>
      </c>
      <c r="BX190" s="300">
        <v>0</v>
      </c>
      <c r="BY190" s="300">
        <v>0</v>
      </c>
      <c r="BZ190" s="300">
        <v>0</v>
      </c>
      <c r="CA190" s="300">
        <v>0</v>
      </c>
      <c r="CB190" s="300">
        <v>850000</v>
      </c>
      <c r="CC190" s="300">
        <v>2346</v>
      </c>
      <c r="CD190" s="300">
        <v>333060</v>
      </c>
      <c r="CE190" s="300">
        <v>6225688</v>
      </c>
    </row>
    <row r="191" spans="1:83" x14ac:dyDescent="0.3">
      <c r="A191" s="271">
        <v>541</v>
      </c>
      <c r="B191" s="271">
        <v>541</v>
      </c>
      <c r="C191" s="271" t="s">
        <v>1761</v>
      </c>
      <c r="D191" s="271" t="s">
        <v>508</v>
      </c>
      <c r="E191" s="1113">
        <v>94576</v>
      </c>
      <c r="F191" s="1113">
        <v>24677</v>
      </c>
      <c r="G191" s="1113">
        <v>0</v>
      </c>
      <c r="H191" s="1113">
        <v>-15184</v>
      </c>
      <c r="I191" s="271">
        <v>9362</v>
      </c>
      <c r="J191" s="1113">
        <v>16998</v>
      </c>
      <c r="K191" s="1113">
        <v>0</v>
      </c>
      <c r="L191" s="1113">
        <v>-29375</v>
      </c>
      <c r="M191" s="1113">
        <v>285391</v>
      </c>
      <c r="N191" s="271">
        <v>0</v>
      </c>
      <c r="O191" s="1113">
        <v>0</v>
      </c>
      <c r="P191" s="271">
        <v>0</v>
      </c>
      <c r="Q191" s="1113">
        <v>9673</v>
      </c>
      <c r="R191" s="1113">
        <v>567743</v>
      </c>
      <c r="S191" s="271">
        <v>0</v>
      </c>
      <c r="T191" s="1113">
        <v>1011900</v>
      </c>
      <c r="U191" s="1113">
        <v>13523</v>
      </c>
      <c r="V191" s="1113">
        <v>-29524</v>
      </c>
      <c r="W191" s="1113">
        <v>476008</v>
      </c>
      <c r="X191" s="1113">
        <v>0</v>
      </c>
      <c r="Y191" s="1113">
        <v>-161038</v>
      </c>
      <c r="Z191" s="271">
        <v>-203019</v>
      </c>
      <c r="AA191" s="1113">
        <v>779209</v>
      </c>
      <c r="AB191" s="1113">
        <v>-9459</v>
      </c>
      <c r="AC191" s="1113">
        <v>39863</v>
      </c>
      <c r="AD191" s="1113">
        <v>0</v>
      </c>
      <c r="AE191" s="1113">
        <v>0</v>
      </c>
      <c r="AF191" s="271">
        <v>0</v>
      </c>
      <c r="AG191" s="271">
        <v>3133251</v>
      </c>
      <c r="AH191" s="1113">
        <v>-263</v>
      </c>
      <c r="AI191" s="1113">
        <v>-21022</v>
      </c>
      <c r="AJ191" s="1113">
        <v>69917</v>
      </c>
      <c r="AK191" s="1113">
        <v>-6320</v>
      </c>
      <c r="AL191" s="271">
        <v>824</v>
      </c>
      <c r="AM191" s="271">
        <v>0</v>
      </c>
      <c r="AN191" s="1113">
        <v>35984</v>
      </c>
      <c r="AO191" s="1113">
        <v>973555</v>
      </c>
      <c r="AP191" s="1113">
        <v>0</v>
      </c>
      <c r="AQ191" s="271">
        <v>-220035</v>
      </c>
      <c r="AR191" s="1113">
        <v>0</v>
      </c>
      <c r="AS191" s="1113">
        <v>0</v>
      </c>
      <c r="AT191" s="1113">
        <v>113173</v>
      </c>
      <c r="AU191" s="1113">
        <v>-9863</v>
      </c>
      <c r="AV191" s="271">
        <v>30559899</v>
      </c>
      <c r="AW191" s="1113">
        <v>5747359</v>
      </c>
      <c r="AX191" s="1113">
        <v>16569</v>
      </c>
      <c r="AY191" s="1113">
        <v>-14189</v>
      </c>
      <c r="AZ191" s="1113">
        <v>29062</v>
      </c>
      <c r="BA191" s="271">
        <v>-24014</v>
      </c>
      <c r="BB191" s="271">
        <v>0</v>
      </c>
      <c r="BC191" s="1113">
        <v>642695</v>
      </c>
      <c r="BD191" s="271">
        <v>13776</v>
      </c>
      <c r="BE191" s="1113">
        <v>0</v>
      </c>
      <c r="BF191" s="1113">
        <v>3757</v>
      </c>
      <c r="BG191" s="1113">
        <v>-1204340</v>
      </c>
      <c r="BH191" s="1113">
        <v>0</v>
      </c>
      <c r="BI191" s="1113">
        <v>374791</v>
      </c>
      <c r="BJ191" s="1113">
        <v>-349000</v>
      </c>
      <c r="BK191" s="1113">
        <v>0</v>
      </c>
      <c r="BL191" s="271">
        <v>0</v>
      </c>
      <c r="BM191" s="1113">
        <v>3550929</v>
      </c>
      <c r="BN191" s="1113">
        <v>1119545</v>
      </c>
      <c r="BO191" s="1113">
        <v>-37162</v>
      </c>
      <c r="BP191" s="1113">
        <v>3294171</v>
      </c>
      <c r="BQ191" s="1113">
        <v>10051267</v>
      </c>
      <c r="BR191" s="1113">
        <v>-14164</v>
      </c>
      <c r="BS191" s="271">
        <v>-62364</v>
      </c>
      <c r="BT191" s="300">
        <v>0</v>
      </c>
      <c r="BU191" s="300">
        <v>2970400</v>
      </c>
      <c r="BV191" s="300">
        <v>17816</v>
      </c>
      <c r="BW191" s="300">
        <v>0</v>
      </c>
      <c r="BX191" s="300">
        <v>-1718771</v>
      </c>
      <c r="BY191" s="300">
        <v>0</v>
      </c>
      <c r="BZ191" s="300">
        <v>9378320</v>
      </c>
      <c r="CA191" s="300">
        <v>-11519</v>
      </c>
      <c r="CB191" s="300">
        <v>0</v>
      </c>
      <c r="CC191" s="300">
        <v>55189</v>
      </c>
      <c r="CD191" s="300">
        <v>0</v>
      </c>
      <c r="CE191" s="300">
        <v>0</v>
      </c>
    </row>
    <row r="192" spans="1:83" x14ac:dyDescent="0.3">
      <c r="A192" s="271">
        <v>542</v>
      </c>
      <c r="B192" s="271">
        <v>542</v>
      </c>
      <c r="C192" s="271" t="s">
        <v>1762</v>
      </c>
      <c r="D192" s="271" t="s">
        <v>509</v>
      </c>
      <c r="E192" s="271">
        <v>0</v>
      </c>
      <c r="F192" s="271">
        <v>0</v>
      </c>
      <c r="G192" s="271">
        <v>0</v>
      </c>
      <c r="H192" s="1113">
        <v>0</v>
      </c>
      <c r="I192" s="271">
        <v>0</v>
      </c>
      <c r="J192" s="271">
        <v>0</v>
      </c>
      <c r="K192" s="1113">
        <v>0</v>
      </c>
      <c r="L192" s="271">
        <v>0</v>
      </c>
      <c r="M192" s="271">
        <v>0</v>
      </c>
      <c r="N192" s="271">
        <v>0</v>
      </c>
      <c r="O192" s="1113">
        <v>0</v>
      </c>
      <c r="P192" s="271">
        <v>0</v>
      </c>
      <c r="Q192" s="1113">
        <v>0</v>
      </c>
      <c r="R192" s="271">
        <v>0</v>
      </c>
      <c r="S192" s="271">
        <v>0</v>
      </c>
      <c r="T192" s="271">
        <v>0</v>
      </c>
      <c r="U192" s="271">
        <v>0</v>
      </c>
      <c r="V192" s="271">
        <v>0</v>
      </c>
      <c r="W192" s="271">
        <v>0</v>
      </c>
      <c r="X192" s="271">
        <v>0</v>
      </c>
      <c r="Y192" s="271">
        <v>0</v>
      </c>
      <c r="Z192" s="271">
        <v>114077</v>
      </c>
      <c r="AA192" s="271">
        <v>0</v>
      </c>
      <c r="AB192" s="271">
        <v>0</v>
      </c>
      <c r="AC192" s="1113">
        <v>0</v>
      </c>
      <c r="AD192" s="271">
        <v>0</v>
      </c>
      <c r="AE192" s="271">
        <v>0</v>
      </c>
      <c r="AF192" s="271">
        <v>0</v>
      </c>
      <c r="AG192" s="271">
        <v>0</v>
      </c>
      <c r="AH192" s="1113">
        <v>0</v>
      </c>
      <c r="AI192" s="271">
        <v>0</v>
      </c>
      <c r="AJ192" s="271">
        <v>0</v>
      </c>
      <c r="AK192" s="271">
        <v>0</v>
      </c>
      <c r="AL192" s="271">
        <v>0</v>
      </c>
      <c r="AM192" s="271">
        <v>0</v>
      </c>
      <c r="AN192" s="271">
        <v>0</v>
      </c>
      <c r="AO192" s="271">
        <v>448400</v>
      </c>
      <c r="AP192" s="271">
        <v>0</v>
      </c>
      <c r="AQ192" s="271">
        <v>0</v>
      </c>
      <c r="AR192" s="271">
        <v>0</v>
      </c>
      <c r="AS192" s="271">
        <v>0</v>
      </c>
      <c r="AT192" s="271">
        <v>0</v>
      </c>
      <c r="AU192" s="271">
        <v>0</v>
      </c>
      <c r="AV192" s="271">
        <v>11465611</v>
      </c>
      <c r="AW192" s="271">
        <v>0</v>
      </c>
      <c r="AX192" s="271">
        <v>0</v>
      </c>
      <c r="AY192" s="1113">
        <v>0</v>
      </c>
      <c r="AZ192" s="271">
        <v>0</v>
      </c>
      <c r="BA192" s="271">
        <v>0</v>
      </c>
      <c r="BB192" s="271">
        <v>0</v>
      </c>
      <c r="BC192" s="271">
        <v>0</v>
      </c>
      <c r="BD192" s="271">
        <v>0</v>
      </c>
      <c r="BE192" s="271">
        <v>0</v>
      </c>
      <c r="BF192" s="1113">
        <v>0</v>
      </c>
      <c r="BG192" s="1113">
        <v>0</v>
      </c>
      <c r="BH192" s="271">
        <v>0</v>
      </c>
      <c r="BI192" s="271">
        <v>0</v>
      </c>
      <c r="BJ192" s="271">
        <v>0</v>
      </c>
      <c r="BK192" s="271">
        <v>0</v>
      </c>
      <c r="BL192" s="271">
        <v>0</v>
      </c>
      <c r="BM192" s="271">
        <v>0</v>
      </c>
      <c r="BN192" s="271">
        <v>0</v>
      </c>
      <c r="BO192" s="271">
        <v>0</v>
      </c>
      <c r="BP192" s="271">
        <v>0</v>
      </c>
      <c r="BQ192" s="271">
        <v>916755</v>
      </c>
      <c r="BR192" s="271">
        <v>0</v>
      </c>
      <c r="BS192" s="271">
        <v>0</v>
      </c>
      <c r="BT192" s="300">
        <v>0</v>
      </c>
      <c r="BU192" s="300">
        <v>2192830</v>
      </c>
      <c r="BV192" s="300">
        <v>0</v>
      </c>
      <c r="BW192" s="300">
        <v>0</v>
      </c>
      <c r="BX192" s="300">
        <v>0</v>
      </c>
      <c r="BY192" s="300">
        <v>0</v>
      </c>
      <c r="BZ192" s="300">
        <v>0</v>
      </c>
      <c r="CA192" s="300">
        <v>0</v>
      </c>
      <c r="CB192" s="300">
        <v>0</v>
      </c>
      <c r="CC192" s="300">
        <v>0</v>
      </c>
      <c r="CD192" s="300">
        <v>0</v>
      </c>
      <c r="CE192" s="300">
        <v>0</v>
      </c>
    </row>
    <row r="193" spans="1:83" x14ac:dyDescent="0.3">
      <c r="A193" s="271"/>
      <c r="B193" s="271">
        <v>543</v>
      </c>
      <c r="C193" s="271" t="s">
        <v>1763</v>
      </c>
      <c r="D193" s="271" t="s">
        <v>510</v>
      </c>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71"/>
      <c r="AE193" s="271"/>
      <c r="AF193" s="271"/>
      <c r="AG193" s="271"/>
      <c r="AH193" s="271"/>
      <c r="AI193" s="271"/>
      <c r="AJ193" s="271"/>
      <c r="AK193" s="271"/>
      <c r="AL193" s="271"/>
      <c r="AM193" s="271"/>
      <c r="AN193" s="271"/>
      <c r="AO193" s="271"/>
      <c r="AP193" s="271"/>
      <c r="AQ193" s="271"/>
      <c r="AR193" s="271"/>
      <c r="AS193" s="271"/>
      <c r="AT193" s="271"/>
      <c r="AU193" s="271"/>
      <c r="AV193" s="271"/>
      <c r="AW193" s="271"/>
      <c r="AX193" s="271"/>
      <c r="AY193" s="271"/>
      <c r="AZ193" s="271"/>
      <c r="BA193" s="271"/>
      <c r="BB193" s="271"/>
      <c r="BC193" s="271"/>
      <c r="BD193" s="271"/>
      <c r="BE193" s="271"/>
      <c r="BF193" s="271"/>
      <c r="BG193" s="271"/>
      <c r="BH193" s="271"/>
      <c r="BI193" s="271"/>
      <c r="BJ193" s="271"/>
      <c r="BK193" s="271"/>
      <c r="BL193" s="271"/>
      <c r="BM193" s="271"/>
      <c r="BN193" s="271"/>
      <c r="BO193" s="271"/>
      <c r="BP193" s="271"/>
      <c r="BQ193" s="271"/>
      <c r="BR193" s="271"/>
      <c r="BS193" s="271"/>
    </row>
    <row r="194" spans="1:83" x14ac:dyDescent="0.3">
      <c r="A194" s="271">
        <v>544</v>
      </c>
      <c r="B194" s="271">
        <v>544</v>
      </c>
      <c r="C194" s="271" t="s">
        <v>53</v>
      </c>
      <c r="D194" s="271" t="s">
        <v>511</v>
      </c>
      <c r="E194" s="271">
        <v>0</v>
      </c>
      <c r="F194" s="271">
        <v>0</v>
      </c>
      <c r="G194" s="271">
        <v>0</v>
      </c>
      <c r="H194" s="271">
        <v>0</v>
      </c>
      <c r="I194" s="271">
        <v>0</v>
      </c>
      <c r="J194" s="271">
        <v>0</v>
      </c>
      <c r="K194" s="271">
        <v>0.01</v>
      </c>
      <c r="L194" s="271">
        <v>0</v>
      </c>
      <c r="M194" s="271">
        <v>0</v>
      </c>
      <c r="N194" s="271">
        <v>0.22</v>
      </c>
      <c r="O194" s="271">
        <v>0</v>
      </c>
      <c r="P194" s="271">
        <v>0</v>
      </c>
      <c r="Q194" s="271">
        <v>0</v>
      </c>
      <c r="R194" s="271">
        <v>0</v>
      </c>
      <c r="S194" s="271">
        <v>0</v>
      </c>
      <c r="T194" s="271">
        <v>0</v>
      </c>
      <c r="U194" s="271">
        <v>0</v>
      </c>
      <c r="V194" s="271">
        <v>0</v>
      </c>
      <c r="W194" s="271">
        <v>0.04</v>
      </c>
      <c r="X194" s="271">
        <v>0</v>
      </c>
      <c r="Y194" s="271">
        <v>0</v>
      </c>
      <c r="Z194" s="271">
        <v>0</v>
      </c>
      <c r="AA194" s="271">
        <v>0</v>
      </c>
      <c r="AB194" s="271">
        <v>0</v>
      </c>
      <c r="AC194" s="271">
        <v>0</v>
      </c>
      <c r="AD194" s="271">
        <v>0</v>
      </c>
      <c r="AE194" s="271">
        <v>0</v>
      </c>
      <c r="AF194" s="271">
        <v>0</v>
      </c>
      <c r="AG194" s="271">
        <v>0</v>
      </c>
      <c r="AH194" s="271">
        <v>0</v>
      </c>
      <c r="AI194" s="271">
        <v>0</v>
      </c>
      <c r="AJ194" s="271">
        <v>0</v>
      </c>
      <c r="AK194" s="271">
        <v>-0.01</v>
      </c>
      <c r="AL194" s="271">
        <v>0</v>
      </c>
      <c r="AM194" s="271">
        <v>0</v>
      </c>
      <c r="AN194" s="271">
        <v>0</v>
      </c>
      <c r="AO194" s="271">
        <v>0</v>
      </c>
      <c r="AP194" s="271">
        <v>0</v>
      </c>
      <c r="AQ194" s="271">
        <v>0</v>
      </c>
      <c r="AR194" s="271">
        <v>0</v>
      </c>
      <c r="AS194" s="271">
        <v>0</v>
      </c>
      <c r="AT194" s="271">
        <v>0</v>
      </c>
      <c r="AU194" s="271">
        <v>0</v>
      </c>
      <c r="AV194" s="271">
        <v>0</v>
      </c>
      <c r="AW194" s="271">
        <v>0</v>
      </c>
      <c r="AX194" s="271">
        <v>0</v>
      </c>
      <c r="AY194" s="271">
        <v>0</v>
      </c>
      <c r="AZ194" s="271">
        <v>0</v>
      </c>
      <c r="BA194" s="271">
        <v>0</v>
      </c>
      <c r="BB194" s="271">
        <v>0</v>
      </c>
      <c r="BC194" s="271">
        <v>0</v>
      </c>
      <c r="BD194" s="271">
        <v>0</v>
      </c>
      <c r="BE194" s="271">
        <v>0</v>
      </c>
      <c r="BF194" s="271">
        <v>0</v>
      </c>
      <c r="BG194" s="271">
        <v>7.0000000000000007E-2</v>
      </c>
      <c r="BH194" s="271">
        <v>0</v>
      </c>
      <c r="BI194" s="271">
        <v>0</v>
      </c>
      <c r="BJ194" s="271">
        <v>0</v>
      </c>
      <c r="BK194" s="271">
        <v>0</v>
      </c>
      <c r="BL194" s="271">
        <v>0</v>
      </c>
      <c r="BM194" s="271">
        <v>0</v>
      </c>
      <c r="BN194" s="271">
        <v>0.02</v>
      </c>
      <c r="BO194" s="271">
        <v>0</v>
      </c>
      <c r="BP194" s="271">
        <v>0</v>
      </c>
      <c r="BQ194" s="271">
        <v>0</v>
      </c>
      <c r="BR194" s="271">
        <v>0</v>
      </c>
      <c r="BS194" s="271">
        <v>0</v>
      </c>
      <c r="BT194" s="300">
        <v>0</v>
      </c>
      <c r="BU194" s="300">
        <v>0</v>
      </c>
      <c r="BV194" s="300">
        <v>0</v>
      </c>
      <c r="BW194" s="300">
        <v>0</v>
      </c>
      <c r="BX194" s="300">
        <v>0</v>
      </c>
      <c r="BY194" s="300">
        <v>0</v>
      </c>
      <c r="BZ194" s="300">
        <v>0</v>
      </c>
      <c r="CA194" s="300">
        <v>0</v>
      </c>
      <c r="CB194" s="300">
        <v>0</v>
      </c>
      <c r="CC194" s="300">
        <v>0</v>
      </c>
      <c r="CD194" s="300">
        <v>0</v>
      </c>
      <c r="CE194" s="300">
        <v>0</v>
      </c>
    </row>
    <row r="195" spans="1:83" x14ac:dyDescent="0.3">
      <c r="A195" s="271">
        <v>545</v>
      </c>
      <c r="B195" s="271">
        <v>545</v>
      </c>
      <c r="C195" s="271" t="s">
        <v>54</v>
      </c>
      <c r="D195" s="271" t="s">
        <v>512</v>
      </c>
      <c r="E195" s="271">
        <v>0</v>
      </c>
      <c r="F195" s="271">
        <v>0</v>
      </c>
      <c r="G195" s="271">
        <v>0</v>
      </c>
      <c r="H195" s="271">
        <v>0</v>
      </c>
      <c r="I195" s="271">
        <v>0</v>
      </c>
      <c r="J195" s="271">
        <v>0</v>
      </c>
      <c r="K195" s="271">
        <v>0</v>
      </c>
      <c r="L195" s="271">
        <v>0</v>
      </c>
      <c r="M195" s="271">
        <v>0</v>
      </c>
      <c r="N195" s="271">
        <v>0</v>
      </c>
      <c r="O195" s="271">
        <v>0.02</v>
      </c>
      <c r="P195" s="271">
        <v>0</v>
      </c>
      <c r="Q195" s="271">
        <v>0</v>
      </c>
      <c r="R195" s="271">
        <v>0</v>
      </c>
      <c r="S195" s="271">
        <v>0</v>
      </c>
      <c r="T195" s="271">
        <v>0</v>
      </c>
      <c r="U195" s="271">
        <v>0</v>
      </c>
      <c r="V195" s="271">
        <v>0</v>
      </c>
      <c r="W195" s="271">
        <v>0</v>
      </c>
      <c r="X195" s="271">
        <v>0</v>
      </c>
      <c r="Y195" s="271">
        <v>0</v>
      </c>
      <c r="Z195" s="271">
        <v>0</v>
      </c>
      <c r="AA195" s="271">
        <v>0</v>
      </c>
      <c r="AB195" s="271">
        <v>0</v>
      </c>
      <c r="AC195" s="271">
        <v>0</v>
      </c>
      <c r="AD195" s="271">
        <v>0</v>
      </c>
      <c r="AE195" s="271">
        <v>0</v>
      </c>
      <c r="AF195" s="271">
        <v>0</v>
      </c>
      <c r="AG195" s="271">
        <v>0</v>
      </c>
      <c r="AH195" s="271">
        <v>0</v>
      </c>
      <c r="AI195" s="271">
        <v>0</v>
      </c>
      <c r="AJ195" s="271">
        <v>0</v>
      </c>
      <c r="AK195" s="271">
        <v>0</v>
      </c>
      <c r="AL195" s="271">
        <v>0</v>
      </c>
      <c r="AM195" s="271">
        <v>0</v>
      </c>
      <c r="AN195" s="271">
        <v>0</v>
      </c>
      <c r="AO195" s="271">
        <v>0</v>
      </c>
      <c r="AP195" s="271">
        <v>0</v>
      </c>
      <c r="AQ195" s="271">
        <v>0</v>
      </c>
      <c r="AR195" s="271">
        <v>0</v>
      </c>
      <c r="AS195" s="271">
        <v>0</v>
      </c>
      <c r="AT195" s="271">
        <v>0</v>
      </c>
      <c r="AU195" s="271">
        <v>0</v>
      </c>
      <c r="AV195" s="271">
        <v>0.03</v>
      </c>
      <c r="AW195" s="271">
        <v>0</v>
      </c>
      <c r="AX195" s="271">
        <v>0</v>
      </c>
      <c r="AY195" s="271">
        <v>0</v>
      </c>
      <c r="AZ195" s="271">
        <v>0</v>
      </c>
      <c r="BA195" s="271">
        <v>0</v>
      </c>
      <c r="BB195" s="271">
        <v>0</v>
      </c>
      <c r="BC195" s="271">
        <v>0</v>
      </c>
      <c r="BD195" s="271">
        <v>0</v>
      </c>
      <c r="BE195" s="271">
        <v>0</v>
      </c>
      <c r="BF195" s="271">
        <v>0</v>
      </c>
      <c r="BG195" s="271">
        <v>0</v>
      </c>
      <c r="BH195" s="271">
        <v>0</v>
      </c>
      <c r="BI195" s="271">
        <v>0</v>
      </c>
      <c r="BJ195" s="271">
        <v>0</v>
      </c>
      <c r="BK195" s="271">
        <v>0</v>
      </c>
      <c r="BL195" s="271">
        <v>0</v>
      </c>
      <c r="BM195" s="271">
        <v>0</v>
      </c>
      <c r="BN195" s="271">
        <v>0</v>
      </c>
      <c r="BO195" s="271">
        <v>0</v>
      </c>
      <c r="BP195" s="271">
        <v>0.02</v>
      </c>
      <c r="BQ195" s="271">
        <v>0</v>
      </c>
      <c r="BR195" s="271">
        <v>0</v>
      </c>
      <c r="BS195" s="271">
        <v>0</v>
      </c>
      <c r="BT195" s="300">
        <v>0</v>
      </c>
      <c r="BU195" s="300">
        <v>0</v>
      </c>
      <c r="BV195" s="300">
        <v>0</v>
      </c>
      <c r="BW195" s="300">
        <v>0</v>
      </c>
      <c r="BX195" s="300">
        <v>0</v>
      </c>
      <c r="BY195" s="300">
        <v>0</v>
      </c>
      <c r="BZ195" s="300">
        <v>0</v>
      </c>
      <c r="CA195" s="300">
        <v>0</v>
      </c>
      <c r="CB195" s="300">
        <v>0</v>
      </c>
      <c r="CC195" s="300">
        <v>0</v>
      </c>
      <c r="CD195" s="300">
        <v>0</v>
      </c>
      <c r="CE195" s="300">
        <v>0</v>
      </c>
    </row>
    <row r="196" spans="1:83" x14ac:dyDescent="0.3">
      <c r="A196" s="271"/>
      <c r="B196" s="271">
        <v>546</v>
      </c>
      <c r="C196" s="271" t="s">
        <v>849</v>
      </c>
      <c r="D196" s="271" t="s">
        <v>513</v>
      </c>
      <c r="E196" s="271">
        <v>0</v>
      </c>
      <c r="F196" s="271">
        <v>0</v>
      </c>
      <c r="G196" s="271">
        <v>0</v>
      </c>
      <c r="H196" s="271">
        <v>0</v>
      </c>
      <c r="I196" s="271">
        <v>0</v>
      </c>
      <c r="J196" s="271">
        <v>0</v>
      </c>
      <c r="K196" s="271">
        <v>0</v>
      </c>
      <c r="L196" s="271">
        <v>0</v>
      </c>
      <c r="M196" s="271">
        <v>0</v>
      </c>
      <c r="N196" s="271">
        <v>0</v>
      </c>
      <c r="O196" s="271">
        <v>0</v>
      </c>
      <c r="P196" s="271">
        <v>0</v>
      </c>
      <c r="Q196" s="271">
        <v>0</v>
      </c>
      <c r="R196" s="271">
        <v>0</v>
      </c>
      <c r="S196" s="271">
        <v>0</v>
      </c>
      <c r="T196" s="271">
        <v>0</v>
      </c>
      <c r="U196" s="271">
        <v>0</v>
      </c>
      <c r="V196" s="271">
        <v>0</v>
      </c>
      <c r="W196" s="271">
        <v>0</v>
      </c>
      <c r="X196" s="271">
        <v>0</v>
      </c>
      <c r="Y196" s="271">
        <v>0</v>
      </c>
      <c r="Z196" s="271">
        <v>0</v>
      </c>
      <c r="AA196" s="271">
        <v>0</v>
      </c>
      <c r="AB196" s="271">
        <v>0</v>
      </c>
      <c r="AC196" s="271">
        <v>0</v>
      </c>
      <c r="AD196" s="271">
        <v>0</v>
      </c>
      <c r="AE196" s="271">
        <v>0</v>
      </c>
      <c r="AF196" s="271">
        <v>0</v>
      </c>
      <c r="AG196" s="271">
        <v>0</v>
      </c>
      <c r="AH196" s="271">
        <v>0</v>
      </c>
      <c r="AI196" s="271">
        <v>0</v>
      </c>
      <c r="AJ196" s="271">
        <v>0</v>
      </c>
      <c r="AK196" s="271">
        <v>0</v>
      </c>
      <c r="AL196" s="271">
        <v>0</v>
      </c>
      <c r="AM196" s="271">
        <v>0</v>
      </c>
      <c r="AN196" s="271">
        <v>0</v>
      </c>
      <c r="AO196" s="271">
        <v>0</v>
      </c>
      <c r="AP196" s="271">
        <v>0</v>
      </c>
      <c r="AQ196" s="271">
        <v>0</v>
      </c>
      <c r="AR196" s="271">
        <v>0</v>
      </c>
      <c r="AS196" s="271">
        <v>0</v>
      </c>
      <c r="AT196" s="271">
        <v>0</v>
      </c>
      <c r="AU196" s="271">
        <v>0</v>
      </c>
      <c r="AV196" s="271">
        <v>0</v>
      </c>
      <c r="AW196" s="271">
        <v>0</v>
      </c>
      <c r="AX196" s="271">
        <v>0</v>
      </c>
      <c r="AY196" s="271">
        <v>0</v>
      </c>
      <c r="AZ196" s="271">
        <v>0</v>
      </c>
      <c r="BA196" s="271">
        <v>0</v>
      </c>
      <c r="BB196" s="271">
        <v>0</v>
      </c>
      <c r="BC196" s="271">
        <v>0</v>
      </c>
      <c r="BD196" s="271">
        <v>0</v>
      </c>
      <c r="BE196" s="271">
        <v>0</v>
      </c>
      <c r="BF196" s="271">
        <v>0</v>
      </c>
      <c r="BG196" s="271">
        <v>0</v>
      </c>
      <c r="BH196" s="271">
        <v>0</v>
      </c>
      <c r="BI196" s="271">
        <v>0</v>
      </c>
      <c r="BJ196" s="271">
        <v>0</v>
      </c>
      <c r="BK196" s="271">
        <v>0</v>
      </c>
      <c r="BL196" s="271">
        <v>0</v>
      </c>
      <c r="BM196" s="271">
        <v>0</v>
      </c>
      <c r="BN196" s="271">
        <v>0</v>
      </c>
      <c r="BO196" s="271">
        <v>0</v>
      </c>
      <c r="BP196" s="271">
        <v>0</v>
      </c>
      <c r="BQ196" s="271">
        <v>0</v>
      </c>
      <c r="BR196" s="271">
        <v>0</v>
      </c>
      <c r="BS196" s="271">
        <v>0</v>
      </c>
      <c r="BT196" s="300">
        <v>0</v>
      </c>
      <c r="BU196" s="300">
        <v>0</v>
      </c>
      <c r="BV196" s="300">
        <v>0</v>
      </c>
      <c r="BW196" s="300">
        <v>0</v>
      </c>
      <c r="BX196" s="300">
        <v>0</v>
      </c>
      <c r="BY196" s="300">
        <v>0</v>
      </c>
      <c r="BZ196" s="300">
        <v>0</v>
      </c>
      <c r="CA196" s="300">
        <v>0</v>
      </c>
      <c r="CB196" s="300">
        <v>0</v>
      </c>
      <c r="CC196" s="300">
        <v>0</v>
      </c>
      <c r="CD196" s="300">
        <v>0</v>
      </c>
      <c r="CE196" s="300">
        <v>0</v>
      </c>
    </row>
    <row r="197" spans="1:83" ht="100.8" x14ac:dyDescent="0.3">
      <c r="A197" s="271">
        <v>547</v>
      </c>
      <c r="B197" s="271">
        <v>547</v>
      </c>
      <c r="C197" s="964" t="s">
        <v>1764</v>
      </c>
      <c r="D197" s="271" t="s">
        <v>514</v>
      </c>
      <c r="E197" s="271">
        <v>2</v>
      </c>
      <c r="F197" s="271">
        <v>3</v>
      </c>
      <c r="G197" s="271">
        <v>2</v>
      </c>
      <c r="H197" s="271">
        <v>3</v>
      </c>
      <c r="I197" s="271">
        <v>2</v>
      </c>
      <c r="J197" s="271">
        <v>2</v>
      </c>
      <c r="K197" s="271">
        <v>2</v>
      </c>
      <c r="L197" s="271">
        <v>2</v>
      </c>
      <c r="M197" s="271">
        <v>3</v>
      </c>
      <c r="N197" s="271">
        <v>3</v>
      </c>
      <c r="O197" s="271">
        <v>2</v>
      </c>
      <c r="P197" s="271">
        <v>1</v>
      </c>
      <c r="Q197" s="271">
        <v>2</v>
      </c>
      <c r="R197" s="271">
        <v>4</v>
      </c>
      <c r="S197" s="271">
        <v>2</v>
      </c>
      <c r="T197" s="271">
        <v>2</v>
      </c>
      <c r="U197" s="271">
        <v>2</v>
      </c>
      <c r="V197" s="271">
        <v>2</v>
      </c>
      <c r="W197" s="271">
        <v>3</v>
      </c>
      <c r="X197" s="271">
        <v>2</v>
      </c>
      <c r="Y197" s="271">
        <v>0</v>
      </c>
      <c r="Z197" s="271">
        <v>3</v>
      </c>
      <c r="AA197" s="271">
        <v>3</v>
      </c>
      <c r="AB197" s="271">
        <v>2</v>
      </c>
      <c r="AC197" s="271">
        <v>2</v>
      </c>
      <c r="AD197" s="271">
        <v>3</v>
      </c>
      <c r="AE197" s="271">
        <v>2</v>
      </c>
      <c r="AF197" s="271">
        <v>0</v>
      </c>
      <c r="AG197" s="271">
        <v>3</v>
      </c>
      <c r="AH197" s="271">
        <v>2</v>
      </c>
      <c r="AI197" s="271">
        <v>2</v>
      </c>
      <c r="AJ197" s="271">
        <v>3</v>
      </c>
      <c r="AK197" s="271">
        <v>2</v>
      </c>
      <c r="AL197" s="271">
        <v>2</v>
      </c>
      <c r="AM197" s="271">
        <v>0</v>
      </c>
      <c r="AN197" s="271">
        <v>2</v>
      </c>
      <c r="AO197" s="271">
        <v>3</v>
      </c>
      <c r="AP197" s="271">
        <v>2</v>
      </c>
      <c r="AQ197" s="271">
        <v>3</v>
      </c>
      <c r="AR197" s="271">
        <v>2</v>
      </c>
      <c r="AS197" s="271">
        <v>2</v>
      </c>
      <c r="AT197" s="271">
        <v>2</v>
      </c>
      <c r="AU197" s="271">
        <v>2</v>
      </c>
      <c r="AV197" s="271">
        <v>3</v>
      </c>
      <c r="AW197" s="271">
        <v>3</v>
      </c>
      <c r="AX197" s="271">
        <v>2</v>
      </c>
      <c r="AY197" s="271">
        <v>2</v>
      </c>
      <c r="AZ197" s="271">
        <v>2</v>
      </c>
      <c r="BA197" s="271">
        <v>2</v>
      </c>
      <c r="BB197" s="271">
        <v>0</v>
      </c>
      <c r="BC197" s="271">
        <v>3</v>
      </c>
      <c r="BD197" s="271">
        <v>2</v>
      </c>
      <c r="BE197" s="271">
        <v>2</v>
      </c>
      <c r="BF197" s="271">
        <v>2</v>
      </c>
      <c r="BG197" s="271">
        <v>2</v>
      </c>
      <c r="BH197" s="271">
        <v>2</v>
      </c>
      <c r="BI197" s="271">
        <v>1</v>
      </c>
      <c r="BJ197" s="271">
        <v>3</v>
      </c>
      <c r="BK197" s="271">
        <v>2</v>
      </c>
      <c r="BL197" s="271">
        <v>2</v>
      </c>
      <c r="BM197" s="271">
        <v>3</v>
      </c>
      <c r="BN197" s="271">
        <v>3</v>
      </c>
      <c r="BO197" s="271">
        <v>2</v>
      </c>
      <c r="BP197" s="271">
        <v>3</v>
      </c>
      <c r="BQ197" s="271">
        <v>3</v>
      </c>
      <c r="BR197" s="271">
        <v>2</v>
      </c>
      <c r="BS197" s="271">
        <v>3</v>
      </c>
      <c r="BT197" s="300">
        <v>2</v>
      </c>
      <c r="BU197" s="300">
        <v>3</v>
      </c>
      <c r="BV197" s="300">
        <v>3</v>
      </c>
      <c r="BW197" s="300">
        <v>2</v>
      </c>
      <c r="BX197" s="300">
        <v>2</v>
      </c>
      <c r="BY197" s="300">
        <v>0</v>
      </c>
      <c r="BZ197" s="300">
        <v>3</v>
      </c>
      <c r="CA197" s="300">
        <v>2</v>
      </c>
      <c r="CB197" s="300">
        <v>3</v>
      </c>
      <c r="CC197" s="300">
        <v>2</v>
      </c>
      <c r="CD197" s="300">
        <v>2</v>
      </c>
      <c r="CE197" s="300">
        <v>3</v>
      </c>
    </row>
    <row r="198" spans="1:83" x14ac:dyDescent="0.3">
      <c r="A198" s="271"/>
      <c r="B198" s="271">
        <v>548</v>
      </c>
      <c r="C198" s="271" t="s">
        <v>540</v>
      </c>
      <c r="D198" s="271" t="s">
        <v>570</v>
      </c>
      <c r="E198" s="271">
        <v>0</v>
      </c>
      <c r="F198" s="271">
        <v>0</v>
      </c>
      <c r="G198" s="271">
        <v>0</v>
      </c>
      <c r="H198" s="271">
        <v>0</v>
      </c>
      <c r="I198" s="271">
        <v>0</v>
      </c>
      <c r="J198" s="271">
        <v>0</v>
      </c>
      <c r="K198" s="271">
        <v>0</v>
      </c>
      <c r="L198" s="271">
        <v>0</v>
      </c>
      <c r="M198" s="271">
        <v>0</v>
      </c>
      <c r="N198" s="271">
        <v>0</v>
      </c>
      <c r="O198" s="271">
        <v>0</v>
      </c>
      <c r="P198" s="271">
        <v>0</v>
      </c>
      <c r="Q198" s="271">
        <v>0</v>
      </c>
      <c r="R198" s="271">
        <v>0</v>
      </c>
      <c r="S198" s="271">
        <v>0</v>
      </c>
      <c r="T198" s="271">
        <v>0</v>
      </c>
      <c r="U198" s="271">
        <v>0</v>
      </c>
      <c r="V198" s="271">
        <v>0</v>
      </c>
      <c r="W198" s="271">
        <v>0</v>
      </c>
      <c r="X198" s="271">
        <v>0</v>
      </c>
      <c r="Y198" s="271">
        <v>0</v>
      </c>
      <c r="Z198" s="271">
        <v>0</v>
      </c>
      <c r="AA198" s="271">
        <v>0</v>
      </c>
      <c r="AB198" s="271">
        <v>0</v>
      </c>
      <c r="AC198" s="271">
        <v>0</v>
      </c>
      <c r="AD198" s="271">
        <v>0</v>
      </c>
      <c r="AE198" s="271">
        <v>0</v>
      </c>
      <c r="AF198" s="271">
        <v>0</v>
      </c>
      <c r="AG198" s="271">
        <v>0</v>
      </c>
      <c r="AH198" s="271">
        <v>0</v>
      </c>
      <c r="AI198" s="271">
        <v>0</v>
      </c>
      <c r="AJ198" s="271">
        <v>0</v>
      </c>
      <c r="AK198" s="271">
        <v>0</v>
      </c>
      <c r="AL198" s="271">
        <v>0</v>
      </c>
      <c r="AM198" s="271">
        <v>0</v>
      </c>
      <c r="AN198" s="271">
        <v>0</v>
      </c>
      <c r="AO198" s="271">
        <v>0</v>
      </c>
      <c r="AP198" s="271">
        <v>0</v>
      </c>
      <c r="AQ198" s="271">
        <v>0</v>
      </c>
      <c r="AR198" s="271">
        <v>0</v>
      </c>
      <c r="AS198" s="271">
        <v>0</v>
      </c>
      <c r="AT198" s="271">
        <v>0</v>
      </c>
      <c r="AU198" s="271">
        <v>0</v>
      </c>
      <c r="AV198" s="271">
        <v>0</v>
      </c>
      <c r="AW198" s="271">
        <v>0</v>
      </c>
      <c r="AX198" s="271">
        <v>0</v>
      </c>
      <c r="AY198" s="271">
        <v>0</v>
      </c>
      <c r="AZ198" s="271">
        <v>0</v>
      </c>
      <c r="BA198" s="271">
        <v>0</v>
      </c>
      <c r="BB198" s="271">
        <v>0</v>
      </c>
      <c r="BC198" s="271">
        <v>0</v>
      </c>
      <c r="BD198" s="271">
        <v>0</v>
      </c>
      <c r="BE198" s="271">
        <v>0</v>
      </c>
      <c r="BF198" s="271">
        <v>0</v>
      </c>
      <c r="BG198" s="271">
        <v>0</v>
      </c>
      <c r="BH198" s="271">
        <v>0</v>
      </c>
      <c r="BI198" s="271">
        <v>0</v>
      </c>
      <c r="BJ198" s="271">
        <v>0</v>
      </c>
      <c r="BK198" s="271">
        <v>0</v>
      </c>
      <c r="BL198" s="271">
        <v>0</v>
      </c>
      <c r="BM198" s="271">
        <v>0</v>
      </c>
      <c r="BN198" s="271">
        <v>0</v>
      </c>
      <c r="BO198" s="271">
        <v>0</v>
      </c>
      <c r="BP198" s="271">
        <v>0</v>
      </c>
      <c r="BQ198" s="271">
        <v>0</v>
      </c>
      <c r="BR198" s="271">
        <v>0</v>
      </c>
      <c r="BS198" s="271">
        <v>0</v>
      </c>
      <c r="BT198" s="300">
        <v>0</v>
      </c>
      <c r="BU198" s="300">
        <v>0</v>
      </c>
      <c r="BV198" s="300">
        <v>0</v>
      </c>
      <c r="BW198" s="300">
        <v>0</v>
      </c>
      <c r="BX198" s="300">
        <v>0</v>
      </c>
      <c r="BY198" s="300">
        <v>0</v>
      </c>
      <c r="BZ198" s="300">
        <v>0</v>
      </c>
      <c r="CA198" s="300">
        <v>0</v>
      </c>
      <c r="CB198" s="300">
        <v>0</v>
      </c>
      <c r="CC198" s="300">
        <v>0</v>
      </c>
      <c r="CD198" s="300">
        <v>0</v>
      </c>
      <c r="CE198" s="300">
        <v>0</v>
      </c>
    </row>
    <row r="199" spans="1:83" x14ac:dyDescent="0.3">
      <c r="A199" s="271"/>
      <c r="B199" s="271">
        <v>549</v>
      </c>
      <c r="C199" s="271" t="s">
        <v>1765</v>
      </c>
      <c r="D199" s="271" t="s">
        <v>571</v>
      </c>
      <c r="E199" s="271">
        <v>0</v>
      </c>
      <c r="F199" s="271">
        <v>0</v>
      </c>
      <c r="G199" s="271">
        <v>0</v>
      </c>
      <c r="H199" s="271">
        <v>0</v>
      </c>
      <c r="I199" s="271">
        <v>0</v>
      </c>
      <c r="J199" s="271">
        <v>0</v>
      </c>
      <c r="K199" s="271">
        <v>0</v>
      </c>
      <c r="L199" s="271">
        <v>0</v>
      </c>
      <c r="M199" s="271">
        <v>0</v>
      </c>
      <c r="N199" s="271">
        <v>0</v>
      </c>
      <c r="O199" s="271">
        <v>0</v>
      </c>
      <c r="P199" s="271">
        <v>0</v>
      </c>
      <c r="Q199" s="271">
        <v>0</v>
      </c>
      <c r="R199" s="271">
        <v>0</v>
      </c>
      <c r="S199" s="271">
        <v>0</v>
      </c>
      <c r="T199" s="271">
        <v>0</v>
      </c>
      <c r="U199" s="271">
        <v>0</v>
      </c>
      <c r="V199" s="271">
        <v>0</v>
      </c>
      <c r="W199" s="271">
        <v>0</v>
      </c>
      <c r="X199" s="271">
        <v>0</v>
      </c>
      <c r="Y199" s="271">
        <v>0</v>
      </c>
      <c r="Z199" s="271">
        <v>0</v>
      </c>
      <c r="AA199" s="271">
        <v>0</v>
      </c>
      <c r="AB199" s="271">
        <v>0</v>
      </c>
      <c r="AC199" s="271">
        <v>0</v>
      </c>
      <c r="AD199" s="271">
        <v>0</v>
      </c>
      <c r="AE199" s="271">
        <v>0</v>
      </c>
      <c r="AF199" s="271">
        <v>0</v>
      </c>
      <c r="AG199" s="271">
        <v>0</v>
      </c>
      <c r="AH199" s="271">
        <v>0</v>
      </c>
      <c r="AI199" s="271">
        <v>0</v>
      </c>
      <c r="AJ199" s="271">
        <v>0</v>
      </c>
      <c r="AK199" s="271">
        <v>0</v>
      </c>
      <c r="AL199" s="271">
        <v>0</v>
      </c>
      <c r="AM199" s="271">
        <v>0</v>
      </c>
      <c r="AN199" s="271">
        <v>0</v>
      </c>
      <c r="AO199" s="271">
        <v>0</v>
      </c>
      <c r="AP199" s="271">
        <v>0</v>
      </c>
      <c r="AQ199" s="271">
        <v>0</v>
      </c>
      <c r="AR199" s="271">
        <v>0</v>
      </c>
      <c r="AS199" s="271">
        <v>0</v>
      </c>
      <c r="AT199" s="271">
        <v>0</v>
      </c>
      <c r="AU199" s="271">
        <v>0</v>
      </c>
      <c r="AV199" s="271">
        <v>0</v>
      </c>
      <c r="AW199" s="271">
        <v>0</v>
      </c>
      <c r="AX199" s="271">
        <v>0</v>
      </c>
      <c r="AY199" s="271">
        <v>0</v>
      </c>
      <c r="AZ199" s="271">
        <v>0</v>
      </c>
      <c r="BA199" s="271">
        <v>0</v>
      </c>
      <c r="BB199" s="271">
        <v>0</v>
      </c>
      <c r="BC199" s="271">
        <v>0</v>
      </c>
      <c r="BD199" s="271">
        <v>0</v>
      </c>
      <c r="BE199" s="271">
        <v>0</v>
      </c>
      <c r="BF199" s="271">
        <v>0</v>
      </c>
      <c r="BG199" s="271">
        <v>0</v>
      </c>
      <c r="BH199" s="271">
        <v>0</v>
      </c>
      <c r="BI199" s="271">
        <v>0</v>
      </c>
      <c r="BJ199" s="271">
        <v>0</v>
      </c>
      <c r="BK199" s="271">
        <v>0</v>
      </c>
      <c r="BL199" s="271">
        <v>0</v>
      </c>
      <c r="BM199" s="271">
        <v>0</v>
      </c>
      <c r="BN199" s="271">
        <v>0</v>
      </c>
      <c r="BO199" s="271">
        <v>0</v>
      </c>
      <c r="BP199" s="271">
        <v>0</v>
      </c>
      <c r="BQ199" s="271">
        <v>0</v>
      </c>
      <c r="BR199" s="271">
        <v>0</v>
      </c>
      <c r="BS199" s="271">
        <v>0</v>
      </c>
      <c r="BT199" s="300">
        <v>0</v>
      </c>
      <c r="BU199" s="300">
        <v>0</v>
      </c>
      <c r="BV199" s="300">
        <v>0</v>
      </c>
      <c r="BW199" s="300">
        <v>0</v>
      </c>
      <c r="BX199" s="300">
        <v>0</v>
      </c>
      <c r="BY199" s="300">
        <v>0</v>
      </c>
      <c r="BZ199" s="300">
        <v>0</v>
      </c>
      <c r="CA199" s="300">
        <v>0</v>
      </c>
      <c r="CB199" s="300">
        <v>0</v>
      </c>
      <c r="CC199" s="300">
        <v>0</v>
      </c>
      <c r="CD199" s="300">
        <v>0</v>
      </c>
      <c r="CE199" s="300">
        <v>0</v>
      </c>
    </row>
    <row r="200" spans="1:83" x14ac:dyDescent="0.3">
      <c r="A200" s="271"/>
      <c r="B200" s="271">
        <v>550</v>
      </c>
      <c r="C200" s="271" t="s">
        <v>572</v>
      </c>
      <c r="D200" s="271" t="s">
        <v>573</v>
      </c>
      <c r="E200" s="271">
        <v>0</v>
      </c>
      <c r="F200" s="271">
        <v>0</v>
      </c>
      <c r="G200" s="271">
        <v>0</v>
      </c>
      <c r="H200" s="271">
        <v>0</v>
      </c>
      <c r="I200" s="271">
        <v>0</v>
      </c>
      <c r="J200" s="271">
        <v>0</v>
      </c>
      <c r="K200" s="271">
        <v>0</v>
      </c>
      <c r="L200" s="271">
        <v>0</v>
      </c>
      <c r="M200" s="271">
        <v>0</v>
      </c>
      <c r="N200" s="271">
        <v>0</v>
      </c>
      <c r="O200" s="271">
        <v>0</v>
      </c>
      <c r="P200" s="271">
        <v>0</v>
      </c>
      <c r="Q200" s="271">
        <v>0</v>
      </c>
      <c r="R200" s="271">
        <v>0</v>
      </c>
      <c r="S200" s="271">
        <v>0</v>
      </c>
      <c r="T200" s="271">
        <v>0</v>
      </c>
      <c r="U200" s="271">
        <v>0</v>
      </c>
      <c r="V200" s="271">
        <v>0</v>
      </c>
      <c r="W200" s="271">
        <v>0</v>
      </c>
      <c r="X200" s="271">
        <v>0</v>
      </c>
      <c r="Y200" s="271">
        <v>0</v>
      </c>
      <c r="Z200" s="271">
        <v>0</v>
      </c>
      <c r="AA200" s="271">
        <v>0</v>
      </c>
      <c r="AB200" s="271">
        <v>0</v>
      </c>
      <c r="AC200" s="271">
        <v>0</v>
      </c>
      <c r="AD200" s="271">
        <v>0</v>
      </c>
      <c r="AE200" s="271">
        <v>0</v>
      </c>
      <c r="AF200" s="271">
        <v>0</v>
      </c>
      <c r="AG200" s="271">
        <v>0</v>
      </c>
      <c r="AH200" s="271">
        <v>0</v>
      </c>
      <c r="AI200" s="271">
        <v>0</v>
      </c>
      <c r="AJ200" s="271">
        <v>0</v>
      </c>
      <c r="AK200" s="271">
        <v>0</v>
      </c>
      <c r="AL200" s="271">
        <v>0</v>
      </c>
      <c r="AM200" s="271">
        <v>0</v>
      </c>
      <c r="AN200" s="271">
        <v>0</v>
      </c>
      <c r="AO200" s="271">
        <v>0</v>
      </c>
      <c r="AP200" s="271">
        <v>0</v>
      </c>
      <c r="AQ200" s="271">
        <v>0</v>
      </c>
      <c r="AR200" s="271">
        <v>0</v>
      </c>
      <c r="AS200" s="271">
        <v>0</v>
      </c>
      <c r="AT200" s="271">
        <v>0</v>
      </c>
      <c r="AU200" s="271">
        <v>0</v>
      </c>
      <c r="AV200" s="271">
        <v>0</v>
      </c>
      <c r="AW200" s="271">
        <v>0</v>
      </c>
      <c r="AX200" s="271">
        <v>0</v>
      </c>
      <c r="AY200" s="271">
        <v>0</v>
      </c>
      <c r="AZ200" s="271">
        <v>0</v>
      </c>
      <c r="BA200" s="271">
        <v>0</v>
      </c>
      <c r="BB200" s="271">
        <v>0</v>
      </c>
      <c r="BC200" s="271">
        <v>0</v>
      </c>
      <c r="BD200" s="271">
        <v>0</v>
      </c>
      <c r="BE200" s="271">
        <v>0</v>
      </c>
      <c r="BF200" s="271">
        <v>0</v>
      </c>
      <c r="BG200" s="271">
        <v>0</v>
      </c>
      <c r="BH200" s="271">
        <v>0</v>
      </c>
      <c r="BI200" s="271">
        <v>0</v>
      </c>
      <c r="BJ200" s="271">
        <v>0</v>
      </c>
      <c r="BK200" s="271">
        <v>0</v>
      </c>
      <c r="BL200" s="271">
        <v>0</v>
      </c>
      <c r="BM200" s="271">
        <v>0</v>
      </c>
      <c r="BN200" s="271">
        <v>0</v>
      </c>
      <c r="BO200" s="271">
        <v>0</v>
      </c>
      <c r="BP200" s="271">
        <v>0</v>
      </c>
      <c r="BQ200" s="271">
        <v>0</v>
      </c>
      <c r="BR200" s="271">
        <v>0</v>
      </c>
      <c r="BS200" s="271">
        <v>0</v>
      </c>
      <c r="BT200" s="300">
        <v>0</v>
      </c>
      <c r="BU200" s="300">
        <v>0</v>
      </c>
      <c r="BV200" s="300">
        <v>0</v>
      </c>
      <c r="BW200" s="300">
        <v>0</v>
      </c>
      <c r="BX200" s="300">
        <v>0</v>
      </c>
      <c r="BY200" s="300">
        <v>0</v>
      </c>
      <c r="BZ200" s="300">
        <v>0</v>
      </c>
      <c r="CA200" s="300">
        <v>0</v>
      </c>
      <c r="CB200" s="300">
        <v>0</v>
      </c>
      <c r="CC200" s="300">
        <v>0</v>
      </c>
      <c r="CD200" s="300">
        <v>0</v>
      </c>
      <c r="CE200" s="300">
        <v>0</v>
      </c>
    </row>
    <row r="201" spans="1:83" x14ac:dyDescent="0.3">
      <c r="A201" s="271"/>
      <c r="B201" s="271">
        <v>551</v>
      </c>
      <c r="C201" s="271" t="s">
        <v>1766</v>
      </c>
      <c r="D201" s="271" t="s">
        <v>574</v>
      </c>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71"/>
      <c r="AE201" s="271"/>
      <c r="AF201" s="271"/>
      <c r="AG201" s="271"/>
      <c r="AH201" s="271"/>
      <c r="AI201" s="271"/>
      <c r="AJ201" s="271"/>
      <c r="AK201" s="271"/>
      <c r="AL201" s="271"/>
      <c r="AM201" s="271"/>
      <c r="AN201" s="271"/>
      <c r="AO201" s="271"/>
      <c r="AP201" s="271"/>
      <c r="AQ201" s="271"/>
      <c r="AR201" s="271"/>
      <c r="AS201" s="271"/>
      <c r="AT201" s="271"/>
      <c r="AU201" s="271"/>
      <c r="AV201" s="271"/>
      <c r="AW201" s="271"/>
      <c r="AX201" s="271"/>
      <c r="AY201" s="271"/>
      <c r="AZ201" s="271"/>
      <c r="BA201" s="271"/>
      <c r="BB201" s="271"/>
      <c r="BC201" s="271"/>
      <c r="BD201" s="271"/>
      <c r="BE201" s="271"/>
      <c r="BF201" s="271"/>
      <c r="BG201" s="271"/>
      <c r="BH201" s="271"/>
      <c r="BI201" s="271"/>
      <c r="BJ201" s="271"/>
      <c r="BK201" s="271"/>
      <c r="BL201" s="271"/>
      <c r="BM201" s="271"/>
      <c r="BN201" s="271"/>
      <c r="BO201" s="271"/>
      <c r="BP201" s="271"/>
      <c r="BQ201" s="271"/>
      <c r="BR201" s="271"/>
      <c r="BS201" s="271"/>
    </row>
    <row r="202" spans="1:83" x14ac:dyDescent="0.3">
      <c r="A202" s="271"/>
      <c r="B202" s="271">
        <v>552</v>
      </c>
      <c r="C202" s="271" t="s">
        <v>542</v>
      </c>
      <c r="D202" s="271" t="s">
        <v>575</v>
      </c>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71"/>
      <c r="AE202" s="271"/>
      <c r="AF202" s="271"/>
      <c r="AG202" s="271"/>
      <c r="AH202" s="271"/>
      <c r="AI202" s="271"/>
      <c r="AJ202" s="271"/>
      <c r="AK202" s="271"/>
      <c r="AL202" s="271"/>
      <c r="AM202" s="271"/>
      <c r="AN202" s="271"/>
      <c r="AO202" s="271"/>
      <c r="AP202" s="271"/>
      <c r="AQ202" s="271"/>
      <c r="AR202" s="271"/>
      <c r="AS202" s="271"/>
      <c r="AT202" s="271"/>
      <c r="AU202" s="271"/>
      <c r="AV202" s="271"/>
      <c r="AW202" s="271"/>
      <c r="AX202" s="271"/>
      <c r="AY202" s="271"/>
      <c r="AZ202" s="271"/>
      <c r="BA202" s="271"/>
      <c r="BB202" s="271"/>
      <c r="BC202" s="271"/>
      <c r="BD202" s="271"/>
      <c r="BE202" s="271"/>
      <c r="BF202" s="271"/>
      <c r="BG202" s="271"/>
      <c r="BH202" s="271"/>
      <c r="BI202" s="271"/>
      <c r="BJ202" s="271"/>
      <c r="BK202" s="271"/>
      <c r="BL202" s="271"/>
      <c r="BM202" s="271"/>
      <c r="BN202" s="271"/>
      <c r="BO202" s="271"/>
      <c r="BP202" s="271"/>
      <c r="BQ202" s="271"/>
      <c r="BR202" s="271"/>
      <c r="BS202" s="271"/>
    </row>
    <row r="203" spans="1:83" x14ac:dyDescent="0.3">
      <c r="A203" s="271"/>
      <c r="B203" s="271">
        <v>553</v>
      </c>
      <c r="C203" s="271"/>
      <c r="D203" s="271" t="s">
        <v>576</v>
      </c>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71"/>
      <c r="AE203" s="271"/>
      <c r="AF203" s="271"/>
      <c r="AG203" s="271"/>
      <c r="AH203" s="271"/>
      <c r="AI203" s="271"/>
      <c r="AJ203" s="271"/>
      <c r="AK203" s="271"/>
      <c r="AL203" s="271"/>
      <c r="AM203" s="271"/>
      <c r="AN203" s="271"/>
      <c r="AO203" s="271"/>
      <c r="AP203" s="271"/>
      <c r="AQ203" s="271"/>
      <c r="AR203" s="271"/>
      <c r="AS203" s="271"/>
      <c r="AT203" s="271"/>
      <c r="AU203" s="271"/>
      <c r="AV203" s="271"/>
      <c r="AW203" s="271"/>
      <c r="AX203" s="271"/>
      <c r="AY203" s="271"/>
      <c r="AZ203" s="271"/>
      <c r="BA203" s="271"/>
      <c r="BB203" s="271"/>
      <c r="BC203" s="271"/>
      <c r="BD203" s="271"/>
      <c r="BE203" s="271"/>
      <c r="BF203" s="271"/>
      <c r="BG203" s="271"/>
      <c r="BH203" s="271"/>
      <c r="BI203" s="271"/>
      <c r="BJ203" s="271"/>
      <c r="BK203" s="271"/>
      <c r="BL203" s="271"/>
      <c r="BM203" s="271"/>
      <c r="BN203" s="271"/>
      <c r="BO203" s="271"/>
      <c r="BP203" s="271"/>
      <c r="BQ203" s="271"/>
      <c r="BR203" s="271"/>
      <c r="BS203" s="271"/>
    </row>
    <row r="204" spans="1:83" x14ac:dyDescent="0.3">
      <c r="A204" s="271">
        <v>554</v>
      </c>
      <c r="B204" s="271">
        <v>554</v>
      </c>
      <c r="C204" s="271" t="s">
        <v>577</v>
      </c>
      <c r="D204" s="271" t="s">
        <v>578</v>
      </c>
      <c r="E204" s="271">
        <v>360303</v>
      </c>
      <c r="F204" s="271">
        <v>0</v>
      </c>
      <c r="G204" s="271">
        <v>0</v>
      </c>
      <c r="H204" s="1113">
        <v>0</v>
      </c>
      <c r="I204" s="271">
        <v>0</v>
      </c>
      <c r="J204" s="271">
        <v>0</v>
      </c>
      <c r="K204" s="271">
        <v>0</v>
      </c>
      <c r="L204" s="271">
        <v>2276901</v>
      </c>
      <c r="M204" s="1113">
        <v>0</v>
      </c>
      <c r="N204" s="271">
        <v>21142899</v>
      </c>
      <c r="O204" s="271">
        <v>0</v>
      </c>
      <c r="P204" s="271">
        <v>1176328</v>
      </c>
      <c r="Q204" s="1113">
        <v>0</v>
      </c>
      <c r="R204" s="1113">
        <v>0</v>
      </c>
      <c r="S204" s="271">
        <v>0</v>
      </c>
      <c r="T204" s="271">
        <v>306871</v>
      </c>
      <c r="U204" s="271">
        <v>0</v>
      </c>
      <c r="V204" s="1113">
        <v>0</v>
      </c>
      <c r="W204" s="271">
        <v>2208564</v>
      </c>
      <c r="X204" s="271">
        <v>0</v>
      </c>
      <c r="Y204" s="1113">
        <v>0</v>
      </c>
      <c r="Z204" s="271">
        <v>250855</v>
      </c>
      <c r="AA204" s="271">
        <v>2931832</v>
      </c>
      <c r="AB204" s="271">
        <v>0</v>
      </c>
      <c r="AC204" s="271">
        <v>0</v>
      </c>
      <c r="AD204" s="271">
        <v>168494</v>
      </c>
      <c r="AE204" s="271">
        <v>0</v>
      </c>
      <c r="AF204" s="271">
        <v>0</v>
      </c>
      <c r="AG204" s="271">
        <v>4497181</v>
      </c>
      <c r="AH204" s="1113">
        <v>0</v>
      </c>
      <c r="AI204" s="271">
        <v>0</v>
      </c>
      <c r="AJ204" s="271">
        <v>0</v>
      </c>
      <c r="AK204" s="1113">
        <v>0</v>
      </c>
      <c r="AL204" s="271">
        <v>0</v>
      </c>
      <c r="AM204" s="271">
        <v>0</v>
      </c>
      <c r="AN204" s="1113">
        <v>0</v>
      </c>
      <c r="AO204" s="271">
        <v>62128</v>
      </c>
      <c r="AP204" s="271">
        <v>0</v>
      </c>
      <c r="AQ204" s="271">
        <v>0</v>
      </c>
      <c r="AR204" s="271">
        <v>0</v>
      </c>
      <c r="AS204" s="271">
        <v>0</v>
      </c>
      <c r="AT204" s="271">
        <v>0</v>
      </c>
      <c r="AU204" s="271">
        <v>0</v>
      </c>
      <c r="AV204" s="271">
        <v>27215601</v>
      </c>
      <c r="AW204" s="271">
        <v>17241315</v>
      </c>
      <c r="AX204" s="271">
        <v>0</v>
      </c>
      <c r="AY204" s="271">
        <v>0</v>
      </c>
      <c r="AZ204" s="271">
        <v>0</v>
      </c>
      <c r="BA204" s="271">
        <v>0</v>
      </c>
      <c r="BB204" s="1113">
        <v>0</v>
      </c>
      <c r="BC204" s="271">
        <v>0</v>
      </c>
      <c r="BD204" s="271">
        <v>0</v>
      </c>
      <c r="BE204" s="271">
        <v>0</v>
      </c>
      <c r="BF204" s="1113">
        <v>0</v>
      </c>
      <c r="BG204" s="271">
        <v>0</v>
      </c>
      <c r="BH204" s="271">
        <v>0</v>
      </c>
      <c r="BI204" s="271">
        <v>1272282</v>
      </c>
      <c r="BJ204" s="271">
        <v>110638</v>
      </c>
      <c r="BK204" s="271">
        <v>0</v>
      </c>
      <c r="BL204" s="271">
        <v>0</v>
      </c>
      <c r="BM204" s="271">
        <v>2341722</v>
      </c>
      <c r="BN204" s="271">
        <v>0</v>
      </c>
      <c r="BO204" s="271">
        <v>0</v>
      </c>
      <c r="BP204" s="271">
        <v>854163</v>
      </c>
      <c r="BQ204" s="1113">
        <v>6879382</v>
      </c>
      <c r="BR204" s="1113">
        <v>0</v>
      </c>
      <c r="BS204" s="1113">
        <v>0</v>
      </c>
      <c r="BT204" s="300">
        <v>0</v>
      </c>
      <c r="BU204" s="300">
        <v>803322</v>
      </c>
      <c r="BV204" s="300">
        <v>0</v>
      </c>
      <c r="BW204" s="300">
        <v>934724</v>
      </c>
      <c r="BX204" s="300">
        <v>0</v>
      </c>
      <c r="BY204" s="300">
        <v>0</v>
      </c>
      <c r="BZ204" s="300">
        <v>1833013</v>
      </c>
      <c r="CA204" s="300">
        <v>0</v>
      </c>
      <c r="CB204" s="300">
        <v>0</v>
      </c>
      <c r="CC204" s="300">
        <v>0</v>
      </c>
      <c r="CD204" s="300">
        <v>0</v>
      </c>
      <c r="CE204" s="300">
        <v>4179769</v>
      </c>
    </row>
    <row r="205" spans="1:83" x14ac:dyDescent="0.3">
      <c r="A205" s="271">
        <v>555</v>
      </c>
      <c r="B205" s="271">
        <v>555</v>
      </c>
      <c r="C205" s="271" t="s">
        <v>579</v>
      </c>
      <c r="D205" s="271" t="s">
        <v>580</v>
      </c>
      <c r="E205" s="271">
        <v>0</v>
      </c>
      <c r="F205" s="271">
        <v>0</v>
      </c>
      <c r="G205" s="271">
        <v>0</v>
      </c>
      <c r="H205" s="1113">
        <v>0</v>
      </c>
      <c r="I205" s="271">
        <v>0</v>
      </c>
      <c r="J205" s="271">
        <v>0</v>
      </c>
      <c r="K205" s="271">
        <v>0</v>
      </c>
      <c r="L205" s="271">
        <v>2276901</v>
      </c>
      <c r="M205" s="271">
        <v>0</v>
      </c>
      <c r="N205" s="271">
        <v>10102306</v>
      </c>
      <c r="O205" s="271">
        <v>0</v>
      </c>
      <c r="P205" s="271">
        <v>1154440</v>
      </c>
      <c r="Q205" s="271">
        <v>0</v>
      </c>
      <c r="R205" s="1113">
        <v>0</v>
      </c>
      <c r="S205" s="271">
        <v>0</v>
      </c>
      <c r="T205" s="271">
        <v>0</v>
      </c>
      <c r="U205" s="271">
        <v>0</v>
      </c>
      <c r="V205" s="1113">
        <v>0</v>
      </c>
      <c r="W205" s="271">
        <v>2208564</v>
      </c>
      <c r="X205" s="271">
        <v>0</v>
      </c>
      <c r="Y205" s="1113">
        <v>0</v>
      </c>
      <c r="Z205" s="271">
        <v>0</v>
      </c>
      <c r="AA205" s="271">
        <v>2901832</v>
      </c>
      <c r="AB205" s="271">
        <v>0</v>
      </c>
      <c r="AC205" s="271">
        <v>0</v>
      </c>
      <c r="AD205" s="271">
        <v>0</v>
      </c>
      <c r="AE205" s="271">
        <v>0</v>
      </c>
      <c r="AF205" s="271">
        <v>0</v>
      </c>
      <c r="AG205" s="271">
        <v>2781681</v>
      </c>
      <c r="AH205" s="271">
        <v>0</v>
      </c>
      <c r="AI205" s="271">
        <v>0</v>
      </c>
      <c r="AJ205" s="271">
        <v>0</v>
      </c>
      <c r="AK205" s="1113">
        <v>0</v>
      </c>
      <c r="AL205" s="271">
        <v>0</v>
      </c>
      <c r="AM205" s="271">
        <v>0</v>
      </c>
      <c r="AN205" s="1113">
        <v>0</v>
      </c>
      <c r="AO205" s="271">
        <v>0</v>
      </c>
      <c r="AP205" s="271">
        <v>0</v>
      </c>
      <c r="AQ205" s="271">
        <v>0</v>
      </c>
      <c r="AR205" s="271">
        <v>0</v>
      </c>
      <c r="AS205" s="271">
        <v>0</v>
      </c>
      <c r="AT205" s="271">
        <v>0</v>
      </c>
      <c r="AU205" s="271">
        <v>0</v>
      </c>
      <c r="AV205" s="271">
        <v>13791426</v>
      </c>
      <c r="AW205" s="271">
        <v>16529440</v>
      </c>
      <c r="AX205" s="271">
        <v>0</v>
      </c>
      <c r="AY205" s="271">
        <v>0</v>
      </c>
      <c r="AZ205" s="271">
        <v>0</v>
      </c>
      <c r="BA205" s="271">
        <v>0</v>
      </c>
      <c r="BB205" s="1113">
        <v>0</v>
      </c>
      <c r="BC205" s="271">
        <v>0</v>
      </c>
      <c r="BD205" s="271">
        <v>0</v>
      </c>
      <c r="BE205" s="271">
        <v>0</v>
      </c>
      <c r="BF205" s="1113">
        <v>0</v>
      </c>
      <c r="BG205" s="271">
        <v>0</v>
      </c>
      <c r="BH205" s="271">
        <v>0</v>
      </c>
      <c r="BI205" s="271">
        <v>1145582</v>
      </c>
      <c r="BJ205" s="271">
        <v>0</v>
      </c>
      <c r="BK205" s="271">
        <v>0</v>
      </c>
      <c r="BL205" s="271">
        <v>0</v>
      </c>
      <c r="BM205" s="271">
        <v>1420597</v>
      </c>
      <c r="BN205" s="271">
        <v>0</v>
      </c>
      <c r="BO205" s="271">
        <v>0</v>
      </c>
      <c r="BP205" s="271">
        <v>414133</v>
      </c>
      <c r="BQ205" s="1113">
        <v>2165069</v>
      </c>
      <c r="BR205" s="1113">
        <v>0</v>
      </c>
      <c r="BS205" s="1113">
        <v>0</v>
      </c>
      <c r="BT205" s="300">
        <v>0</v>
      </c>
      <c r="BU205" s="300">
        <v>786287</v>
      </c>
      <c r="BV205" s="300">
        <v>0</v>
      </c>
      <c r="BW205" s="300">
        <v>934724</v>
      </c>
      <c r="BX205" s="300">
        <v>0</v>
      </c>
      <c r="BY205" s="300">
        <v>0</v>
      </c>
      <c r="BZ205" s="300">
        <v>1805338</v>
      </c>
      <c r="CA205" s="300">
        <v>0</v>
      </c>
      <c r="CB205" s="300">
        <v>0</v>
      </c>
      <c r="CC205" s="300">
        <v>0</v>
      </c>
      <c r="CD205" s="300">
        <v>0</v>
      </c>
      <c r="CE205" s="300">
        <v>3938138</v>
      </c>
    </row>
    <row r="206" spans="1:83" x14ac:dyDescent="0.3">
      <c r="A206" s="271">
        <v>556</v>
      </c>
      <c r="B206" s="271">
        <v>556</v>
      </c>
      <c r="C206" s="271" t="s">
        <v>581</v>
      </c>
      <c r="D206" s="271" t="s">
        <v>582</v>
      </c>
      <c r="E206" s="271">
        <v>2069551</v>
      </c>
      <c r="F206" s="271">
        <v>0</v>
      </c>
      <c r="G206" s="271">
        <v>0</v>
      </c>
      <c r="H206" s="1113">
        <v>0</v>
      </c>
      <c r="I206" s="271">
        <v>0</v>
      </c>
      <c r="J206" s="271">
        <v>0</v>
      </c>
      <c r="K206" s="271">
        <v>0</v>
      </c>
      <c r="L206" s="271">
        <v>7800</v>
      </c>
      <c r="M206" s="1113">
        <v>0</v>
      </c>
      <c r="N206" s="271">
        <v>9818353</v>
      </c>
      <c r="O206" s="271">
        <v>0</v>
      </c>
      <c r="P206" s="271">
        <v>236480</v>
      </c>
      <c r="Q206" s="1113">
        <v>635963</v>
      </c>
      <c r="R206" s="1113">
        <v>0</v>
      </c>
      <c r="S206" s="271">
        <v>0</v>
      </c>
      <c r="T206" s="271">
        <v>745306</v>
      </c>
      <c r="U206" s="271">
        <v>0</v>
      </c>
      <c r="V206" s="1113">
        <v>0</v>
      </c>
      <c r="W206" s="271">
        <v>107217</v>
      </c>
      <c r="X206" s="271">
        <v>0</v>
      </c>
      <c r="Y206" s="1113">
        <v>0</v>
      </c>
      <c r="Z206" s="271">
        <v>547750</v>
      </c>
      <c r="AA206" s="271">
        <v>1726377</v>
      </c>
      <c r="AB206" s="271">
        <v>0</v>
      </c>
      <c r="AC206" s="271">
        <v>0</v>
      </c>
      <c r="AD206" s="271">
        <v>1484654</v>
      </c>
      <c r="AE206" s="271">
        <v>0</v>
      </c>
      <c r="AF206" s="271">
        <v>0</v>
      </c>
      <c r="AG206" s="271">
        <v>4052635</v>
      </c>
      <c r="AH206" s="1113">
        <v>0</v>
      </c>
      <c r="AI206" s="271">
        <v>0</v>
      </c>
      <c r="AJ206" s="271">
        <v>0</v>
      </c>
      <c r="AK206" s="1113">
        <v>0</v>
      </c>
      <c r="AL206" s="271">
        <v>0</v>
      </c>
      <c r="AM206" s="271">
        <v>0</v>
      </c>
      <c r="AN206" s="1113">
        <v>0</v>
      </c>
      <c r="AO206" s="271">
        <v>518699</v>
      </c>
      <c r="AP206" s="271">
        <v>0</v>
      </c>
      <c r="AQ206" s="271">
        <v>825420</v>
      </c>
      <c r="AR206" s="271">
        <v>0</v>
      </c>
      <c r="AS206" s="271">
        <v>0</v>
      </c>
      <c r="AT206" s="271">
        <v>0</v>
      </c>
      <c r="AU206" s="271">
        <v>0</v>
      </c>
      <c r="AV206" s="271">
        <v>10411593</v>
      </c>
      <c r="AW206" s="271">
        <v>3033124</v>
      </c>
      <c r="AX206" s="271">
        <v>0</v>
      </c>
      <c r="AY206" s="271">
        <v>0</v>
      </c>
      <c r="AZ206" s="271">
        <v>0</v>
      </c>
      <c r="BA206" s="271">
        <v>0</v>
      </c>
      <c r="BB206" s="1113">
        <v>0</v>
      </c>
      <c r="BC206" s="271">
        <v>0</v>
      </c>
      <c r="BD206" s="271">
        <v>0</v>
      </c>
      <c r="BE206" s="271">
        <v>0</v>
      </c>
      <c r="BF206" s="271">
        <v>0</v>
      </c>
      <c r="BG206" s="271">
        <v>0</v>
      </c>
      <c r="BH206" s="271">
        <v>0</v>
      </c>
      <c r="BI206" s="271">
        <v>1980855</v>
      </c>
      <c r="BJ206" s="271">
        <v>3099134</v>
      </c>
      <c r="BK206" s="271">
        <v>0</v>
      </c>
      <c r="BL206" s="271">
        <v>0</v>
      </c>
      <c r="BM206" s="271">
        <v>748167</v>
      </c>
      <c r="BN206" s="271">
        <v>0</v>
      </c>
      <c r="BO206" s="271">
        <v>0</v>
      </c>
      <c r="BP206" s="271">
        <v>2314035</v>
      </c>
      <c r="BQ206" s="1113">
        <v>2992976</v>
      </c>
      <c r="BR206" s="1113">
        <v>0</v>
      </c>
      <c r="BS206" s="1113">
        <v>0</v>
      </c>
      <c r="BT206" s="300">
        <v>0</v>
      </c>
      <c r="BU206" s="300">
        <v>183996</v>
      </c>
      <c r="BV206" s="300">
        <v>0</v>
      </c>
      <c r="BW206" s="300">
        <v>34002</v>
      </c>
      <c r="BX206" s="300">
        <v>0</v>
      </c>
      <c r="BY206" s="300">
        <v>0</v>
      </c>
      <c r="BZ206" s="300">
        <v>985235</v>
      </c>
      <c r="CA206" s="300">
        <v>0</v>
      </c>
      <c r="CB206" s="300">
        <v>0</v>
      </c>
      <c r="CC206" s="300">
        <v>0</v>
      </c>
      <c r="CD206" s="300">
        <v>0</v>
      </c>
      <c r="CE206" s="300">
        <v>1836561</v>
      </c>
    </row>
    <row r="207" spans="1:83" x14ac:dyDescent="0.3">
      <c r="A207" s="271">
        <v>557</v>
      </c>
      <c r="B207" s="271">
        <v>557</v>
      </c>
      <c r="C207" s="271" t="s">
        <v>583</v>
      </c>
      <c r="D207" s="271" t="s">
        <v>584</v>
      </c>
      <c r="E207" s="271">
        <v>1252358</v>
      </c>
      <c r="F207" s="271">
        <v>0</v>
      </c>
      <c r="G207" s="271">
        <v>0</v>
      </c>
      <c r="H207" s="1113">
        <v>0</v>
      </c>
      <c r="I207" s="271">
        <v>0</v>
      </c>
      <c r="J207" s="271">
        <v>0</v>
      </c>
      <c r="K207" s="271">
        <v>0</v>
      </c>
      <c r="L207" s="271">
        <v>0</v>
      </c>
      <c r="M207" s="1113">
        <v>0</v>
      </c>
      <c r="N207" s="271">
        <v>5249417</v>
      </c>
      <c r="O207" s="271">
        <v>0</v>
      </c>
      <c r="P207" s="271">
        <v>0</v>
      </c>
      <c r="Q207" s="1113">
        <v>625413</v>
      </c>
      <c r="R207" s="1113">
        <v>0</v>
      </c>
      <c r="S207" s="271">
        <v>0</v>
      </c>
      <c r="T207" s="271">
        <v>433775</v>
      </c>
      <c r="U207" s="271">
        <v>0</v>
      </c>
      <c r="V207" s="271">
        <v>0</v>
      </c>
      <c r="W207" s="271">
        <v>0</v>
      </c>
      <c r="X207" s="271">
        <v>0</v>
      </c>
      <c r="Y207" s="1113">
        <v>0</v>
      </c>
      <c r="Z207" s="271">
        <v>327194</v>
      </c>
      <c r="AA207" s="271">
        <v>1726377</v>
      </c>
      <c r="AB207" s="271">
        <v>0</v>
      </c>
      <c r="AC207" s="271">
        <v>0</v>
      </c>
      <c r="AD207" s="271">
        <v>1484654</v>
      </c>
      <c r="AE207" s="271">
        <v>0</v>
      </c>
      <c r="AF207" s="271">
        <v>0</v>
      </c>
      <c r="AG207" s="271">
        <v>1856363</v>
      </c>
      <c r="AH207" s="1113">
        <v>0</v>
      </c>
      <c r="AI207" s="271">
        <v>0</v>
      </c>
      <c r="AJ207" s="271">
        <v>0</v>
      </c>
      <c r="AK207" s="271">
        <v>0</v>
      </c>
      <c r="AL207" s="271">
        <v>0</v>
      </c>
      <c r="AM207" s="271">
        <v>0</v>
      </c>
      <c r="AN207" s="271">
        <v>0</v>
      </c>
      <c r="AO207" s="271">
        <v>393558</v>
      </c>
      <c r="AP207" s="271">
        <v>0</v>
      </c>
      <c r="AQ207" s="271">
        <v>427569</v>
      </c>
      <c r="AR207" s="271">
        <v>0</v>
      </c>
      <c r="AS207" s="271">
        <v>0</v>
      </c>
      <c r="AT207" s="271">
        <v>0</v>
      </c>
      <c r="AU207" s="271">
        <v>0</v>
      </c>
      <c r="AV207" s="271">
        <v>7415583</v>
      </c>
      <c r="AW207" s="271">
        <v>2500000</v>
      </c>
      <c r="AX207" s="271">
        <v>0</v>
      </c>
      <c r="AY207" s="271">
        <v>0</v>
      </c>
      <c r="AZ207" s="271">
        <v>0</v>
      </c>
      <c r="BA207" s="271">
        <v>0</v>
      </c>
      <c r="BB207" s="1113">
        <v>0</v>
      </c>
      <c r="BC207" s="271">
        <v>0</v>
      </c>
      <c r="BD207" s="271">
        <v>0</v>
      </c>
      <c r="BE207" s="271">
        <v>0</v>
      </c>
      <c r="BF207" s="271">
        <v>0</v>
      </c>
      <c r="BG207" s="271">
        <v>0</v>
      </c>
      <c r="BH207" s="271">
        <v>0</v>
      </c>
      <c r="BI207" s="271">
        <v>1323210</v>
      </c>
      <c r="BJ207" s="271">
        <v>3010796</v>
      </c>
      <c r="BK207" s="271">
        <v>0</v>
      </c>
      <c r="BL207" s="271">
        <v>0</v>
      </c>
      <c r="BM207" s="271">
        <v>494186</v>
      </c>
      <c r="BN207" s="271">
        <v>0</v>
      </c>
      <c r="BO207" s="271">
        <v>0</v>
      </c>
      <c r="BP207" s="271">
        <v>1895441</v>
      </c>
      <c r="BQ207" s="1113">
        <v>2738106</v>
      </c>
      <c r="BR207" s="271">
        <v>0</v>
      </c>
      <c r="BS207" s="271">
        <v>0</v>
      </c>
      <c r="BT207" s="300">
        <v>0</v>
      </c>
      <c r="BU207" s="300">
        <v>0</v>
      </c>
      <c r="BV207" s="300">
        <v>0</v>
      </c>
      <c r="BW207" s="300">
        <v>0</v>
      </c>
      <c r="BX207" s="300">
        <v>0</v>
      </c>
      <c r="BY207" s="300">
        <v>0</v>
      </c>
      <c r="BZ207" s="300">
        <v>965235</v>
      </c>
      <c r="CA207" s="300">
        <v>0</v>
      </c>
      <c r="CB207" s="300">
        <v>0</v>
      </c>
      <c r="CC207" s="300">
        <v>0</v>
      </c>
      <c r="CD207" s="300">
        <v>0</v>
      </c>
      <c r="CE207" s="300">
        <v>1755148</v>
      </c>
    </row>
    <row r="208" spans="1:83" x14ac:dyDescent="0.3">
      <c r="A208" s="271"/>
      <c r="B208" s="271">
        <v>558</v>
      </c>
      <c r="C208" s="271"/>
      <c r="D208" s="271" t="s">
        <v>585</v>
      </c>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71"/>
      <c r="AE208" s="271"/>
      <c r="AF208" s="271"/>
      <c r="AG208" s="271"/>
      <c r="AH208" s="271"/>
      <c r="AI208" s="271"/>
      <c r="AJ208" s="271"/>
      <c r="AK208" s="271"/>
      <c r="AL208" s="271"/>
      <c r="AM208" s="271"/>
      <c r="AN208" s="271"/>
      <c r="AO208" s="271"/>
      <c r="AP208" s="271"/>
      <c r="AQ208" s="271"/>
      <c r="AR208" s="271"/>
      <c r="AS208" s="271"/>
      <c r="AT208" s="271"/>
      <c r="AU208" s="271"/>
      <c r="AV208" s="271"/>
      <c r="AW208" s="271"/>
      <c r="AX208" s="271"/>
      <c r="AY208" s="271"/>
      <c r="AZ208" s="271"/>
      <c r="BA208" s="271"/>
      <c r="BB208" s="271"/>
      <c r="BC208" s="271"/>
      <c r="BD208" s="271"/>
      <c r="BE208" s="271"/>
      <c r="BF208" s="271"/>
      <c r="BG208" s="271"/>
      <c r="BH208" s="271"/>
      <c r="BI208" s="271"/>
      <c r="BJ208" s="271"/>
      <c r="BK208" s="271"/>
      <c r="BL208" s="271"/>
      <c r="BM208" s="271"/>
      <c r="BN208" s="271"/>
      <c r="BO208" s="271"/>
      <c r="BP208" s="271"/>
      <c r="BQ208" s="271"/>
      <c r="BR208" s="271"/>
      <c r="BS208" s="271"/>
    </row>
    <row r="209" spans="1:71" x14ac:dyDescent="0.3">
      <c r="A209" s="271"/>
      <c r="B209" s="271">
        <v>559</v>
      </c>
      <c r="C209" s="271"/>
      <c r="D209" s="271" t="s">
        <v>586</v>
      </c>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271"/>
      <c r="AF209" s="271"/>
      <c r="AG209" s="271"/>
      <c r="AH209" s="271"/>
      <c r="AI209" s="271"/>
      <c r="AJ209" s="271"/>
      <c r="AK209" s="271"/>
      <c r="AL209" s="271"/>
      <c r="AM209" s="271"/>
      <c r="AN209" s="271"/>
      <c r="AO209" s="271"/>
      <c r="AP209" s="271"/>
      <c r="AQ209" s="271"/>
      <c r="AR209" s="271"/>
      <c r="AS209" s="271"/>
      <c r="AT209" s="271"/>
      <c r="AU209" s="271"/>
      <c r="AV209" s="271"/>
      <c r="AW209" s="271"/>
      <c r="AX209" s="271"/>
      <c r="AY209" s="271"/>
      <c r="AZ209" s="271"/>
      <c r="BA209" s="271"/>
      <c r="BB209" s="271"/>
      <c r="BC209" s="271"/>
      <c r="BD209" s="271"/>
      <c r="BE209" s="271"/>
      <c r="BF209" s="271"/>
      <c r="BG209" s="271"/>
      <c r="BH209" s="271"/>
      <c r="BI209" s="271"/>
      <c r="BJ209" s="271"/>
      <c r="BK209" s="271"/>
      <c r="BL209" s="271"/>
      <c r="BM209" s="271"/>
      <c r="BN209" s="271"/>
      <c r="BO209" s="271"/>
      <c r="BP209" s="271"/>
      <c r="BQ209" s="271"/>
      <c r="BR209" s="271"/>
      <c r="BS209" s="271"/>
    </row>
    <row r="210" spans="1:71" x14ac:dyDescent="0.3">
      <c r="A210" s="271"/>
      <c r="B210" s="271">
        <v>560</v>
      </c>
      <c r="C210" s="271"/>
      <c r="D210" s="271" t="s">
        <v>587</v>
      </c>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row>
    <row r="211" spans="1:71" x14ac:dyDescent="0.3">
      <c r="A211" s="271"/>
      <c r="B211" s="271">
        <v>561</v>
      </c>
      <c r="C211" s="271"/>
      <c r="D211" s="271" t="s">
        <v>588</v>
      </c>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row>
    <row r="212" spans="1:71" x14ac:dyDescent="0.3">
      <c r="A212" s="271"/>
      <c r="B212" s="271">
        <v>562</v>
      </c>
      <c r="C212" s="271"/>
      <c r="D212" s="271" t="s">
        <v>589</v>
      </c>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71"/>
      <c r="AE212" s="271"/>
      <c r="AF212" s="271"/>
      <c r="AG212" s="271"/>
      <c r="AH212" s="271"/>
      <c r="AI212" s="271"/>
      <c r="AJ212" s="271"/>
      <c r="AK212" s="271"/>
      <c r="AL212" s="271"/>
      <c r="AM212" s="271"/>
      <c r="AN212" s="271"/>
      <c r="AO212" s="271"/>
      <c r="AP212" s="271"/>
      <c r="AQ212" s="271"/>
      <c r="AR212" s="271"/>
      <c r="AS212" s="271"/>
      <c r="AT212" s="271"/>
      <c r="AU212" s="271"/>
      <c r="AV212" s="271"/>
      <c r="AW212" s="271"/>
      <c r="AX212" s="271"/>
      <c r="AY212" s="271"/>
      <c r="AZ212" s="271"/>
      <c r="BA212" s="271"/>
      <c r="BB212" s="271"/>
      <c r="BC212" s="271"/>
      <c r="BD212" s="271"/>
      <c r="BE212" s="271"/>
      <c r="BF212" s="271"/>
      <c r="BG212" s="271"/>
      <c r="BH212" s="271"/>
      <c r="BI212" s="271"/>
      <c r="BJ212" s="271"/>
      <c r="BK212" s="271"/>
      <c r="BL212" s="271"/>
      <c r="BM212" s="271"/>
      <c r="BN212" s="271"/>
      <c r="BO212" s="271"/>
      <c r="BP212" s="271"/>
      <c r="BQ212" s="271"/>
      <c r="BR212" s="271"/>
      <c r="BS212" s="271"/>
    </row>
    <row r="213" spans="1:71" x14ac:dyDescent="0.3">
      <c r="A213" s="271"/>
      <c r="B213" s="271">
        <v>563</v>
      </c>
      <c r="C213" s="271"/>
      <c r="D213" s="271" t="s">
        <v>590</v>
      </c>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71"/>
      <c r="AE213" s="271"/>
      <c r="AF213" s="271"/>
      <c r="AG213" s="271"/>
      <c r="AH213" s="271"/>
      <c r="AI213" s="271"/>
      <c r="AJ213" s="271"/>
      <c r="AK213" s="271"/>
      <c r="AL213" s="271"/>
      <c r="AM213" s="271"/>
      <c r="AN213" s="271"/>
      <c r="AO213" s="271"/>
      <c r="AP213" s="271"/>
      <c r="AQ213" s="271"/>
      <c r="AR213" s="271"/>
      <c r="AS213" s="271"/>
      <c r="AT213" s="271"/>
      <c r="AU213" s="271"/>
      <c r="AV213" s="271"/>
      <c r="AW213" s="271"/>
      <c r="AX213" s="271"/>
      <c r="AY213" s="271"/>
      <c r="AZ213" s="271"/>
      <c r="BA213" s="271"/>
      <c r="BB213" s="271"/>
      <c r="BC213" s="271"/>
      <c r="BD213" s="271"/>
      <c r="BE213" s="271"/>
      <c r="BF213" s="271"/>
      <c r="BG213" s="271"/>
      <c r="BH213" s="271"/>
      <c r="BI213" s="271"/>
      <c r="BJ213" s="271"/>
      <c r="BK213" s="271"/>
      <c r="BL213" s="271"/>
      <c r="BM213" s="271"/>
      <c r="BN213" s="271"/>
      <c r="BO213" s="271"/>
      <c r="BP213" s="271"/>
      <c r="BQ213" s="271"/>
      <c r="BR213" s="271"/>
      <c r="BS213" s="271"/>
    </row>
    <row r="214" spans="1:71" x14ac:dyDescent="0.3">
      <c r="A214" s="271"/>
      <c r="B214" s="271">
        <v>564</v>
      </c>
      <c r="C214" s="271"/>
      <c r="D214" s="271" t="s">
        <v>591</v>
      </c>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71"/>
      <c r="AE214" s="271"/>
      <c r="AF214" s="271"/>
      <c r="AG214" s="271"/>
      <c r="AH214" s="271"/>
      <c r="AI214" s="271"/>
      <c r="AJ214" s="271"/>
      <c r="AK214" s="271"/>
      <c r="AL214" s="271"/>
      <c r="AM214" s="271"/>
      <c r="AN214" s="271"/>
      <c r="AO214" s="271"/>
      <c r="AP214" s="271"/>
      <c r="AQ214" s="271"/>
      <c r="AR214" s="271"/>
      <c r="AS214" s="271"/>
      <c r="AT214" s="271"/>
      <c r="AU214" s="271"/>
      <c r="AV214" s="271"/>
      <c r="AW214" s="271"/>
      <c r="AX214" s="271"/>
      <c r="AY214" s="271"/>
      <c r="AZ214" s="271"/>
      <c r="BA214" s="271"/>
      <c r="BB214" s="271"/>
      <c r="BC214" s="271"/>
      <c r="BD214" s="271"/>
      <c r="BE214" s="271"/>
      <c r="BF214" s="271"/>
      <c r="BG214" s="271"/>
      <c r="BH214" s="271"/>
      <c r="BI214" s="271"/>
      <c r="BJ214" s="271"/>
      <c r="BK214" s="271"/>
      <c r="BL214" s="271"/>
      <c r="BM214" s="271"/>
      <c r="BN214" s="271"/>
      <c r="BO214" s="271"/>
      <c r="BP214" s="271"/>
      <c r="BQ214" s="271"/>
      <c r="BR214" s="271"/>
      <c r="BS214" s="271"/>
    </row>
    <row r="215" spans="1:71" x14ac:dyDescent="0.3">
      <c r="A215" s="271"/>
      <c r="B215" s="271">
        <v>565</v>
      </c>
      <c r="C215" s="271"/>
      <c r="D215" s="271" t="s">
        <v>592</v>
      </c>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71"/>
      <c r="AE215" s="271"/>
      <c r="AF215" s="271"/>
      <c r="AG215" s="271"/>
      <c r="AH215" s="271"/>
      <c r="AI215" s="271"/>
      <c r="AJ215" s="271"/>
      <c r="AK215" s="271"/>
      <c r="AL215" s="271"/>
      <c r="AM215" s="271"/>
      <c r="AN215" s="271"/>
      <c r="AO215" s="271"/>
      <c r="AP215" s="271"/>
      <c r="AQ215" s="271"/>
      <c r="AR215" s="271"/>
      <c r="AS215" s="271"/>
      <c r="AT215" s="271"/>
      <c r="AU215" s="271"/>
      <c r="AV215" s="271"/>
      <c r="AW215" s="271"/>
      <c r="AX215" s="271"/>
      <c r="AY215" s="271"/>
      <c r="AZ215" s="271"/>
      <c r="BA215" s="271"/>
      <c r="BB215" s="271"/>
      <c r="BC215" s="271"/>
      <c r="BD215" s="271"/>
      <c r="BE215" s="271"/>
      <c r="BF215" s="271"/>
      <c r="BG215" s="271"/>
      <c r="BH215" s="271"/>
      <c r="BI215" s="271"/>
      <c r="BJ215" s="271"/>
      <c r="BK215" s="271"/>
      <c r="BL215" s="271"/>
      <c r="BM215" s="271"/>
      <c r="BN215" s="271"/>
      <c r="BO215" s="271"/>
      <c r="BP215" s="271"/>
      <c r="BQ215" s="271"/>
      <c r="BR215" s="271"/>
      <c r="BS215" s="271"/>
    </row>
    <row r="216" spans="1:71" x14ac:dyDescent="0.3">
      <c r="A216" s="271"/>
      <c r="B216" s="271">
        <v>566</v>
      </c>
      <c r="C216" s="271"/>
      <c r="D216" s="271" t="s">
        <v>593</v>
      </c>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271"/>
      <c r="AF216" s="271"/>
      <c r="AG216" s="271"/>
      <c r="AH216" s="271"/>
      <c r="AI216" s="271"/>
      <c r="AJ216" s="271"/>
      <c r="AK216" s="271"/>
      <c r="AL216" s="271"/>
      <c r="AM216" s="271"/>
      <c r="AN216" s="271"/>
      <c r="AO216" s="271"/>
      <c r="AP216" s="271"/>
      <c r="AQ216" s="271"/>
      <c r="AR216" s="271"/>
      <c r="AS216" s="271"/>
      <c r="AT216" s="271"/>
      <c r="AU216" s="271"/>
      <c r="AV216" s="271"/>
      <c r="AW216" s="271"/>
      <c r="AX216" s="271"/>
      <c r="AY216" s="271"/>
      <c r="AZ216" s="271"/>
      <c r="BA216" s="271"/>
      <c r="BB216" s="271"/>
      <c r="BC216" s="271"/>
      <c r="BD216" s="271"/>
      <c r="BE216" s="271"/>
      <c r="BF216" s="271"/>
      <c r="BG216" s="271"/>
      <c r="BH216" s="271"/>
      <c r="BI216" s="271"/>
      <c r="BJ216" s="271"/>
      <c r="BK216" s="271"/>
      <c r="BL216" s="271"/>
      <c r="BM216" s="271"/>
      <c r="BN216" s="271"/>
      <c r="BO216" s="271"/>
      <c r="BP216" s="271"/>
      <c r="BQ216" s="271"/>
      <c r="BR216" s="271"/>
      <c r="BS216" s="271"/>
    </row>
    <row r="217" spans="1:71" x14ac:dyDescent="0.3">
      <c r="A217" s="271"/>
      <c r="B217" s="271">
        <v>567</v>
      </c>
      <c r="C217" s="271"/>
      <c r="D217" s="271" t="s">
        <v>594</v>
      </c>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71"/>
      <c r="AE217" s="271"/>
      <c r="AF217" s="271"/>
      <c r="AG217" s="271"/>
      <c r="AH217" s="271"/>
      <c r="AI217" s="271"/>
      <c r="AJ217" s="271"/>
      <c r="AK217" s="271"/>
      <c r="AL217" s="271"/>
      <c r="AM217" s="271"/>
      <c r="AN217" s="271"/>
      <c r="AO217" s="271"/>
      <c r="AP217" s="271"/>
      <c r="AQ217" s="271"/>
      <c r="AR217" s="271"/>
      <c r="AS217" s="271"/>
      <c r="AT217" s="271"/>
      <c r="AU217" s="271"/>
      <c r="AV217" s="271"/>
      <c r="AW217" s="271"/>
      <c r="AX217" s="271"/>
      <c r="AY217" s="271"/>
      <c r="AZ217" s="271"/>
      <c r="BA217" s="271"/>
      <c r="BB217" s="271"/>
      <c r="BC217" s="271"/>
      <c r="BD217" s="271"/>
      <c r="BE217" s="271"/>
      <c r="BF217" s="271"/>
      <c r="BG217" s="271"/>
      <c r="BH217" s="271"/>
      <c r="BI217" s="271"/>
      <c r="BJ217" s="271"/>
      <c r="BK217" s="271"/>
      <c r="BL217" s="271"/>
      <c r="BM217" s="271"/>
      <c r="BN217" s="271"/>
      <c r="BO217" s="271"/>
      <c r="BP217" s="271"/>
      <c r="BQ217" s="271"/>
      <c r="BR217" s="271"/>
      <c r="BS217" s="271"/>
    </row>
    <row r="218" spans="1:71" x14ac:dyDescent="0.3">
      <c r="A218" s="271"/>
      <c r="B218" s="271">
        <v>568</v>
      </c>
      <c r="C218" s="271"/>
      <c r="D218" s="271" t="s">
        <v>595</v>
      </c>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271"/>
      <c r="AE218" s="271"/>
      <c r="AF218" s="271"/>
      <c r="AG218" s="271"/>
      <c r="AH218" s="271"/>
      <c r="AI218" s="271"/>
      <c r="AJ218" s="271"/>
      <c r="AK218" s="271"/>
      <c r="AL218" s="271"/>
      <c r="AM218" s="271"/>
      <c r="AN218" s="271"/>
      <c r="AO218" s="271"/>
      <c r="AP218" s="271"/>
      <c r="AQ218" s="271"/>
      <c r="AR218" s="271"/>
      <c r="AS218" s="271"/>
      <c r="AT218" s="271"/>
      <c r="AU218" s="271"/>
      <c r="AV218" s="271"/>
      <c r="AW218" s="271"/>
      <c r="AX218" s="271"/>
      <c r="AY218" s="271"/>
      <c r="AZ218" s="271"/>
      <c r="BA218" s="271"/>
      <c r="BB218" s="271"/>
      <c r="BC218" s="271"/>
      <c r="BD218" s="271"/>
      <c r="BE218" s="271"/>
      <c r="BF218" s="271"/>
      <c r="BG218" s="271"/>
      <c r="BH218" s="271"/>
      <c r="BI218" s="271"/>
      <c r="BJ218" s="271"/>
      <c r="BK218" s="271"/>
      <c r="BL218" s="271"/>
      <c r="BM218" s="271"/>
      <c r="BN218" s="271"/>
      <c r="BO218" s="271"/>
      <c r="BP218" s="271"/>
      <c r="BQ218" s="271"/>
      <c r="BR218" s="271"/>
      <c r="BS218" s="271"/>
    </row>
    <row r="219" spans="1:71" x14ac:dyDescent="0.3">
      <c r="A219" s="271"/>
      <c r="B219" s="271">
        <v>569</v>
      </c>
      <c r="C219" s="271"/>
      <c r="D219" s="271" t="s">
        <v>596</v>
      </c>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71"/>
      <c r="AE219" s="271"/>
      <c r="AF219" s="271"/>
      <c r="AG219" s="271"/>
      <c r="AH219" s="271"/>
      <c r="AI219" s="271"/>
      <c r="AJ219" s="271"/>
      <c r="AK219" s="271"/>
      <c r="AL219" s="271"/>
      <c r="AM219" s="271"/>
      <c r="AN219" s="271"/>
      <c r="AO219" s="271"/>
      <c r="AP219" s="271"/>
      <c r="AQ219" s="271"/>
      <c r="AR219" s="271"/>
      <c r="AS219" s="271"/>
      <c r="AT219" s="271"/>
      <c r="AU219" s="271"/>
      <c r="AV219" s="271"/>
      <c r="AW219" s="271"/>
      <c r="AX219" s="271"/>
      <c r="AY219" s="271"/>
      <c r="AZ219" s="271"/>
      <c r="BA219" s="271"/>
      <c r="BB219" s="271"/>
      <c r="BC219" s="271"/>
      <c r="BD219" s="271"/>
      <c r="BE219" s="271"/>
      <c r="BF219" s="271"/>
      <c r="BG219" s="271"/>
      <c r="BH219" s="271"/>
      <c r="BI219" s="271"/>
      <c r="BJ219" s="271"/>
      <c r="BK219" s="271"/>
      <c r="BL219" s="271"/>
      <c r="BM219" s="271"/>
      <c r="BN219" s="271"/>
      <c r="BO219" s="271"/>
      <c r="BP219" s="271"/>
      <c r="BQ219" s="271"/>
      <c r="BR219" s="271"/>
      <c r="BS219" s="271"/>
    </row>
    <row r="220" spans="1:71" x14ac:dyDescent="0.3">
      <c r="A220" s="271"/>
      <c r="B220" s="271">
        <v>570</v>
      </c>
      <c r="C220" s="271"/>
      <c r="D220" s="271" t="s">
        <v>597</v>
      </c>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71"/>
      <c r="AE220" s="271"/>
      <c r="AF220" s="271"/>
      <c r="AG220" s="271"/>
      <c r="AH220" s="271"/>
      <c r="AI220" s="271"/>
      <c r="AJ220" s="271"/>
      <c r="AK220" s="271"/>
      <c r="AL220" s="271"/>
      <c r="AM220" s="271"/>
      <c r="AN220" s="271"/>
      <c r="AO220" s="271"/>
      <c r="AP220" s="271"/>
      <c r="AQ220" s="271"/>
      <c r="AR220" s="271"/>
      <c r="AS220" s="271"/>
      <c r="AT220" s="271"/>
      <c r="AU220" s="271"/>
      <c r="AV220" s="271"/>
      <c r="AW220" s="271"/>
      <c r="AX220" s="271"/>
      <c r="AY220" s="271"/>
      <c r="AZ220" s="271"/>
      <c r="BA220" s="271"/>
      <c r="BB220" s="271"/>
      <c r="BC220" s="271"/>
      <c r="BD220" s="271"/>
      <c r="BE220" s="271"/>
      <c r="BF220" s="271"/>
      <c r="BG220" s="271"/>
      <c r="BH220" s="271"/>
      <c r="BI220" s="271"/>
      <c r="BJ220" s="271"/>
      <c r="BK220" s="271"/>
      <c r="BL220" s="271"/>
      <c r="BM220" s="271"/>
      <c r="BN220" s="271"/>
      <c r="BO220" s="271"/>
      <c r="BP220" s="271"/>
      <c r="BQ220" s="271"/>
      <c r="BR220" s="271"/>
      <c r="BS220" s="271"/>
    </row>
    <row r="221" spans="1:71" x14ac:dyDescent="0.3">
      <c r="A221" s="271"/>
      <c r="B221" s="271">
        <v>571</v>
      </c>
      <c r="C221" s="271"/>
      <c r="D221" s="271" t="s">
        <v>598</v>
      </c>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71"/>
      <c r="AE221" s="271"/>
      <c r="AF221" s="271"/>
      <c r="AG221" s="271"/>
      <c r="AH221" s="271"/>
      <c r="AI221" s="271"/>
      <c r="AJ221" s="271"/>
      <c r="AK221" s="271"/>
      <c r="AL221" s="271"/>
      <c r="AM221" s="271"/>
      <c r="AN221" s="271"/>
      <c r="AO221" s="271"/>
      <c r="AP221" s="271"/>
      <c r="AQ221" s="271"/>
      <c r="AR221" s="271"/>
      <c r="AS221" s="271"/>
      <c r="AT221" s="271"/>
      <c r="AU221" s="271"/>
      <c r="AV221" s="271"/>
      <c r="AW221" s="271"/>
      <c r="AX221" s="271"/>
      <c r="AY221" s="271"/>
      <c r="AZ221" s="271"/>
      <c r="BA221" s="271"/>
      <c r="BB221" s="271"/>
      <c r="BC221" s="271"/>
      <c r="BD221" s="271"/>
      <c r="BE221" s="271"/>
      <c r="BF221" s="271"/>
      <c r="BG221" s="271"/>
      <c r="BH221" s="271"/>
      <c r="BI221" s="271"/>
      <c r="BJ221" s="271"/>
      <c r="BK221" s="271"/>
      <c r="BL221" s="271"/>
      <c r="BM221" s="271"/>
      <c r="BN221" s="271"/>
      <c r="BO221" s="271"/>
      <c r="BP221" s="271"/>
      <c r="BQ221" s="271"/>
      <c r="BR221" s="271"/>
      <c r="BS221" s="271"/>
    </row>
    <row r="222" spans="1:71" x14ac:dyDescent="0.3">
      <c r="A222" s="271"/>
      <c r="B222" s="271">
        <v>572</v>
      </c>
      <c r="C222" s="271"/>
      <c r="D222" s="271" t="s">
        <v>599</v>
      </c>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71"/>
      <c r="AE222" s="271"/>
      <c r="AF222" s="271"/>
      <c r="AG222" s="271"/>
      <c r="AH222" s="271"/>
      <c r="AI222" s="271"/>
      <c r="AJ222" s="271"/>
      <c r="AK222" s="271"/>
      <c r="AL222" s="271"/>
      <c r="AM222" s="271"/>
      <c r="AN222" s="271"/>
      <c r="AO222" s="271"/>
      <c r="AP222" s="271"/>
      <c r="AQ222" s="271"/>
      <c r="AR222" s="271"/>
      <c r="AS222" s="271"/>
      <c r="AT222" s="271"/>
      <c r="AU222" s="271"/>
      <c r="AV222" s="271"/>
      <c r="AW222" s="271"/>
      <c r="AX222" s="271"/>
      <c r="AY222" s="271"/>
      <c r="AZ222" s="271"/>
      <c r="BA222" s="271"/>
      <c r="BB222" s="271"/>
      <c r="BC222" s="271"/>
      <c r="BD222" s="271"/>
      <c r="BE222" s="271"/>
      <c r="BF222" s="271"/>
      <c r="BG222" s="271"/>
      <c r="BH222" s="271"/>
      <c r="BI222" s="271"/>
      <c r="BJ222" s="271"/>
      <c r="BK222" s="271"/>
      <c r="BL222" s="271"/>
      <c r="BM222" s="271"/>
      <c r="BN222" s="271"/>
      <c r="BO222" s="271"/>
      <c r="BP222" s="271"/>
      <c r="BQ222" s="271"/>
      <c r="BR222" s="271"/>
      <c r="BS222" s="271"/>
    </row>
    <row r="223" spans="1:71" x14ac:dyDescent="0.3">
      <c r="A223" s="271"/>
      <c r="B223" s="271">
        <v>573</v>
      </c>
      <c r="C223" s="271"/>
      <c r="D223" s="271" t="s">
        <v>600</v>
      </c>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71"/>
      <c r="AE223" s="271"/>
      <c r="AF223" s="271"/>
      <c r="AG223" s="271"/>
      <c r="AH223" s="271"/>
      <c r="AI223" s="271"/>
      <c r="AJ223" s="271"/>
      <c r="AK223" s="271"/>
      <c r="AL223" s="271"/>
      <c r="AM223" s="271"/>
      <c r="AN223" s="271"/>
      <c r="AO223" s="271"/>
      <c r="AP223" s="271"/>
      <c r="AQ223" s="271"/>
      <c r="AR223" s="271"/>
      <c r="AS223" s="271"/>
      <c r="AT223" s="271"/>
      <c r="AU223" s="271"/>
      <c r="AV223" s="271"/>
      <c r="AW223" s="271"/>
      <c r="AX223" s="271"/>
      <c r="AY223" s="271"/>
      <c r="AZ223" s="271"/>
      <c r="BA223" s="271"/>
      <c r="BB223" s="271"/>
      <c r="BC223" s="271"/>
      <c r="BD223" s="271"/>
      <c r="BE223" s="271"/>
      <c r="BF223" s="271"/>
      <c r="BG223" s="271"/>
      <c r="BH223" s="271"/>
      <c r="BI223" s="271"/>
      <c r="BJ223" s="271"/>
      <c r="BK223" s="271"/>
      <c r="BL223" s="271"/>
      <c r="BM223" s="271"/>
      <c r="BN223" s="271"/>
      <c r="BO223" s="271"/>
      <c r="BP223" s="271"/>
      <c r="BQ223" s="271"/>
      <c r="BR223" s="271"/>
      <c r="BS223" s="271"/>
    </row>
    <row r="224" spans="1:71" x14ac:dyDescent="0.3">
      <c r="A224" s="271"/>
      <c r="B224" s="271">
        <v>574</v>
      </c>
      <c r="C224" s="271"/>
      <c r="D224" s="271" t="s">
        <v>601</v>
      </c>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271"/>
      <c r="AF224" s="271"/>
      <c r="AG224" s="271"/>
      <c r="AH224" s="271"/>
      <c r="AI224" s="271"/>
      <c r="AJ224" s="271"/>
      <c r="AK224" s="271"/>
      <c r="AL224" s="271"/>
      <c r="AM224" s="271"/>
      <c r="AN224" s="271"/>
      <c r="AO224" s="271"/>
      <c r="AP224" s="271"/>
      <c r="AQ224" s="271"/>
      <c r="AR224" s="271"/>
      <c r="AS224" s="271"/>
      <c r="AT224" s="271"/>
      <c r="AU224" s="271"/>
      <c r="AV224" s="271"/>
      <c r="AW224" s="271"/>
      <c r="AX224" s="271"/>
      <c r="AY224" s="271"/>
      <c r="AZ224" s="271"/>
      <c r="BA224" s="271"/>
      <c r="BB224" s="271"/>
      <c r="BC224" s="271"/>
      <c r="BD224" s="271"/>
      <c r="BE224" s="271"/>
      <c r="BF224" s="271"/>
      <c r="BG224" s="271"/>
      <c r="BH224" s="271"/>
      <c r="BI224" s="271"/>
      <c r="BJ224" s="271"/>
      <c r="BK224" s="271"/>
      <c r="BL224" s="271"/>
      <c r="BM224" s="271"/>
      <c r="BN224" s="271"/>
      <c r="BO224" s="271"/>
      <c r="BP224" s="271"/>
      <c r="BQ224" s="271"/>
      <c r="BR224" s="271"/>
      <c r="BS224" s="271"/>
    </row>
    <row r="225" spans="1:83" x14ac:dyDescent="0.3">
      <c r="A225" s="271">
        <v>575</v>
      </c>
      <c r="B225" s="271">
        <v>575</v>
      </c>
      <c r="C225" s="271" t="s">
        <v>547</v>
      </c>
      <c r="D225" s="271" t="s">
        <v>642</v>
      </c>
      <c r="E225" s="271">
        <v>29375</v>
      </c>
      <c r="F225" s="271">
        <v>0</v>
      </c>
      <c r="G225" s="271">
        <v>0</v>
      </c>
      <c r="H225" s="271">
        <v>0</v>
      </c>
      <c r="I225" s="271">
        <v>0</v>
      </c>
      <c r="J225" s="1113">
        <v>7495</v>
      </c>
      <c r="K225" s="271">
        <v>0</v>
      </c>
      <c r="L225" s="1113">
        <v>0</v>
      </c>
      <c r="M225" s="271">
        <v>0</v>
      </c>
      <c r="N225" s="271">
        <v>0</v>
      </c>
      <c r="O225" s="271">
        <v>0</v>
      </c>
      <c r="P225" s="271">
        <v>0</v>
      </c>
      <c r="Q225" s="1113">
        <v>22902</v>
      </c>
      <c r="R225" s="271">
        <v>23077</v>
      </c>
      <c r="S225" s="271">
        <v>0</v>
      </c>
      <c r="T225" s="271">
        <v>0</v>
      </c>
      <c r="U225" s="271">
        <v>505</v>
      </c>
      <c r="V225" s="1113">
        <v>0</v>
      </c>
      <c r="W225" s="271">
        <v>0</v>
      </c>
      <c r="X225" s="271">
        <v>0</v>
      </c>
      <c r="Y225" s="1113">
        <v>33658</v>
      </c>
      <c r="Z225" s="271">
        <v>0</v>
      </c>
      <c r="AA225" s="271">
        <v>0</v>
      </c>
      <c r="AB225" s="271">
        <v>0</v>
      </c>
      <c r="AC225" s="271">
        <v>0</v>
      </c>
      <c r="AD225" s="271">
        <v>0</v>
      </c>
      <c r="AE225" s="1113">
        <v>0</v>
      </c>
      <c r="AF225" s="271">
        <v>0</v>
      </c>
      <c r="AG225" s="271">
        <v>0</v>
      </c>
      <c r="AH225" s="271">
        <v>0</v>
      </c>
      <c r="AI225" s="271">
        <v>0</v>
      </c>
      <c r="AJ225" s="1113">
        <v>0</v>
      </c>
      <c r="AK225" s="271">
        <v>0</v>
      </c>
      <c r="AL225" s="271">
        <v>80240</v>
      </c>
      <c r="AM225" s="271">
        <v>0</v>
      </c>
      <c r="AN225" s="271">
        <v>0</v>
      </c>
      <c r="AO225" s="271">
        <v>0</v>
      </c>
      <c r="AP225" s="271">
        <v>0</v>
      </c>
      <c r="AQ225" s="271">
        <v>0</v>
      </c>
      <c r="AR225" s="1113">
        <v>0</v>
      </c>
      <c r="AS225" s="271">
        <v>0</v>
      </c>
      <c r="AT225" s="271">
        <v>217105</v>
      </c>
      <c r="AU225" s="271">
        <v>0</v>
      </c>
      <c r="AV225" s="271">
        <v>0</v>
      </c>
      <c r="AW225" s="271">
        <v>440254</v>
      </c>
      <c r="AX225" s="271">
        <v>0</v>
      </c>
      <c r="AY225" s="271">
        <v>0</v>
      </c>
      <c r="AZ225" s="271">
        <v>0</v>
      </c>
      <c r="BA225" s="271">
        <v>0</v>
      </c>
      <c r="BB225" s="271">
        <v>0</v>
      </c>
      <c r="BC225" s="271">
        <v>1931</v>
      </c>
      <c r="BD225" s="271">
        <v>0</v>
      </c>
      <c r="BE225" s="271">
        <v>0</v>
      </c>
      <c r="BF225" s="271">
        <v>4689</v>
      </c>
      <c r="BG225" s="1113">
        <v>0</v>
      </c>
      <c r="BH225" s="271">
        <v>0</v>
      </c>
      <c r="BI225" s="271">
        <v>0</v>
      </c>
      <c r="BJ225" s="1113">
        <v>22263</v>
      </c>
      <c r="BK225" s="1113">
        <v>0</v>
      </c>
      <c r="BL225" s="271">
        <v>0</v>
      </c>
      <c r="BM225" s="271">
        <v>0</v>
      </c>
      <c r="BN225" s="271">
        <v>0</v>
      </c>
      <c r="BO225" s="1113">
        <v>0</v>
      </c>
      <c r="BP225" s="271">
        <v>1091315</v>
      </c>
      <c r="BQ225" s="1113">
        <v>0</v>
      </c>
      <c r="BR225" s="271">
        <v>0</v>
      </c>
      <c r="BS225" s="1113">
        <v>0</v>
      </c>
      <c r="BT225" s="300">
        <v>0</v>
      </c>
      <c r="BU225" s="300">
        <v>0</v>
      </c>
      <c r="BV225" s="300">
        <v>0</v>
      </c>
      <c r="BW225" s="300">
        <v>0</v>
      </c>
      <c r="BX225" s="300">
        <v>0</v>
      </c>
      <c r="BY225" s="300">
        <v>0</v>
      </c>
      <c r="BZ225" s="300">
        <v>0</v>
      </c>
      <c r="CA225" s="300">
        <v>0</v>
      </c>
      <c r="CB225" s="300">
        <v>0</v>
      </c>
      <c r="CC225" s="300">
        <v>7541</v>
      </c>
      <c r="CD225" s="300">
        <v>0</v>
      </c>
      <c r="CE225" s="300">
        <v>4740809</v>
      </c>
    </row>
    <row r="226" spans="1:83" x14ac:dyDescent="0.3">
      <c r="A226" s="271">
        <v>576</v>
      </c>
      <c r="B226" s="271">
        <v>576</v>
      </c>
      <c r="C226" s="271" t="s">
        <v>548</v>
      </c>
      <c r="D226" s="271" t="s">
        <v>643</v>
      </c>
      <c r="E226" s="271">
        <v>0</v>
      </c>
      <c r="F226" s="1113">
        <v>0</v>
      </c>
      <c r="G226" s="271">
        <v>0</v>
      </c>
      <c r="H226" s="1113">
        <v>40582</v>
      </c>
      <c r="I226" s="271">
        <v>110968</v>
      </c>
      <c r="J226" s="271">
        <v>0</v>
      </c>
      <c r="K226" s="271">
        <v>0</v>
      </c>
      <c r="L226" s="271">
        <v>283</v>
      </c>
      <c r="M226" s="1113">
        <v>91124</v>
      </c>
      <c r="N226" s="271">
        <v>0</v>
      </c>
      <c r="O226" s="271">
        <v>0</v>
      </c>
      <c r="P226" s="271">
        <v>0</v>
      </c>
      <c r="Q226" s="271">
        <v>0</v>
      </c>
      <c r="R226" s="271">
        <v>0</v>
      </c>
      <c r="S226" s="271">
        <v>0</v>
      </c>
      <c r="T226" s="271">
        <v>0</v>
      </c>
      <c r="U226" s="271">
        <v>0</v>
      </c>
      <c r="V226" s="271">
        <v>0</v>
      </c>
      <c r="W226" s="271">
        <v>0</v>
      </c>
      <c r="X226" s="271">
        <v>0</v>
      </c>
      <c r="Y226" s="271">
        <v>0</v>
      </c>
      <c r="Z226" s="271">
        <v>157288</v>
      </c>
      <c r="AA226" s="1113">
        <v>0</v>
      </c>
      <c r="AB226" s="271">
        <v>0</v>
      </c>
      <c r="AC226" s="271">
        <v>0</v>
      </c>
      <c r="AD226" s="271">
        <v>0</v>
      </c>
      <c r="AE226" s="271">
        <v>0</v>
      </c>
      <c r="AF226" s="271">
        <v>0</v>
      </c>
      <c r="AG226" s="271">
        <v>1473105</v>
      </c>
      <c r="AH226" s="271">
        <v>386</v>
      </c>
      <c r="AI226" s="271">
        <v>0</v>
      </c>
      <c r="AJ226" s="271">
        <v>0</v>
      </c>
      <c r="AK226" s="271">
        <v>0</v>
      </c>
      <c r="AL226" s="271">
        <v>0</v>
      </c>
      <c r="AM226" s="271">
        <v>0</v>
      </c>
      <c r="AN226" s="271">
        <v>0</v>
      </c>
      <c r="AO226" s="271">
        <v>20220</v>
      </c>
      <c r="AP226" s="271">
        <v>0</v>
      </c>
      <c r="AQ226" s="271">
        <v>0</v>
      </c>
      <c r="AR226" s="271">
        <v>0</v>
      </c>
      <c r="AS226" s="271">
        <v>0</v>
      </c>
      <c r="AT226" s="271">
        <v>0</v>
      </c>
      <c r="AU226" s="271">
        <v>4805</v>
      </c>
      <c r="AV226" s="271">
        <v>7242651</v>
      </c>
      <c r="AW226" s="1113">
        <v>0</v>
      </c>
      <c r="AX226" s="271">
        <v>0</v>
      </c>
      <c r="AY226" s="271">
        <v>0</v>
      </c>
      <c r="AZ226" s="271">
        <v>9160</v>
      </c>
      <c r="BA226" s="271">
        <v>0</v>
      </c>
      <c r="BB226" s="271">
        <v>0</v>
      </c>
      <c r="BC226" s="271">
        <v>0</v>
      </c>
      <c r="BD226" s="271">
        <v>0</v>
      </c>
      <c r="BE226" s="271">
        <v>0</v>
      </c>
      <c r="BF226" s="1113">
        <v>0</v>
      </c>
      <c r="BG226" s="271">
        <v>0</v>
      </c>
      <c r="BH226" s="271">
        <v>0</v>
      </c>
      <c r="BI226" s="271">
        <v>0</v>
      </c>
      <c r="BJ226" s="271">
        <v>0</v>
      </c>
      <c r="BK226" s="271">
        <v>0</v>
      </c>
      <c r="BL226" s="271">
        <v>0</v>
      </c>
      <c r="BM226" s="271">
        <v>0</v>
      </c>
      <c r="BN226" s="271">
        <v>0</v>
      </c>
      <c r="BO226" s="271">
        <v>69950</v>
      </c>
      <c r="BP226" s="271">
        <v>0</v>
      </c>
      <c r="BQ226" s="271">
        <v>13054718</v>
      </c>
      <c r="BR226" s="271">
        <v>0</v>
      </c>
      <c r="BS226" s="271">
        <v>0</v>
      </c>
      <c r="BT226" s="300">
        <v>0</v>
      </c>
      <c r="BU226" s="300">
        <v>0</v>
      </c>
      <c r="BV226" s="300">
        <v>0</v>
      </c>
      <c r="BW226" s="300">
        <v>0</v>
      </c>
      <c r="BX226" s="300">
        <v>0</v>
      </c>
      <c r="BY226" s="300">
        <v>0</v>
      </c>
      <c r="BZ226" s="300">
        <v>7000000</v>
      </c>
      <c r="CA226" s="300">
        <v>172257</v>
      </c>
      <c r="CB226" s="300">
        <v>0</v>
      </c>
      <c r="CC226" s="300">
        <v>0</v>
      </c>
      <c r="CD226" s="300">
        <v>0</v>
      </c>
      <c r="CE226" s="300">
        <v>0</v>
      </c>
    </row>
    <row r="227" spans="1:83" x14ac:dyDescent="0.3">
      <c r="A227" s="271">
        <v>577</v>
      </c>
      <c r="B227" s="271">
        <v>577</v>
      </c>
      <c r="C227" s="271" t="s">
        <v>644</v>
      </c>
      <c r="D227" s="271" t="s">
        <v>645</v>
      </c>
      <c r="E227" s="271">
        <v>2</v>
      </c>
      <c r="F227" s="271">
        <v>2</v>
      </c>
      <c r="G227" s="271">
        <v>2</v>
      </c>
      <c r="H227" s="271">
        <v>2</v>
      </c>
      <c r="I227" s="271">
        <v>0</v>
      </c>
      <c r="J227" s="271">
        <v>2</v>
      </c>
      <c r="K227" s="271">
        <v>2</v>
      </c>
      <c r="L227" s="271">
        <v>2</v>
      </c>
      <c r="M227" s="271">
        <v>2</v>
      </c>
      <c r="N227" s="271">
        <v>2</v>
      </c>
      <c r="O227" s="271">
        <v>2</v>
      </c>
      <c r="P227" s="271">
        <v>2</v>
      </c>
      <c r="Q227" s="271">
        <v>2</v>
      </c>
      <c r="R227" s="271">
        <v>2</v>
      </c>
      <c r="S227" s="271">
        <v>2</v>
      </c>
      <c r="T227" s="271">
        <v>2</v>
      </c>
      <c r="U227" s="271">
        <v>2</v>
      </c>
      <c r="V227" s="271">
        <v>2</v>
      </c>
      <c r="W227" s="271">
        <v>2</v>
      </c>
      <c r="X227" s="271">
        <v>2</v>
      </c>
      <c r="Y227" s="271">
        <v>0</v>
      </c>
      <c r="Z227" s="271">
        <v>1</v>
      </c>
      <c r="AA227" s="271">
        <v>2</v>
      </c>
      <c r="AB227" s="271">
        <v>2</v>
      </c>
      <c r="AC227" s="271">
        <v>2</v>
      </c>
      <c r="AD227" s="271">
        <v>2</v>
      </c>
      <c r="AE227" s="271">
        <v>0</v>
      </c>
      <c r="AF227" s="271">
        <v>0</v>
      </c>
      <c r="AG227" s="271">
        <v>2</v>
      </c>
      <c r="AH227" s="271">
        <v>2</v>
      </c>
      <c r="AI227" s="271">
        <v>2</v>
      </c>
      <c r="AJ227" s="271">
        <v>2</v>
      </c>
      <c r="AK227" s="271">
        <v>2</v>
      </c>
      <c r="AL227" s="271">
        <v>2</v>
      </c>
      <c r="AM227" s="271">
        <v>0</v>
      </c>
      <c r="AN227" s="271">
        <v>2</v>
      </c>
      <c r="AO227" s="271">
        <v>2</v>
      </c>
      <c r="AP227" s="271">
        <v>2</v>
      </c>
      <c r="AQ227" s="271">
        <v>2</v>
      </c>
      <c r="AR227" s="271">
        <v>2</v>
      </c>
      <c r="AS227" s="271">
        <v>0</v>
      </c>
      <c r="AT227" s="271">
        <v>2</v>
      </c>
      <c r="AU227" s="271">
        <v>2</v>
      </c>
      <c r="AV227" s="271">
        <v>2</v>
      </c>
      <c r="AW227" s="271">
        <v>2</v>
      </c>
      <c r="AX227" s="271">
        <v>1</v>
      </c>
      <c r="AY227" s="271">
        <v>2</v>
      </c>
      <c r="AZ227" s="271">
        <v>2</v>
      </c>
      <c r="BA227" s="271">
        <v>0</v>
      </c>
      <c r="BB227" s="271">
        <v>0</v>
      </c>
      <c r="BC227" s="271">
        <v>2</v>
      </c>
      <c r="BD227" s="271">
        <v>2</v>
      </c>
      <c r="BE227" s="271">
        <v>2</v>
      </c>
      <c r="BF227" s="271">
        <v>0</v>
      </c>
      <c r="BG227" s="271">
        <v>2</v>
      </c>
      <c r="BH227" s="271">
        <v>0</v>
      </c>
      <c r="BI227" s="271">
        <v>2</v>
      </c>
      <c r="BJ227" s="271">
        <v>2</v>
      </c>
      <c r="BK227" s="271">
        <v>2</v>
      </c>
      <c r="BL227" s="271">
        <v>0</v>
      </c>
      <c r="BM227" s="271">
        <v>2</v>
      </c>
      <c r="BN227" s="271">
        <v>2</v>
      </c>
      <c r="BO227" s="271">
        <v>2</v>
      </c>
      <c r="BP227" s="271">
        <v>2</v>
      </c>
      <c r="BQ227" s="271">
        <v>2</v>
      </c>
      <c r="BR227" s="271">
        <v>2</v>
      </c>
      <c r="BS227" s="271">
        <v>2</v>
      </c>
      <c r="BT227" s="300">
        <v>2</v>
      </c>
      <c r="BU227" s="300">
        <v>2</v>
      </c>
      <c r="BV227" s="300">
        <v>2</v>
      </c>
      <c r="BW227" s="300">
        <v>2</v>
      </c>
      <c r="BX227" s="300">
        <v>2</v>
      </c>
      <c r="BY227" s="300">
        <v>0</v>
      </c>
      <c r="BZ227" s="300">
        <v>2</v>
      </c>
      <c r="CA227" s="300">
        <v>2</v>
      </c>
      <c r="CB227" s="300">
        <v>2</v>
      </c>
      <c r="CC227" s="300">
        <v>2</v>
      </c>
      <c r="CD227" s="300">
        <v>2</v>
      </c>
      <c r="CE227" s="300">
        <v>2</v>
      </c>
    </row>
    <row r="228" spans="1:83" x14ac:dyDescent="0.3">
      <c r="A228" s="271">
        <v>578</v>
      </c>
      <c r="B228" s="271">
        <v>578</v>
      </c>
      <c r="C228" s="271" t="s">
        <v>646</v>
      </c>
      <c r="D228" s="271" t="s">
        <v>647</v>
      </c>
      <c r="E228" s="271">
        <v>0</v>
      </c>
      <c r="F228" s="271">
        <v>0</v>
      </c>
      <c r="G228" s="271">
        <v>0</v>
      </c>
      <c r="H228" s="271">
        <v>0</v>
      </c>
      <c r="I228" s="271">
        <v>0</v>
      </c>
      <c r="J228" s="1113">
        <v>0</v>
      </c>
      <c r="K228" s="271">
        <v>0</v>
      </c>
      <c r="L228" s="271">
        <v>0</v>
      </c>
      <c r="M228" s="271">
        <v>0</v>
      </c>
      <c r="N228" s="271">
        <v>0</v>
      </c>
      <c r="O228" s="271">
        <v>0</v>
      </c>
      <c r="P228" s="271">
        <v>0</v>
      </c>
      <c r="Q228" s="271">
        <v>0</v>
      </c>
      <c r="R228" s="271">
        <v>0</v>
      </c>
      <c r="S228" s="271">
        <v>0</v>
      </c>
      <c r="T228" s="271">
        <v>0</v>
      </c>
      <c r="U228" s="271">
        <v>0</v>
      </c>
      <c r="V228" s="271">
        <v>0</v>
      </c>
      <c r="W228" s="271">
        <v>0</v>
      </c>
      <c r="X228" s="271">
        <v>0</v>
      </c>
      <c r="Y228" s="271">
        <v>0</v>
      </c>
      <c r="Z228" s="271">
        <v>0</v>
      </c>
      <c r="AA228" s="271">
        <v>0</v>
      </c>
      <c r="AB228" s="271">
        <v>0</v>
      </c>
      <c r="AC228" s="271">
        <v>0</v>
      </c>
      <c r="AD228" s="271">
        <v>0</v>
      </c>
      <c r="AE228" s="271">
        <v>0</v>
      </c>
      <c r="AF228" s="271">
        <v>0</v>
      </c>
      <c r="AG228" s="271">
        <v>0</v>
      </c>
      <c r="AH228" s="271">
        <v>0</v>
      </c>
      <c r="AI228" s="271">
        <v>0</v>
      </c>
      <c r="AJ228" s="271">
        <v>0</v>
      </c>
      <c r="AK228" s="271">
        <v>0</v>
      </c>
      <c r="AL228" s="271">
        <v>0</v>
      </c>
      <c r="AM228" s="271">
        <v>0</v>
      </c>
      <c r="AN228" s="271">
        <v>0</v>
      </c>
      <c r="AO228" s="271">
        <v>0</v>
      </c>
      <c r="AP228" s="271">
        <v>0</v>
      </c>
      <c r="AQ228" s="271">
        <v>0</v>
      </c>
      <c r="AR228" s="271">
        <v>0</v>
      </c>
      <c r="AS228" s="271">
        <v>0</v>
      </c>
      <c r="AT228" s="271">
        <v>0</v>
      </c>
      <c r="AU228" s="271">
        <v>0</v>
      </c>
      <c r="AV228" s="271">
        <v>0</v>
      </c>
      <c r="AW228" s="271">
        <v>0</v>
      </c>
      <c r="AX228" s="271">
        <v>0</v>
      </c>
      <c r="AY228" s="271">
        <v>0</v>
      </c>
      <c r="AZ228" s="271">
        <v>0</v>
      </c>
      <c r="BA228" s="271">
        <v>0</v>
      </c>
      <c r="BB228" s="271">
        <v>0</v>
      </c>
      <c r="BC228" s="271">
        <v>0</v>
      </c>
      <c r="BD228" s="271">
        <v>0</v>
      </c>
      <c r="BE228" s="271">
        <v>0</v>
      </c>
      <c r="BF228" s="271">
        <v>0</v>
      </c>
      <c r="BG228" s="271">
        <v>0</v>
      </c>
      <c r="BH228" s="271">
        <v>0</v>
      </c>
      <c r="BI228" s="271">
        <v>0</v>
      </c>
      <c r="BJ228" s="271">
        <v>0</v>
      </c>
      <c r="BK228" s="1113">
        <v>0</v>
      </c>
      <c r="BL228" s="271">
        <v>0</v>
      </c>
      <c r="BM228" s="271">
        <v>0</v>
      </c>
      <c r="BN228" s="271">
        <v>0</v>
      </c>
      <c r="BO228" s="271">
        <v>0</v>
      </c>
      <c r="BP228" s="271">
        <v>0</v>
      </c>
      <c r="BQ228" s="271">
        <v>0</v>
      </c>
      <c r="BR228" s="271">
        <v>0</v>
      </c>
      <c r="BS228" s="271">
        <v>0</v>
      </c>
      <c r="BT228" s="300">
        <v>0</v>
      </c>
      <c r="BU228" s="300">
        <v>0</v>
      </c>
      <c r="BV228" s="300">
        <v>0</v>
      </c>
      <c r="BW228" s="300">
        <v>0</v>
      </c>
      <c r="BX228" s="300">
        <v>0</v>
      </c>
      <c r="BY228" s="300">
        <v>0</v>
      </c>
      <c r="BZ228" s="300">
        <v>0</v>
      </c>
      <c r="CA228" s="300">
        <v>0</v>
      </c>
      <c r="CB228" s="300">
        <v>0</v>
      </c>
      <c r="CC228" s="300">
        <v>0</v>
      </c>
      <c r="CD228" s="300">
        <v>0</v>
      </c>
      <c r="CE228" s="300">
        <v>0</v>
      </c>
    </row>
    <row r="229" spans="1:83" x14ac:dyDescent="0.3">
      <c r="A229" s="271">
        <v>579</v>
      </c>
      <c r="B229" s="271">
        <v>579</v>
      </c>
      <c r="C229" s="271" t="s">
        <v>648</v>
      </c>
      <c r="D229" s="271" t="s">
        <v>649</v>
      </c>
      <c r="E229" s="271">
        <v>0</v>
      </c>
      <c r="F229" s="1113">
        <v>0</v>
      </c>
      <c r="G229" s="271">
        <v>0</v>
      </c>
      <c r="H229" s="271">
        <v>0</v>
      </c>
      <c r="I229" s="271">
        <v>0</v>
      </c>
      <c r="J229" s="271">
        <v>0</v>
      </c>
      <c r="K229" s="271">
        <v>0</v>
      </c>
      <c r="L229" s="271">
        <v>0</v>
      </c>
      <c r="M229" s="271">
        <v>0</v>
      </c>
      <c r="N229" s="271">
        <v>0</v>
      </c>
      <c r="O229" s="271">
        <v>0</v>
      </c>
      <c r="P229" s="271">
        <v>0</v>
      </c>
      <c r="Q229" s="271">
        <v>0</v>
      </c>
      <c r="R229" s="271">
        <v>0</v>
      </c>
      <c r="S229" s="271">
        <v>0</v>
      </c>
      <c r="T229" s="271">
        <v>0</v>
      </c>
      <c r="U229" s="271">
        <v>0</v>
      </c>
      <c r="V229" s="271">
        <v>0</v>
      </c>
      <c r="W229" s="271">
        <v>0</v>
      </c>
      <c r="X229" s="271">
        <v>0</v>
      </c>
      <c r="Y229" s="271">
        <v>0</v>
      </c>
      <c r="Z229" s="271">
        <v>0</v>
      </c>
      <c r="AA229" s="1113">
        <v>0</v>
      </c>
      <c r="AB229" s="271">
        <v>0</v>
      </c>
      <c r="AC229" s="271">
        <v>0</v>
      </c>
      <c r="AD229" s="271">
        <v>0</v>
      </c>
      <c r="AE229" s="271">
        <v>0</v>
      </c>
      <c r="AF229" s="271">
        <v>0</v>
      </c>
      <c r="AG229" s="271">
        <v>0</v>
      </c>
      <c r="AH229" s="271">
        <v>0</v>
      </c>
      <c r="AI229" s="271">
        <v>0</v>
      </c>
      <c r="AJ229" s="271">
        <v>0</v>
      </c>
      <c r="AK229" s="271">
        <v>0</v>
      </c>
      <c r="AL229" s="271">
        <v>0</v>
      </c>
      <c r="AM229" s="271">
        <v>0</v>
      </c>
      <c r="AN229" s="271">
        <v>0</v>
      </c>
      <c r="AO229" s="271">
        <v>0</v>
      </c>
      <c r="AP229" s="271">
        <v>0</v>
      </c>
      <c r="AQ229" s="271">
        <v>0</v>
      </c>
      <c r="AR229" s="271">
        <v>0</v>
      </c>
      <c r="AS229" s="271">
        <v>0</v>
      </c>
      <c r="AT229" s="271">
        <v>0</v>
      </c>
      <c r="AU229" s="1113">
        <v>0</v>
      </c>
      <c r="AV229" s="271">
        <v>0</v>
      </c>
      <c r="AW229" s="271">
        <v>0</v>
      </c>
      <c r="AX229" s="271">
        <v>0</v>
      </c>
      <c r="AY229" s="271">
        <v>0</v>
      </c>
      <c r="AZ229" s="271">
        <v>0</v>
      </c>
      <c r="BA229" s="271">
        <v>0</v>
      </c>
      <c r="BB229" s="271">
        <v>0</v>
      </c>
      <c r="BC229" s="271">
        <v>0</v>
      </c>
      <c r="BD229" s="271">
        <v>0</v>
      </c>
      <c r="BE229" s="271">
        <v>0</v>
      </c>
      <c r="BF229" s="271">
        <v>0</v>
      </c>
      <c r="BG229" s="271">
        <v>0</v>
      </c>
      <c r="BH229" s="271">
        <v>0</v>
      </c>
      <c r="BI229" s="271">
        <v>0</v>
      </c>
      <c r="BJ229" s="271">
        <v>0</v>
      </c>
      <c r="BK229" s="271">
        <v>0</v>
      </c>
      <c r="BL229" s="271">
        <v>0</v>
      </c>
      <c r="BM229" s="271">
        <v>0</v>
      </c>
      <c r="BN229" s="271">
        <v>0</v>
      </c>
      <c r="BO229" s="271">
        <v>0</v>
      </c>
      <c r="BP229" s="271">
        <v>0</v>
      </c>
      <c r="BQ229" s="271">
        <v>0</v>
      </c>
      <c r="BR229" s="271">
        <v>0</v>
      </c>
      <c r="BS229" s="271">
        <v>0</v>
      </c>
      <c r="BT229" s="300">
        <v>0</v>
      </c>
      <c r="BU229" s="300">
        <v>0</v>
      </c>
      <c r="BV229" s="300">
        <v>0</v>
      </c>
      <c r="BW229" s="300">
        <v>0</v>
      </c>
      <c r="BX229" s="300">
        <v>0</v>
      </c>
      <c r="BY229" s="300">
        <v>0</v>
      </c>
      <c r="BZ229" s="300">
        <v>7000000</v>
      </c>
      <c r="CA229" s="300">
        <v>0</v>
      </c>
      <c r="CB229" s="300">
        <v>0</v>
      </c>
      <c r="CC229" s="300">
        <v>0</v>
      </c>
      <c r="CD229" s="300">
        <v>0</v>
      </c>
      <c r="CE229" s="300">
        <v>0</v>
      </c>
    </row>
    <row r="230" spans="1:83" x14ac:dyDescent="0.3">
      <c r="A230" s="271">
        <v>580</v>
      </c>
      <c r="B230" s="271">
        <v>580</v>
      </c>
      <c r="C230" s="271" t="s">
        <v>650</v>
      </c>
      <c r="D230" s="271" t="s">
        <v>651</v>
      </c>
      <c r="E230" s="271">
        <v>0</v>
      </c>
      <c r="F230" s="271">
        <v>0</v>
      </c>
      <c r="G230" s="271">
        <v>0</v>
      </c>
      <c r="H230" s="271">
        <v>0</v>
      </c>
      <c r="I230" s="271">
        <v>0</v>
      </c>
      <c r="J230" s="271">
        <v>0</v>
      </c>
      <c r="K230" s="271">
        <v>0</v>
      </c>
      <c r="L230" s="271">
        <v>0</v>
      </c>
      <c r="M230" s="271">
        <v>0</v>
      </c>
      <c r="N230" s="271">
        <v>0</v>
      </c>
      <c r="O230" s="271">
        <v>0</v>
      </c>
      <c r="P230" s="271">
        <v>0</v>
      </c>
      <c r="Q230" s="271">
        <v>0</v>
      </c>
      <c r="R230" s="271">
        <v>0</v>
      </c>
      <c r="S230" s="271">
        <v>0</v>
      </c>
      <c r="T230" s="271">
        <v>0</v>
      </c>
      <c r="U230" s="271">
        <v>0</v>
      </c>
      <c r="V230" s="271">
        <v>0</v>
      </c>
      <c r="W230" s="271">
        <v>0</v>
      </c>
      <c r="X230" s="271">
        <v>0</v>
      </c>
      <c r="Y230" s="271">
        <v>0</v>
      </c>
      <c r="Z230" s="271">
        <v>0</v>
      </c>
      <c r="AA230" s="271">
        <v>0</v>
      </c>
      <c r="AB230" s="271">
        <v>0</v>
      </c>
      <c r="AC230" s="271">
        <v>0</v>
      </c>
      <c r="AD230" s="271">
        <v>0</v>
      </c>
      <c r="AE230" s="271">
        <v>0</v>
      </c>
      <c r="AF230" s="271">
        <v>0</v>
      </c>
      <c r="AG230" s="271">
        <v>0</v>
      </c>
      <c r="AH230" s="271">
        <v>0</v>
      </c>
      <c r="AI230" s="271">
        <v>0</v>
      </c>
      <c r="AJ230" s="271">
        <v>0</v>
      </c>
      <c r="AK230" s="271">
        <v>0</v>
      </c>
      <c r="AL230" s="271">
        <v>0</v>
      </c>
      <c r="AM230" s="271">
        <v>0</v>
      </c>
      <c r="AN230" s="271">
        <v>0</v>
      </c>
      <c r="AO230" s="271">
        <v>0</v>
      </c>
      <c r="AP230" s="271">
        <v>0</v>
      </c>
      <c r="AQ230" s="271">
        <v>0</v>
      </c>
      <c r="AR230" s="271">
        <v>0</v>
      </c>
      <c r="AS230" s="271">
        <v>0</v>
      </c>
      <c r="AT230" s="271">
        <v>0</v>
      </c>
      <c r="AU230" s="271">
        <v>0</v>
      </c>
      <c r="AV230" s="271">
        <v>0</v>
      </c>
      <c r="AW230" s="271">
        <v>0</v>
      </c>
      <c r="AX230" s="271">
        <v>0</v>
      </c>
      <c r="AY230" s="271">
        <v>0</v>
      </c>
      <c r="AZ230" s="271">
        <v>0</v>
      </c>
      <c r="BA230" s="271">
        <v>0</v>
      </c>
      <c r="BB230" s="271">
        <v>0</v>
      </c>
      <c r="BC230" s="271">
        <v>0</v>
      </c>
      <c r="BD230" s="271">
        <v>0</v>
      </c>
      <c r="BE230" s="271">
        <v>0</v>
      </c>
      <c r="BF230" s="271">
        <v>0</v>
      </c>
      <c r="BG230" s="271">
        <v>0</v>
      </c>
      <c r="BH230" s="271">
        <v>0</v>
      </c>
      <c r="BI230" s="271">
        <v>0</v>
      </c>
      <c r="BJ230" s="271">
        <v>0</v>
      </c>
      <c r="BK230" s="271">
        <v>0</v>
      </c>
      <c r="BL230" s="271">
        <v>0</v>
      </c>
      <c r="BM230" s="271">
        <v>0</v>
      </c>
      <c r="BN230" s="271">
        <v>0</v>
      </c>
      <c r="BO230" s="271">
        <v>0</v>
      </c>
      <c r="BP230" s="271">
        <v>0</v>
      </c>
      <c r="BQ230" s="271">
        <v>0</v>
      </c>
      <c r="BR230" s="271">
        <v>0</v>
      </c>
      <c r="BS230" s="271">
        <v>0</v>
      </c>
      <c r="BT230" s="300">
        <v>0</v>
      </c>
      <c r="BU230" s="300">
        <v>0</v>
      </c>
      <c r="BV230" s="300">
        <v>0</v>
      </c>
      <c r="BW230" s="300">
        <v>0</v>
      </c>
      <c r="BX230" s="300">
        <v>0</v>
      </c>
      <c r="BY230" s="300">
        <v>0</v>
      </c>
      <c r="BZ230" s="300">
        <v>0</v>
      </c>
      <c r="CA230" s="300">
        <v>0</v>
      </c>
      <c r="CB230" s="300">
        <v>0</v>
      </c>
      <c r="CC230" s="300">
        <v>0</v>
      </c>
      <c r="CD230" s="300">
        <v>0</v>
      </c>
      <c r="CE230" s="300">
        <v>0</v>
      </c>
    </row>
    <row r="231" spans="1:83" x14ac:dyDescent="0.3">
      <c r="A231" s="271">
        <v>581</v>
      </c>
      <c r="B231" s="271">
        <v>581</v>
      </c>
      <c r="C231" s="271" t="s">
        <v>652</v>
      </c>
      <c r="D231" s="271" t="s">
        <v>653</v>
      </c>
      <c r="E231" s="271">
        <v>0</v>
      </c>
      <c r="F231" s="271">
        <v>0</v>
      </c>
      <c r="G231" s="271">
        <v>0</v>
      </c>
      <c r="H231" s="1113">
        <v>0</v>
      </c>
      <c r="I231" s="271">
        <v>0</v>
      </c>
      <c r="J231" s="271">
        <v>0</v>
      </c>
      <c r="K231" s="271">
        <v>0</v>
      </c>
      <c r="L231" s="271">
        <v>0</v>
      </c>
      <c r="M231" s="271">
        <v>0</v>
      </c>
      <c r="N231" s="271">
        <v>0</v>
      </c>
      <c r="O231" s="271">
        <v>0</v>
      </c>
      <c r="P231" s="271">
        <v>0</v>
      </c>
      <c r="Q231" s="271">
        <v>0</v>
      </c>
      <c r="R231" s="271">
        <v>0</v>
      </c>
      <c r="S231" s="271">
        <v>0</v>
      </c>
      <c r="T231" s="271">
        <v>0</v>
      </c>
      <c r="U231" s="271">
        <v>0</v>
      </c>
      <c r="V231" s="271">
        <v>0</v>
      </c>
      <c r="W231" s="271">
        <v>0</v>
      </c>
      <c r="X231" s="271">
        <v>0</v>
      </c>
      <c r="Y231" s="271">
        <v>0</v>
      </c>
      <c r="Z231" s="271">
        <v>0</v>
      </c>
      <c r="AA231" s="271">
        <v>0</v>
      </c>
      <c r="AB231" s="271">
        <v>0</v>
      </c>
      <c r="AC231" s="271">
        <v>0</v>
      </c>
      <c r="AD231" s="271">
        <v>0</v>
      </c>
      <c r="AE231" s="271">
        <v>0</v>
      </c>
      <c r="AF231" s="271">
        <v>0</v>
      </c>
      <c r="AG231" s="271">
        <v>0</v>
      </c>
      <c r="AH231" s="271">
        <v>0</v>
      </c>
      <c r="AI231" s="271">
        <v>0</v>
      </c>
      <c r="AJ231" s="271">
        <v>0</v>
      </c>
      <c r="AK231" s="271">
        <v>0</v>
      </c>
      <c r="AL231" s="271">
        <v>0</v>
      </c>
      <c r="AM231" s="271">
        <v>0</v>
      </c>
      <c r="AN231" s="271">
        <v>0</v>
      </c>
      <c r="AO231" s="271">
        <v>0</v>
      </c>
      <c r="AP231" s="271">
        <v>0</v>
      </c>
      <c r="AQ231" s="271">
        <v>0</v>
      </c>
      <c r="AR231" s="271">
        <v>0</v>
      </c>
      <c r="AS231" s="271">
        <v>0</v>
      </c>
      <c r="AT231" s="271">
        <v>0</v>
      </c>
      <c r="AU231" s="271">
        <v>0</v>
      </c>
      <c r="AV231" s="271">
        <v>0</v>
      </c>
      <c r="AW231" s="271">
        <v>0</v>
      </c>
      <c r="AX231" s="271">
        <v>0</v>
      </c>
      <c r="AY231" s="271">
        <v>0</v>
      </c>
      <c r="AZ231" s="271">
        <v>0</v>
      </c>
      <c r="BA231" s="271">
        <v>0</v>
      </c>
      <c r="BB231" s="271">
        <v>0</v>
      </c>
      <c r="BC231" s="271">
        <v>0</v>
      </c>
      <c r="BD231" s="271">
        <v>0</v>
      </c>
      <c r="BE231" s="271">
        <v>0</v>
      </c>
      <c r="BF231" s="271">
        <v>0</v>
      </c>
      <c r="BG231" s="271">
        <v>0</v>
      </c>
      <c r="BH231" s="271">
        <v>0</v>
      </c>
      <c r="BI231" s="271">
        <v>0</v>
      </c>
      <c r="BJ231" s="271">
        <v>0</v>
      </c>
      <c r="BK231" s="271">
        <v>0</v>
      </c>
      <c r="BL231" s="271">
        <v>0</v>
      </c>
      <c r="BM231" s="271">
        <v>0</v>
      </c>
      <c r="BN231" s="271">
        <v>0</v>
      </c>
      <c r="BO231" s="271">
        <v>0</v>
      </c>
      <c r="BP231" s="271">
        <v>0</v>
      </c>
      <c r="BQ231" s="271">
        <v>0</v>
      </c>
      <c r="BR231" s="271">
        <v>0</v>
      </c>
      <c r="BS231" s="271">
        <v>0</v>
      </c>
      <c r="BT231" s="300">
        <v>0</v>
      </c>
      <c r="BU231" s="300">
        <v>0</v>
      </c>
      <c r="BV231" s="300">
        <v>0</v>
      </c>
      <c r="BW231" s="300">
        <v>0</v>
      </c>
      <c r="BX231" s="300">
        <v>0</v>
      </c>
      <c r="BY231" s="300">
        <v>0</v>
      </c>
      <c r="BZ231" s="300">
        <v>0</v>
      </c>
      <c r="CA231" s="300">
        <v>0</v>
      </c>
      <c r="CB231" s="300">
        <v>0</v>
      </c>
      <c r="CC231" s="300">
        <v>0</v>
      </c>
      <c r="CD231" s="300">
        <v>0</v>
      </c>
      <c r="CE231" s="300">
        <v>0</v>
      </c>
    </row>
    <row r="232" spans="1:83" x14ac:dyDescent="0.3">
      <c r="A232" s="271"/>
      <c r="B232" s="271">
        <v>582</v>
      </c>
      <c r="C232" s="271" t="s">
        <v>654</v>
      </c>
      <c r="D232" s="271" t="s">
        <v>655</v>
      </c>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271"/>
      <c r="AF232" s="271"/>
      <c r="AG232" s="271"/>
      <c r="AH232" s="271"/>
      <c r="AI232" s="271"/>
      <c r="AJ232" s="271"/>
      <c r="AK232" s="271"/>
      <c r="AL232" s="271"/>
      <c r="AM232" s="271"/>
      <c r="AN232" s="271"/>
      <c r="AO232" s="271"/>
      <c r="AP232" s="271"/>
      <c r="AQ232" s="271"/>
      <c r="AR232" s="271"/>
      <c r="AS232" s="271"/>
      <c r="AT232" s="271"/>
      <c r="AU232" s="271"/>
      <c r="AV232" s="271"/>
      <c r="AW232" s="271"/>
      <c r="AX232" s="271"/>
      <c r="AY232" s="271"/>
      <c r="AZ232" s="271"/>
      <c r="BA232" s="271"/>
      <c r="BB232" s="271"/>
      <c r="BC232" s="271"/>
      <c r="BD232" s="271"/>
      <c r="BE232" s="271"/>
      <c r="BF232" s="271"/>
      <c r="BG232" s="271"/>
      <c r="BH232" s="271"/>
      <c r="BI232" s="271"/>
      <c r="BJ232" s="271"/>
      <c r="BK232" s="271"/>
      <c r="BL232" s="271"/>
      <c r="BM232" s="271"/>
      <c r="BN232" s="271"/>
      <c r="BO232" s="271"/>
      <c r="BP232" s="271"/>
      <c r="BQ232" s="271"/>
      <c r="BR232" s="271"/>
      <c r="BS232" s="271"/>
    </row>
    <row r="233" spans="1:83" x14ac:dyDescent="0.3">
      <c r="A233" s="271"/>
      <c r="B233" s="271">
        <v>583</v>
      </c>
      <c r="C233" s="271" t="s">
        <v>656</v>
      </c>
      <c r="D233" s="271" t="s">
        <v>657</v>
      </c>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271"/>
      <c r="AH233" s="271"/>
      <c r="AI233" s="271"/>
      <c r="AJ233" s="271"/>
      <c r="AK233" s="271"/>
      <c r="AL233" s="271"/>
      <c r="AM233" s="271"/>
      <c r="AN233" s="271"/>
      <c r="AO233" s="271"/>
      <c r="AP233" s="271"/>
      <c r="AQ233" s="271"/>
      <c r="AR233" s="271"/>
      <c r="AS233" s="271"/>
      <c r="AT233" s="271"/>
      <c r="AU233" s="271"/>
      <c r="AV233" s="271"/>
      <c r="AW233" s="271"/>
      <c r="AX233" s="271"/>
      <c r="AY233" s="271"/>
      <c r="AZ233" s="271"/>
      <c r="BA233" s="271"/>
      <c r="BB233" s="271"/>
      <c r="BC233" s="271"/>
      <c r="BD233" s="271"/>
      <c r="BE233" s="271"/>
      <c r="BF233" s="271"/>
      <c r="BG233" s="271"/>
      <c r="BH233" s="271"/>
      <c r="BI233" s="271"/>
      <c r="BJ233" s="271"/>
      <c r="BK233" s="271"/>
      <c r="BL233" s="271"/>
      <c r="BM233" s="271"/>
      <c r="BN233" s="271"/>
      <c r="BO233" s="271"/>
      <c r="BP233" s="271"/>
      <c r="BQ233" s="271"/>
      <c r="BR233" s="271"/>
      <c r="BS233" s="271"/>
    </row>
    <row r="234" spans="1:83" x14ac:dyDescent="0.3">
      <c r="A234" s="271"/>
      <c r="B234" s="271">
        <v>584</v>
      </c>
      <c r="C234" s="271" t="s">
        <v>658</v>
      </c>
      <c r="D234" s="271" t="s">
        <v>659</v>
      </c>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c r="AF234" s="271"/>
      <c r="AG234" s="271"/>
      <c r="AH234" s="271"/>
      <c r="AI234" s="271"/>
      <c r="AJ234" s="271"/>
      <c r="AK234" s="271"/>
      <c r="AL234" s="271"/>
      <c r="AM234" s="271"/>
      <c r="AN234" s="271"/>
      <c r="AO234" s="271"/>
      <c r="AP234" s="271"/>
      <c r="AQ234" s="271"/>
      <c r="AR234" s="271"/>
      <c r="AS234" s="271"/>
      <c r="AT234" s="271"/>
      <c r="AU234" s="271"/>
      <c r="AV234" s="271"/>
      <c r="AW234" s="271"/>
      <c r="AX234" s="271"/>
      <c r="AY234" s="271"/>
      <c r="AZ234" s="271"/>
      <c r="BA234" s="271"/>
      <c r="BB234" s="271"/>
      <c r="BC234" s="271"/>
      <c r="BD234" s="271"/>
      <c r="BE234" s="271"/>
      <c r="BF234" s="271"/>
      <c r="BG234" s="271"/>
      <c r="BH234" s="271"/>
      <c r="BI234" s="271"/>
      <c r="BJ234" s="271"/>
      <c r="BK234" s="271"/>
      <c r="BL234" s="271"/>
      <c r="BM234" s="271"/>
      <c r="BN234" s="271"/>
      <c r="BO234" s="271"/>
      <c r="BP234" s="271"/>
      <c r="BQ234" s="271"/>
      <c r="BR234" s="271"/>
      <c r="BS234" s="271"/>
    </row>
    <row r="235" spans="1:83" x14ac:dyDescent="0.3">
      <c r="A235" s="271"/>
      <c r="B235" s="271">
        <v>585</v>
      </c>
      <c r="C235" s="271" t="s">
        <v>660</v>
      </c>
      <c r="D235" s="271" t="s">
        <v>661</v>
      </c>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271"/>
      <c r="AH235" s="271"/>
      <c r="AI235" s="271"/>
      <c r="AJ235" s="271"/>
      <c r="AK235" s="271"/>
      <c r="AL235" s="271"/>
      <c r="AM235" s="271"/>
      <c r="AN235" s="271"/>
      <c r="AO235" s="271"/>
      <c r="AP235" s="271"/>
      <c r="AQ235" s="271"/>
      <c r="AR235" s="271"/>
      <c r="AS235" s="271"/>
      <c r="AT235" s="271"/>
      <c r="AU235" s="271"/>
      <c r="AV235" s="271"/>
      <c r="AW235" s="271"/>
      <c r="AX235" s="271"/>
      <c r="AY235" s="271"/>
      <c r="AZ235" s="271"/>
      <c r="BA235" s="271"/>
      <c r="BB235" s="271"/>
      <c r="BC235" s="271"/>
      <c r="BD235" s="271"/>
      <c r="BE235" s="271"/>
      <c r="BF235" s="271"/>
      <c r="BG235" s="271"/>
      <c r="BH235" s="271"/>
      <c r="BI235" s="271"/>
      <c r="BJ235" s="271"/>
      <c r="BK235" s="271"/>
      <c r="BL235" s="271"/>
      <c r="BM235" s="271"/>
      <c r="BN235" s="271"/>
      <c r="BO235" s="271"/>
      <c r="BP235" s="271"/>
      <c r="BQ235" s="271"/>
      <c r="BR235" s="271"/>
      <c r="BS235" s="271"/>
    </row>
    <row r="236" spans="1:83" x14ac:dyDescent="0.3">
      <c r="A236" s="271">
        <v>586</v>
      </c>
      <c r="B236" s="271">
        <v>586</v>
      </c>
      <c r="C236" s="271" t="s">
        <v>662</v>
      </c>
      <c r="D236" s="271" t="s">
        <v>663</v>
      </c>
      <c r="E236" s="271">
        <v>0</v>
      </c>
      <c r="F236" s="271">
        <v>0</v>
      </c>
      <c r="G236" s="271">
        <v>0</v>
      </c>
      <c r="H236" s="271">
        <v>0</v>
      </c>
      <c r="I236" s="271">
        <v>0</v>
      </c>
      <c r="J236" s="271">
        <v>0</v>
      </c>
      <c r="K236" s="271">
        <v>0</v>
      </c>
      <c r="L236" s="271">
        <v>0</v>
      </c>
      <c r="M236" s="271">
        <v>0</v>
      </c>
      <c r="N236" s="271">
        <v>0</v>
      </c>
      <c r="O236" s="271">
        <v>0</v>
      </c>
      <c r="P236" s="271">
        <v>0</v>
      </c>
      <c r="Q236" s="271">
        <v>0</v>
      </c>
      <c r="R236" s="271">
        <v>0</v>
      </c>
      <c r="S236" s="271">
        <v>0</v>
      </c>
      <c r="T236" s="271">
        <v>0</v>
      </c>
      <c r="U236" s="271">
        <v>0</v>
      </c>
      <c r="V236" s="271">
        <v>0</v>
      </c>
      <c r="W236" s="271">
        <v>0</v>
      </c>
      <c r="X236" s="271">
        <v>0</v>
      </c>
      <c r="Y236" s="271">
        <v>0</v>
      </c>
      <c r="Z236" s="271">
        <v>0</v>
      </c>
      <c r="AA236" s="271">
        <v>0</v>
      </c>
      <c r="AB236" s="271">
        <v>0</v>
      </c>
      <c r="AC236" s="271">
        <v>0</v>
      </c>
      <c r="AD236" s="271">
        <v>0</v>
      </c>
      <c r="AE236" s="271">
        <v>0</v>
      </c>
      <c r="AF236" s="271">
        <v>0</v>
      </c>
      <c r="AG236" s="271">
        <v>0</v>
      </c>
      <c r="AH236" s="271">
        <v>0</v>
      </c>
      <c r="AI236" s="271">
        <v>0</v>
      </c>
      <c r="AJ236" s="271">
        <v>0</v>
      </c>
      <c r="AK236" s="271">
        <v>0</v>
      </c>
      <c r="AL236" s="271">
        <v>0</v>
      </c>
      <c r="AM236" s="271">
        <v>0</v>
      </c>
      <c r="AN236" s="271">
        <v>0</v>
      </c>
      <c r="AO236" s="271">
        <v>0</v>
      </c>
      <c r="AP236" s="271">
        <v>0</v>
      </c>
      <c r="AQ236" s="271">
        <v>0</v>
      </c>
      <c r="AR236" s="271">
        <v>0</v>
      </c>
      <c r="AS236" s="271">
        <v>0</v>
      </c>
      <c r="AT236" s="271">
        <v>0</v>
      </c>
      <c r="AU236" s="271">
        <v>0</v>
      </c>
      <c r="AV236" s="271">
        <v>0</v>
      </c>
      <c r="AW236" s="271">
        <v>0</v>
      </c>
      <c r="AX236" s="271">
        <v>0</v>
      </c>
      <c r="AY236" s="271">
        <v>0</v>
      </c>
      <c r="AZ236" s="271">
        <v>0</v>
      </c>
      <c r="BA236" s="271">
        <v>0</v>
      </c>
      <c r="BB236" s="271">
        <v>0</v>
      </c>
      <c r="BC236" s="271">
        <v>0</v>
      </c>
      <c r="BD236" s="271">
        <v>0</v>
      </c>
      <c r="BE236" s="271">
        <v>0</v>
      </c>
      <c r="BF236" s="271">
        <v>0</v>
      </c>
      <c r="BG236" s="271">
        <v>0</v>
      </c>
      <c r="BH236" s="271">
        <v>0</v>
      </c>
      <c r="BI236" s="271">
        <v>0</v>
      </c>
      <c r="BJ236" s="271">
        <v>0</v>
      </c>
      <c r="BK236" s="271">
        <v>0</v>
      </c>
      <c r="BL236" s="271">
        <v>0</v>
      </c>
      <c r="BM236" s="271">
        <v>0</v>
      </c>
      <c r="BN236" s="271">
        <v>0</v>
      </c>
      <c r="BO236" s="271">
        <v>0</v>
      </c>
      <c r="BP236" s="271">
        <v>0</v>
      </c>
      <c r="BQ236" s="271">
        <v>0</v>
      </c>
      <c r="BR236" s="271">
        <v>0</v>
      </c>
      <c r="BS236" s="271">
        <v>0</v>
      </c>
      <c r="BT236" s="300">
        <v>0</v>
      </c>
      <c r="BU236" s="300">
        <v>0</v>
      </c>
      <c r="BV236" s="300">
        <v>0</v>
      </c>
      <c r="BW236" s="300">
        <v>0</v>
      </c>
      <c r="BX236" s="300">
        <v>0</v>
      </c>
      <c r="BY236" s="300">
        <v>0</v>
      </c>
      <c r="BZ236" s="300">
        <v>0</v>
      </c>
      <c r="CA236" s="300">
        <v>0</v>
      </c>
      <c r="CB236" s="300">
        <v>0</v>
      </c>
      <c r="CC236" s="300">
        <v>0</v>
      </c>
      <c r="CD236" s="300">
        <v>0</v>
      </c>
      <c r="CE236" s="300">
        <v>0</v>
      </c>
    </row>
    <row r="237" spans="1:83" x14ac:dyDescent="0.3">
      <c r="A237" s="271"/>
      <c r="B237" s="271">
        <v>587</v>
      </c>
      <c r="C237" s="271" t="s">
        <v>664</v>
      </c>
      <c r="D237" s="271" t="s">
        <v>665</v>
      </c>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71"/>
      <c r="AE237" s="271"/>
      <c r="AF237" s="271"/>
      <c r="AG237" s="271"/>
      <c r="AH237" s="271"/>
      <c r="AI237" s="271"/>
      <c r="AJ237" s="271"/>
      <c r="AK237" s="271"/>
      <c r="AL237" s="271"/>
      <c r="AM237" s="271"/>
      <c r="AN237" s="271"/>
      <c r="AO237" s="271"/>
      <c r="AP237" s="271"/>
      <c r="AQ237" s="271"/>
      <c r="AR237" s="271"/>
      <c r="AS237" s="271"/>
      <c r="AT237" s="271"/>
      <c r="AU237" s="271"/>
      <c r="AV237" s="271"/>
      <c r="AW237" s="271"/>
      <c r="AX237" s="271"/>
      <c r="AY237" s="271"/>
      <c r="AZ237" s="271"/>
      <c r="BA237" s="271"/>
      <c r="BB237" s="271"/>
      <c r="BC237" s="271"/>
      <c r="BD237" s="271"/>
      <c r="BE237" s="271"/>
      <c r="BF237" s="271"/>
      <c r="BG237" s="271"/>
      <c r="BH237" s="271"/>
      <c r="BI237" s="271"/>
      <c r="BJ237" s="271"/>
      <c r="BK237" s="271"/>
      <c r="BL237" s="271"/>
      <c r="BM237" s="271"/>
      <c r="BN237" s="271"/>
      <c r="BO237" s="271"/>
      <c r="BP237" s="271"/>
      <c r="BQ237" s="271"/>
      <c r="BR237" s="271"/>
      <c r="BS237" s="271"/>
    </row>
    <row r="238" spans="1:83" x14ac:dyDescent="0.3">
      <c r="A238" s="271"/>
      <c r="B238" s="271">
        <v>588</v>
      </c>
      <c r="C238" s="271" t="s">
        <v>666</v>
      </c>
      <c r="D238" s="271" t="s">
        <v>667</v>
      </c>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71"/>
      <c r="AE238" s="271"/>
      <c r="AF238" s="271"/>
      <c r="AG238" s="271"/>
      <c r="AH238" s="271"/>
      <c r="AI238" s="271"/>
      <c r="AJ238" s="271"/>
      <c r="AK238" s="271"/>
      <c r="AL238" s="271"/>
      <c r="AM238" s="271"/>
      <c r="AN238" s="271"/>
      <c r="AO238" s="271"/>
      <c r="AP238" s="271"/>
      <c r="AQ238" s="271"/>
      <c r="AR238" s="271"/>
      <c r="AS238" s="271"/>
      <c r="AT238" s="271"/>
      <c r="AU238" s="271"/>
      <c r="AV238" s="271"/>
      <c r="AW238" s="271"/>
      <c r="AX238" s="271"/>
      <c r="AY238" s="271"/>
      <c r="AZ238" s="271"/>
      <c r="BA238" s="271"/>
      <c r="BB238" s="271"/>
      <c r="BC238" s="271"/>
      <c r="BD238" s="271"/>
      <c r="BE238" s="271"/>
      <c r="BF238" s="271"/>
      <c r="BG238" s="271"/>
      <c r="BH238" s="271"/>
      <c r="BI238" s="271"/>
      <c r="BJ238" s="271"/>
      <c r="BK238" s="271"/>
      <c r="BL238" s="271"/>
      <c r="BM238" s="271"/>
      <c r="BN238" s="271"/>
      <c r="BO238" s="271"/>
      <c r="BP238" s="271"/>
      <c r="BQ238" s="271"/>
      <c r="BR238" s="271"/>
      <c r="BS238" s="271"/>
    </row>
    <row r="239" spans="1:83" x14ac:dyDescent="0.3">
      <c r="A239" s="271"/>
      <c r="B239" s="271">
        <v>589</v>
      </c>
      <c r="C239" s="271" t="s">
        <v>668</v>
      </c>
      <c r="D239" s="271" t="s">
        <v>669</v>
      </c>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71"/>
      <c r="AE239" s="271"/>
      <c r="AF239" s="271"/>
      <c r="AG239" s="271"/>
      <c r="AH239" s="271"/>
      <c r="AI239" s="271"/>
      <c r="AJ239" s="271"/>
      <c r="AK239" s="271"/>
      <c r="AL239" s="271"/>
      <c r="AM239" s="271"/>
      <c r="AN239" s="271"/>
      <c r="AO239" s="271"/>
      <c r="AP239" s="271"/>
      <c r="AQ239" s="271"/>
      <c r="AR239" s="271"/>
      <c r="AS239" s="271"/>
      <c r="AT239" s="271"/>
      <c r="AU239" s="271"/>
      <c r="AV239" s="271"/>
      <c r="AW239" s="271"/>
      <c r="AX239" s="271"/>
      <c r="AY239" s="271"/>
      <c r="AZ239" s="271"/>
      <c r="BA239" s="271"/>
      <c r="BB239" s="271"/>
      <c r="BC239" s="271"/>
      <c r="BD239" s="271"/>
      <c r="BE239" s="271"/>
      <c r="BF239" s="271"/>
      <c r="BG239" s="271"/>
      <c r="BH239" s="271"/>
      <c r="BI239" s="271"/>
      <c r="BJ239" s="271"/>
      <c r="BK239" s="271"/>
      <c r="BL239" s="271"/>
      <c r="BM239" s="271"/>
      <c r="BN239" s="271"/>
      <c r="BO239" s="271"/>
      <c r="BP239" s="271"/>
      <c r="BQ239" s="271"/>
      <c r="BR239" s="271"/>
      <c r="BS239" s="271"/>
    </row>
    <row r="240" spans="1:83" x14ac:dyDescent="0.3">
      <c r="A240" s="271"/>
      <c r="B240" s="271">
        <v>590</v>
      </c>
      <c r="C240" s="271" t="s">
        <v>670</v>
      </c>
      <c r="D240" s="271" t="s">
        <v>671</v>
      </c>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71"/>
      <c r="AE240" s="271"/>
      <c r="AF240" s="271"/>
      <c r="AG240" s="271"/>
      <c r="AH240" s="271"/>
      <c r="AI240" s="271"/>
      <c r="AJ240" s="271"/>
      <c r="AK240" s="271"/>
      <c r="AL240" s="271"/>
      <c r="AM240" s="271"/>
      <c r="AN240" s="271"/>
      <c r="AO240" s="271"/>
      <c r="AP240" s="271"/>
      <c r="AQ240" s="271"/>
      <c r="AR240" s="271"/>
      <c r="AS240" s="271"/>
      <c r="AT240" s="271"/>
      <c r="AU240" s="271"/>
      <c r="AV240" s="271"/>
      <c r="AW240" s="271"/>
      <c r="AX240" s="271"/>
      <c r="AY240" s="271"/>
      <c r="AZ240" s="271"/>
      <c r="BA240" s="271"/>
      <c r="BB240" s="271"/>
      <c r="BC240" s="271"/>
      <c r="BD240" s="271"/>
      <c r="BE240" s="271"/>
      <c r="BF240" s="271"/>
      <c r="BG240" s="271"/>
      <c r="BH240" s="271"/>
      <c r="BI240" s="271"/>
      <c r="BJ240" s="271"/>
      <c r="BK240" s="271"/>
      <c r="BL240" s="271"/>
      <c r="BM240" s="271"/>
      <c r="BN240" s="271"/>
      <c r="BO240" s="271"/>
      <c r="BP240" s="271"/>
      <c r="BQ240" s="271"/>
      <c r="BR240" s="271"/>
      <c r="BS240" s="271"/>
    </row>
    <row r="241" spans="1:83" x14ac:dyDescent="0.3">
      <c r="A241" s="271"/>
      <c r="B241" s="271">
        <v>992</v>
      </c>
      <c r="C241" s="271"/>
      <c r="D241" s="271" t="s">
        <v>602</v>
      </c>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71"/>
      <c r="AE241" s="271"/>
      <c r="AF241" s="271"/>
      <c r="AG241" s="271"/>
      <c r="AH241" s="271"/>
      <c r="AI241" s="271"/>
      <c r="AJ241" s="271"/>
      <c r="AK241" s="271"/>
      <c r="AL241" s="271"/>
      <c r="AM241" s="271"/>
      <c r="AN241" s="271"/>
      <c r="AO241" s="271"/>
      <c r="AP241" s="271"/>
      <c r="AQ241" s="271"/>
      <c r="AR241" s="271"/>
      <c r="AS241" s="271"/>
      <c r="AT241" s="271"/>
      <c r="AU241" s="271"/>
      <c r="AV241" s="271"/>
      <c r="AW241" s="271"/>
      <c r="AX241" s="271"/>
      <c r="AY241" s="271"/>
      <c r="AZ241" s="271"/>
      <c r="BA241" s="271"/>
      <c r="BB241" s="271"/>
      <c r="BC241" s="271"/>
      <c r="BD241" s="271"/>
      <c r="BE241" s="271"/>
      <c r="BF241" s="271"/>
      <c r="BG241" s="271"/>
      <c r="BH241" s="271"/>
      <c r="BI241" s="271"/>
      <c r="BJ241" s="271"/>
      <c r="BK241" s="271"/>
      <c r="BL241" s="271"/>
      <c r="BM241" s="271"/>
      <c r="BN241" s="271"/>
      <c r="BO241" s="271"/>
      <c r="BP241" s="271"/>
      <c r="BQ241" s="271"/>
      <c r="BR241" s="271"/>
      <c r="BS241" s="271"/>
    </row>
    <row r="242" spans="1:83" x14ac:dyDescent="0.3">
      <c r="A242" s="271"/>
      <c r="B242" s="271">
        <v>993</v>
      </c>
      <c r="C242" s="271" t="s">
        <v>515</v>
      </c>
      <c r="D242" s="271" t="s">
        <v>516</v>
      </c>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71"/>
      <c r="AE242" s="271"/>
      <c r="AF242" s="271"/>
      <c r="AG242" s="271"/>
      <c r="AH242" s="271"/>
      <c r="AI242" s="271"/>
      <c r="AJ242" s="271"/>
      <c r="AK242" s="271"/>
      <c r="AL242" s="271"/>
      <c r="AM242" s="271"/>
      <c r="AN242" s="271"/>
      <c r="AO242" s="271"/>
      <c r="AP242" s="271"/>
      <c r="AQ242" s="271"/>
      <c r="AR242" s="271"/>
      <c r="AS242" s="271"/>
      <c r="AT242" s="271"/>
      <c r="AU242" s="271"/>
      <c r="AV242" s="271"/>
      <c r="AW242" s="271"/>
      <c r="AX242" s="271"/>
      <c r="AY242" s="271"/>
      <c r="AZ242" s="271"/>
      <c r="BA242" s="271"/>
      <c r="BB242" s="271"/>
      <c r="BC242" s="271"/>
      <c r="BD242" s="271"/>
      <c r="BE242" s="271"/>
      <c r="BF242" s="271"/>
      <c r="BG242" s="271"/>
      <c r="BH242" s="271"/>
      <c r="BI242" s="271"/>
      <c r="BJ242" s="271"/>
      <c r="BK242" s="271"/>
      <c r="BL242" s="271"/>
      <c r="BM242" s="271"/>
      <c r="BN242" s="271"/>
      <c r="BO242" s="271"/>
      <c r="BP242" s="271"/>
      <c r="BQ242" s="271"/>
      <c r="BR242" s="271"/>
      <c r="BS242" s="271"/>
    </row>
    <row r="243" spans="1:83" x14ac:dyDescent="0.3">
      <c r="A243" s="271"/>
      <c r="B243" s="271">
        <v>994</v>
      </c>
      <c r="C243" s="271" t="s">
        <v>517</v>
      </c>
      <c r="D243" s="271" t="s">
        <v>518</v>
      </c>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c r="AE243" s="271"/>
      <c r="AF243" s="271"/>
      <c r="AG243" s="271"/>
      <c r="AH243" s="271"/>
      <c r="AI243" s="271"/>
      <c r="AJ243" s="271"/>
      <c r="AK243" s="271"/>
      <c r="AL243" s="271"/>
      <c r="AM243" s="271"/>
      <c r="AN243" s="271"/>
      <c r="AO243" s="271"/>
      <c r="AP243" s="271"/>
      <c r="AQ243" s="271"/>
      <c r="AR243" s="271"/>
      <c r="AS243" s="271"/>
      <c r="AT243" s="271"/>
      <c r="AU243" s="271"/>
      <c r="AV243" s="271"/>
      <c r="AW243" s="271"/>
      <c r="AX243" s="271"/>
      <c r="AY243" s="271"/>
      <c r="AZ243" s="271"/>
      <c r="BA243" s="271"/>
      <c r="BB243" s="271"/>
      <c r="BC243" s="271"/>
      <c r="BD243" s="271"/>
      <c r="BE243" s="271"/>
      <c r="BF243" s="271"/>
      <c r="BG243" s="271"/>
      <c r="BH243" s="271"/>
      <c r="BI243" s="271"/>
      <c r="BJ243" s="271"/>
      <c r="BK243" s="271"/>
      <c r="BL243" s="271"/>
      <c r="BM243" s="271"/>
      <c r="BN243" s="271"/>
      <c r="BO243" s="271"/>
      <c r="BP243" s="271"/>
      <c r="BQ243" s="271"/>
      <c r="BR243" s="271"/>
      <c r="BS243" s="271"/>
    </row>
    <row r="244" spans="1:83" x14ac:dyDescent="0.3">
      <c r="A244" s="271" t="s">
        <v>1767</v>
      </c>
      <c r="B244" s="271">
        <v>995</v>
      </c>
      <c r="C244" s="271" t="s">
        <v>519</v>
      </c>
      <c r="D244" s="271" t="s">
        <v>520</v>
      </c>
      <c r="E244" s="271">
        <v>0</v>
      </c>
      <c r="F244" s="271">
        <v>0</v>
      </c>
      <c r="G244" s="271">
        <v>0</v>
      </c>
      <c r="H244" s="271">
        <v>0</v>
      </c>
      <c r="I244" s="271">
        <v>0</v>
      </c>
      <c r="J244" s="271">
        <v>0</v>
      </c>
      <c r="K244" s="271">
        <v>0</v>
      </c>
      <c r="L244" s="271">
        <v>0</v>
      </c>
      <c r="M244" s="271">
        <v>0.08</v>
      </c>
      <c r="N244" s="271">
        <v>0.09</v>
      </c>
      <c r="O244" s="271">
        <v>0</v>
      </c>
      <c r="P244" s="271">
        <v>0</v>
      </c>
      <c r="Q244" s="271">
        <v>0</v>
      </c>
      <c r="R244" s="271">
        <v>0.09</v>
      </c>
      <c r="S244" s="271">
        <v>0</v>
      </c>
      <c r="T244" s="271">
        <v>0.09</v>
      </c>
      <c r="U244" s="271">
        <v>0</v>
      </c>
      <c r="V244" s="271">
        <v>0</v>
      </c>
      <c r="W244" s="271">
        <v>0</v>
      </c>
      <c r="X244" s="271">
        <v>0</v>
      </c>
      <c r="Y244" s="271">
        <v>0</v>
      </c>
      <c r="Z244" s="271">
        <v>0.08</v>
      </c>
      <c r="AA244" s="271">
        <v>0</v>
      </c>
      <c r="AB244" s="271">
        <v>0</v>
      </c>
      <c r="AC244" s="271">
        <v>0</v>
      </c>
      <c r="AD244" s="271">
        <v>0</v>
      </c>
      <c r="AE244" s="271">
        <v>0</v>
      </c>
      <c r="AF244" s="271">
        <v>0</v>
      </c>
      <c r="AG244" s="271">
        <v>7.0000000000000007E-2</v>
      </c>
      <c r="AH244" s="271">
        <v>0</v>
      </c>
      <c r="AI244" s="271">
        <v>0</v>
      </c>
      <c r="AJ244" s="271">
        <v>0</v>
      </c>
      <c r="AK244" s="271">
        <v>0</v>
      </c>
      <c r="AL244" s="271">
        <v>0</v>
      </c>
      <c r="AM244" s="271">
        <v>0</v>
      </c>
      <c r="AN244" s="271">
        <v>0</v>
      </c>
      <c r="AO244" s="271">
        <v>0</v>
      </c>
      <c r="AP244" s="271">
        <v>0</v>
      </c>
      <c r="AQ244" s="271">
        <v>7.0000000000000007E-2</v>
      </c>
      <c r="AR244" s="271">
        <v>0</v>
      </c>
      <c r="AS244" s="271">
        <v>0</v>
      </c>
      <c r="AT244" s="271">
        <v>0</v>
      </c>
      <c r="AU244" s="271">
        <v>0</v>
      </c>
      <c r="AV244" s="271">
        <v>0</v>
      </c>
      <c r="AW244" s="271">
        <v>0.08</v>
      </c>
      <c r="AX244" s="271">
        <v>0</v>
      </c>
      <c r="AY244" s="271">
        <v>0</v>
      </c>
      <c r="AZ244" s="271">
        <v>0</v>
      </c>
      <c r="BA244" s="271">
        <v>0</v>
      </c>
      <c r="BB244" s="271">
        <v>0.08</v>
      </c>
      <c r="BC244" s="271">
        <v>0</v>
      </c>
      <c r="BD244" s="271">
        <v>0</v>
      </c>
      <c r="BE244" s="271">
        <v>0</v>
      </c>
      <c r="BF244" s="271">
        <v>0</v>
      </c>
      <c r="BG244" s="271">
        <v>0</v>
      </c>
      <c r="BH244" s="271">
        <v>0</v>
      </c>
      <c r="BI244" s="271">
        <v>0</v>
      </c>
      <c r="BJ244" s="271">
        <v>0</v>
      </c>
      <c r="BK244" s="271">
        <v>0</v>
      </c>
      <c r="BL244" s="271">
        <v>0</v>
      </c>
      <c r="BM244" s="271">
        <v>0</v>
      </c>
      <c r="BN244" s="271">
        <v>0</v>
      </c>
      <c r="BO244" s="271">
        <v>0.08</v>
      </c>
      <c r="BP244" s="271">
        <v>0</v>
      </c>
      <c r="BQ244" s="271">
        <v>7.0000000000000007E-2</v>
      </c>
      <c r="BR244" s="271">
        <v>0</v>
      </c>
      <c r="BS244" s="271">
        <v>0.09</v>
      </c>
      <c r="BT244" s="300">
        <v>0</v>
      </c>
      <c r="BU244" s="300">
        <v>0</v>
      </c>
      <c r="BV244" s="300">
        <v>0.08</v>
      </c>
      <c r="BW244" s="300">
        <v>0</v>
      </c>
      <c r="BX244" s="300">
        <v>0</v>
      </c>
      <c r="BY244" s="300">
        <v>0</v>
      </c>
      <c r="BZ244" s="300">
        <v>0</v>
      </c>
      <c r="CA244" s="300">
        <v>0.08</v>
      </c>
      <c r="CB244" s="300">
        <v>0</v>
      </c>
      <c r="CC244" s="300">
        <v>0</v>
      </c>
      <c r="CD244" s="300">
        <v>0</v>
      </c>
      <c r="CE244" s="300">
        <v>7.0000000000000007E-2</v>
      </c>
    </row>
    <row r="245" spans="1:83" x14ac:dyDescent="0.3">
      <c r="A245" s="271" t="s">
        <v>1768</v>
      </c>
      <c r="B245" s="271">
        <v>996</v>
      </c>
      <c r="C245" s="271" t="s">
        <v>521</v>
      </c>
      <c r="D245" s="271" t="s">
        <v>522</v>
      </c>
      <c r="E245" s="271">
        <v>0.01</v>
      </c>
      <c r="F245" s="271">
        <v>0.01</v>
      </c>
      <c r="G245" s="271">
        <v>0</v>
      </c>
      <c r="H245" s="271">
        <v>0.01</v>
      </c>
      <c r="I245" s="271">
        <v>0.01</v>
      </c>
      <c r="J245" s="271">
        <v>0.01</v>
      </c>
      <c r="K245" s="271">
        <v>0</v>
      </c>
      <c r="L245" s="271">
        <v>0.01</v>
      </c>
      <c r="M245" s="271">
        <v>0.01</v>
      </c>
      <c r="N245" s="271">
        <v>0</v>
      </c>
      <c r="O245" s="271">
        <v>0</v>
      </c>
      <c r="P245" s="271">
        <v>0</v>
      </c>
      <c r="Q245" s="271">
        <v>0.01</v>
      </c>
      <c r="R245" s="271">
        <v>0.01</v>
      </c>
      <c r="S245" s="271">
        <v>0</v>
      </c>
      <c r="T245" s="271">
        <v>0.01</v>
      </c>
      <c r="U245" s="271">
        <v>0.01</v>
      </c>
      <c r="V245" s="271">
        <v>0.01</v>
      </c>
      <c r="W245" s="271">
        <v>0.01</v>
      </c>
      <c r="X245" s="271">
        <v>0</v>
      </c>
      <c r="Y245" s="271">
        <v>0.01</v>
      </c>
      <c r="Z245" s="271">
        <v>0.01</v>
      </c>
      <c r="AA245" s="271">
        <v>0.01</v>
      </c>
      <c r="AB245" s="271">
        <v>0.01</v>
      </c>
      <c r="AC245" s="271">
        <v>0.01</v>
      </c>
      <c r="AD245" s="271">
        <v>0</v>
      </c>
      <c r="AE245" s="271">
        <v>0</v>
      </c>
      <c r="AF245" s="271">
        <v>0</v>
      </c>
      <c r="AG245" s="271">
        <v>0.01</v>
      </c>
      <c r="AH245" s="271">
        <v>0</v>
      </c>
      <c r="AI245" s="271">
        <v>0.01</v>
      </c>
      <c r="AJ245" s="271">
        <v>0.01</v>
      </c>
      <c r="AK245" s="271">
        <v>0.01</v>
      </c>
      <c r="AL245" s="271">
        <v>0.01</v>
      </c>
      <c r="AM245" s="271">
        <v>0.01</v>
      </c>
      <c r="AN245" s="271">
        <v>0.01</v>
      </c>
      <c r="AO245" s="271">
        <v>0.01</v>
      </c>
      <c r="AP245" s="271">
        <v>0</v>
      </c>
      <c r="AQ245" s="271">
        <v>0.01</v>
      </c>
      <c r="AR245" s="271">
        <v>0</v>
      </c>
      <c r="AS245" s="271">
        <v>0</v>
      </c>
      <c r="AT245" s="271">
        <v>0.01</v>
      </c>
      <c r="AU245" s="271">
        <v>0.01</v>
      </c>
      <c r="AV245" s="271">
        <v>0.01</v>
      </c>
      <c r="AW245" s="271">
        <v>0.01</v>
      </c>
      <c r="AX245" s="271">
        <v>0.01</v>
      </c>
      <c r="AY245" s="271">
        <v>0.01</v>
      </c>
      <c r="AZ245" s="271">
        <v>0.01</v>
      </c>
      <c r="BA245" s="271">
        <v>0.01</v>
      </c>
      <c r="BB245" s="271">
        <v>0.01</v>
      </c>
      <c r="BC245" s="271">
        <v>0.01</v>
      </c>
      <c r="BD245" s="271">
        <v>0.01</v>
      </c>
      <c r="BE245" s="271">
        <v>0</v>
      </c>
      <c r="BF245" s="271">
        <v>0.01</v>
      </c>
      <c r="BG245" s="271">
        <v>0.01</v>
      </c>
      <c r="BH245" s="271">
        <v>0</v>
      </c>
      <c r="BI245" s="271">
        <v>0.01</v>
      </c>
      <c r="BJ245" s="271">
        <v>0.01</v>
      </c>
      <c r="BK245" s="271">
        <v>0</v>
      </c>
      <c r="BL245" s="271">
        <v>0</v>
      </c>
      <c r="BM245" s="271">
        <v>0.01</v>
      </c>
      <c r="BN245" s="271">
        <v>0.01</v>
      </c>
      <c r="BO245" s="271">
        <v>0.01</v>
      </c>
      <c r="BP245" s="271">
        <v>0.01</v>
      </c>
      <c r="BQ245" s="271">
        <v>0.01</v>
      </c>
      <c r="BR245" s="271">
        <v>0.01</v>
      </c>
      <c r="BS245" s="271">
        <v>0.01</v>
      </c>
      <c r="BT245" s="300">
        <v>0</v>
      </c>
      <c r="BU245" s="300">
        <v>0.01</v>
      </c>
      <c r="BV245" s="300">
        <v>0.01</v>
      </c>
      <c r="BW245" s="300">
        <v>0</v>
      </c>
      <c r="BX245" s="300">
        <v>0.01</v>
      </c>
      <c r="BY245" s="300">
        <v>0</v>
      </c>
      <c r="BZ245" s="300">
        <v>0.01</v>
      </c>
      <c r="CA245" s="300">
        <v>0.01</v>
      </c>
      <c r="CB245" s="300">
        <v>0</v>
      </c>
      <c r="CC245" s="300">
        <v>0.01</v>
      </c>
      <c r="CD245" s="300">
        <v>0</v>
      </c>
      <c r="CE245" s="300">
        <v>0</v>
      </c>
    </row>
    <row r="246" spans="1:83" x14ac:dyDescent="0.3">
      <c r="A246" s="271"/>
      <c r="B246" s="271">
        <v>997</v>
      </c>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c r="AE246" s="271"/>
      <c r="AF246" s="271"/>
      <c r="AG246" s="271"/>
      <c r="AH246" s="271"/>
      <c r="AI246" s="271"/>
      <c r="AJ246" s="271"/>
      <c r="AK246" s="271"/>
      <c r="AL246" s="271"/>
      <c r="AM246" s="271"/>
      <c r="AN246" s="271"/>
      <c r="AO246" s="271"/>
      <c r="AP246" s="271"/>
      <c r="AQ246" s="271"/>
      <c r="AR246" s="271"/>
      <c r="AS246" s="271"/>
      <c r="AT246" s="271"/>
      <c r="AU246" s="271"/>
      <c r="AV246" s="271"/>
      <c r="AW246" s="271"/>
      <c r="AX246" s="271"/>
      <c r="AY246" s="271"/>
      <c r="AZ246" s="271"/>
      <c r="BA246" s="271"/>
      <c r="BB246" s="271"/>
      <c r="BC246" s="271"/>
      <c r="BD246" s="271"/>
      <c r="BE246" s="271"/>
      <c r="BF246" s="271"/>
      <c r="BG246" s="271"/>
      <c r="BH246" s="271"/>
      <c r="BI246" s="271"/>
      <c r="BJ246" s="271"/>
      <c r="BK246" s="271"/>
      <c r="BL246" s="271"/>
      <c r="BM246" s="271"/>
      <c r="BN246" s="271"/>
      <c r="BO246" s="271"/>
      <c r="BP246" s="271"/>
      <c r="BQ246" s="271"/>
      <c r="BR246" s="271"/>
      <c r="BS246" s="271"/>
    </row>
    <row r="247" spans="1:83" x14ac:dyDescent="0.3">
      <c r="A247" s="271" t="s">
        <v>1769</v>
      </c>
      <c r="B247" s="271">
        <v>998</v>
      </c>
      <c r="C247" s="271" t="s">
        <v>292</v>
      </c>
      <c r="D247" s="271" t="s">
        <v>523</v>
      </c>
      <c r="E247" s="271">
        <v>50</v>
      </c>
      <c r="F247" s="271">
        <v>50</v>
      </c>
      <c r="G247" s="271">
        <v>50</v>
      </c>
      <c r="H247" s="271">
        <v>50</v>
      </c>
      <c r="I247" s="271">
        <v>50</v>
      </c>
      <c r="J247" s="271">
        <v>50</v>
      </c>
      <c r="K247" s="271">
        <v>50</v>
      </c>
      <c r="L247" s="271">
        <v>50</v>
      </c>
      <c r="M247" s="271">
        <v>50</v>
      </c>
      <c r="N247" s="271">
        <v>50</v>
      </c>
      <c r="O247" s="271">
        <v>50</v>
      </c>
      <c r="P247" s="271">
        <v>50</v>
      </c>
      <c r="Q247" s="271">
        <v>50</v>
      </c>
      <c r="R247" s="271">
        <v>50</v>
      </c>
      <c r="S247" s="271">
        <v>50</v>
      </c>
      <c r="T247" s="271">
        <v>50</v>
      </c>
      <c r="U247" s="271">
        <v>50</v>
      </c>
      <c r="V247" s="271">
        <v>50</v>
      </c>
      <c r="W247" s="271">
        <v>50</v>
      </c>
      <c r="X247" s="271">
        <v>50</v>
      </c>
      <c r="Y247" s="271">
        <v>50</v>
      </c>
      <c r="Z247" s="271">
        <v>50</v>
      </c>
      <c r="AA247" s="271">
        <v>50</v>
      </c>
      <c r="AB247" s="271">
        <v>50</v>
      </c>
      <c r="AC247" s="271">
        <v>50</v>
      </c>
      <c r="AD247" s="271">
        <v>50</v>
      </c>
      <c r="AE247" s="271">
        <v>50</v>
      </c>
      <c r="AF247" s="271">
        <v>50</v>
      </c>
      <c r="AG247" s="271">
        <v>50</v>
      </c>
      <c r="AH247" s="271">
        <v>50</v>
      </c>
      <c r="AI247" s="271">
        <v>50</v>
      </c>
      <c r="AJ247" s="271">
        <v>50</v>
      </c>
      <c r="AK247" s="271">
        <v>50</v>
      </c>
      <c r="AL247" s="271">
        <v>50</v>
      </c>
      <c r="AM247" s="271">
        <v>50</v>
      </c>
      <c r="AN247" s="271">
        <v>50</v>
      </c>
      <c r="AO247" s="271">
        <v>50</v>
      </c>
      <c r="AP247" s="271">
        <v>50</v>
      </c>
      <c r="AQ247" s="271">
        <v>50</v>
      </c>
      <c r="AR247" s="271">
        <v>50</v>
      </c>
      <c r="AS247" s="271">
        <v>50</v>
      </c>
      <c r="AT247" s="271">
        <v>50</v>
      </c>
      <c r="AU247" s="271">
        <v>50</v>
      </c>
      <c r="AV247" s="271">
        <v>50</v>
      </c>
      <c r="AW247" s="271">
        <v>50</v>
      </c>
      <c r="AX247" s="271">
        <v>50</v>
      </c>
      <c r="AY247" s="271">
        <v>50</v>
      </c>
      <c r="AZ247" s="271">
        <v>50</v>
      </c>
      <c r="BA247" s="271">
        <v>50</v>
      </c>
      <c r="BB247" s="271">
        <v>50</v>
      </c>
      <c r="BC247" s="271">
        <v>50</v>
      </c>
      <c r="BD247" s="271">
        <v>50</v>
      </c>
      <c r="BE247" s="271">
        <v>50</v>
      </c>
      <c r="BF247" s="271">
        <v>50</v>
      </c>
      <c r="BG247" s="271">
        <v>50</v>
      </c>
      <c r="BH247" s="271">
        <v>50</v>
      </c>
      <c r="BI247" s="271">
        <v>50</v>
      </c>
      <c r="BJ247" s="271">
        <v>50</v>
      </c>
      <c r="BK247" s="271">
        <v>50</v>
      </c>
      <c r="BL247" s="271">
        <v>50</v>
      </c>
      <c r="BM247" s="271">
        <v>50</v>
      </c>
      <c r="BN247" s="271">
        <v>50</v>
      </c>
      <c r="BO247" s="271">
        <v>50</v>
      </c>
      <c r="BP247" s="271">
        <v>50</v>
      </c>
      <c r="BQ247" s="271">
        <v>50</v>
      </c>
      <c r="BR247" s="271">
        <v>50</v>
      </c>
      <c r="BS247" s="271">
        <v>50</v>
      </c>
      <c r="BT247" s="300">
        <v>50</v>
      </c>
      <c r="BU247" s="300">
        <v>50</v>
      </c>
      <c r="BV247" s="300">
        <v>50</v>
      </c>
      <c r="BW247" s="300">
        <v>50</v>
      </c>
      <c r="BX247" s="300">
        <v>50</v>
      </c>
      <c r="BY247" s="300">
        <v>50</v>
      </c>
      <c r="BZ247" s="300">
        <v>50</v>
      </c>
      <c r="CA247" s="300">
        <v>50</v>
      </c>
      <c r="CB247" s="300">
        <v>50</v>
      </c>
      <c r="CC247" s="300">
        <v>50</v>
      </c>
      <c r="CD247" s="300">
        <v>50</v>
      </c>
      <c r="CE247" s="300">
        <v>50</v>
      </c>
    </row>
    <row r="248" spans="1:83" x14ac:dyDescent="0.3">
      <c r="A248" s="271" t="s">
        <v>1770</v>
      </c>
      <c r="B248" s="271">
        <v>999</v>
      </c>
      <c r="C248" s="271" t="s">
        <v>293</v>
      </c>
      <c r="D248" s="271" t="s">
        <v>524</v>
      </c>
      <c r="E248" s="271">
        <v>50129</v>
      </c>
      <c r="F248" s="271">
        <v>50130</v>
      </c>
      <c r="G248" s="271">
        <v>50560</v>
      </c>
      <c r="H248" s="271">
        <v>50131</v>
      </c>
      <c r="I248" s="271">
        <v>50132</v>
      </c>
      <c r="J248" s="271">
        <v>50133</v>
      </c>
      <c r="K248" s="271">
        <v>50134</v>
      </c>
      <c r="L248" s="271">
        <v>50473</v>
      </c>
      <c r="M248" s="271">
        <v>50135</v>
      </c>
      <c r="N248" s="271">
        <v>50136</v>
      </c>
      <c r="O248" s="271">
        <v>50514</v>
      </c>
      <c r="P248" s="271">
        <v>50515</v>
      </c>
      <c r="Q248" s="271">
        <v>50570</v>
      </c>
      <c r="R248" s="271">
        <v>50137</v>
      </c>
      <c r="S248" s="271">
        <v>50549</v>
      </c>
      <c r="T248" s="271">
        <v>50138</v>
      </c>
      <c r="U248" s="271">
        <v>50139</v>
      </c>
      <c r="V248" s="271">
        <v>50474</v>
      </c>
      <c r="W248" s="271">
        <v>50140</v>
      </c>
      <c r="X248" s="271">
        <v>50141</v>
      </c>
      <c r="Y248" s="271">
        <v>50142</v>
      </c>
      <c r="Z248" s="271">
        <v>50143</v>
      </c>
      <c r="AA248" s="271">
        <v>50144</v>
      </c>
      <c r="AB248" s="271">
        <v>50492</v>
      </c>
      <c r="AC248" s="271">
        <v>50145</v>
      </c>
      <c r="AD248" s="271">
        <v>50146</v>
      </c>
      <c r="AE248" s="271">
        <v>50147</v>
      </c>
      <c r="AF248" s="271">
        <v>50148</v>
      </c>
      <c r="AG248" s="271">
        <v>50149</v>
      </c>
      <c r="AH248" s="271">
        <v>50150</v>
      </c>
      <c r="AI248" s="271">
        <v>50151</v>
      </c>
      <c r="AJ248" s="271">
        <v>50152</v>
      </c>
      <c r="AK248" s="271">
        <v>50153</v>
      </c>
      <c r="AL248" s="271">
        <v>50475</v>
      </c>
      <c r="AM248" s="271">
        <v>50154</v>
      </c>
      <c r="AN248" s="271">
        <v>50155</v>
      </c>
      <c r="AO248" s="271">
        <v>50156</v>
      </c>
      <c r="AP248" s="271">
        <v>50516</v>
      </c>
      <c r="AQ248" s="271">
        <v>50157</v>
      </c>
      <c r="AR248" s="271">
        <v>50158</v>
      </c>
      <c r="AS248" s="271">
        <v>50545</v>
      </c>
      <c r="AT248" s="271">
        <v>50517</v>
      </c>
      <c r="AU248" s="271">
        <v>50448</v>
      </c>
      <c r="AV248" s="271">
        <v>50159</v>
      </c>
      <c r="AW248" s="271">
        <v>50160</v>
      </c>
      <c r="AX248" s="271">
        <v>50161</v>
      </c>
      <c r="AY248" s="271">
        <v>50162</v>
      </c>
      <c r="AZ248" s="271">
        <v>50163</v>
      </c>
      <c r="BA248" s="271">
        <v>50165</v>
      </c>
      <c r="BB248" s="271">
        <v>50166</v>
      </c>
      <c r="BC248" s="271">
        <v>50167</v>
      </c>
      <c r="BD248" s="271">
        <v>50168</v>
      </c>
      <c r="BE248" s="271">
        <v>50169</v>
      </c>
      <c r="BF248" s="271">
        <v>50170</v>
      </c>
      <c r="BG248" s="271">
        <v>50451</v>
      </c>
      <c r="BH248" s="271">
        <v>50171</v>
      </c>
      <c r="BI248" s="271">
        <v>50172</v>
      </c>
      <c r="BJ248" s="271">
        <v>50440</v>
      </c>
      <c r="BK248" s="271">
        <v>50173</v>
      </c>
      <c r="BL248" s="271">
        <v>50547</v>
      </c>
      <c r="BM248" s="271">
        <v>50175</v>
      </c>
      <c r="BN248" s="271">
        <v>50176</v>
      </c>
      <c r="BO248" s="271">
        <v>50177</v>
      </c>
      <c r="BP248" s="271">
        <v>50178</v>
      </c>
      <c r="BQ248" s="271">
        <v>50180</v>
      </c>
      <c r="BR248" s="271">
        <v>50447</v>
      </c>
      <c r="BS248" s="271">
        <v>50179</v>
      </c>
      <c r="BT248" s="300">
        <v>50462</v>
      </c>
      <c r="BU248" s="300">
        <v>50181</v>
      </c>
      <c r="BV248" s="300">
        <v>50182</v>
      </c>
      <c r="BW248" s="300">
        <v>50183</v>
      </c>
      <c r="BX248" s="300">
        <v>50446</v>
      </c>
      <c r="BY248" s="300">
        <v>50184</v>
      </c>
      <c r="BZ248" s="300">
        <v>50185</v>
      </c>
      <c r="CA248" s="300">
        <v>50186</v>
      </c>
      <c r="CB248" s="300">
        <v>50187</v>
      </c>
      <c r="CC248" s="300">
        <v>50188</v>
      </c>
      <c r="CD248" s="300">
        <v>50189</v>
      </c>
      <c r="CE248" s="300">
        <v>50190</v>
      </c>
    </row>
    <row r="249" spans="1:83" x14ac:dyDescent="0.3">
      <c r="A249" s="271"/>
      <c r="B249" s="271">
        <v>1000</v>
      </c>
      <c r="C249" s="271"/>
      <c r="D249" s="271"/>
      <c r="E249" s="271" t="s">
        <v>1771</v>
      </c>
      <c r="F249" s="271" t="s">
        <v>1771</v>
      </c>
      <c r="G249" s="271" t="s">
        <v>704</v>
      </c>
      <c r="H249" s="271" t="s">
        <v>1771</v>
      </c>
      <c r="I249" s="271" t="s">
        <v>1771</v>
      </c>
      <c r="J249" s="271" t="s">
        <v>1771</v>
      </c>
      <c r="K249" s="271" t="s">
        <v>704</v>
      </c>
      <c r="L249" s="271" t="s">
        <v>1771</v>
      </c>
      <c r="M249" s="271" t="s">
        <v>1771</v>
      </c>
      <c r="N249" s="271" t="s">
        <v>704</v>
      </c>
      <c r="O249" s="271" t="s">
        <v>704</v>
      </c>
      <c r="P249" s="271" t="s">
        <v>704</v>
      </c>
      <c r="Q249" s="271" t="s">
        <v>1771</v>
      </c>
      <c r="R249" s="271" t="s">
        <v>1771</v>
      </c>
      <c r="S249" s="271" t="s">
        <v>704</v>
      </c>
      <c r="T249" s="271" t="s">
        <v>1771</v>
      </c>
      <c r="U249" s="271" t="s">
        <v>1771</v>
      </c>
      <c r="V249" s="271" t="s">
        <v>1771</v>
      </c>
      <c r="W249" s="271" t="s">
        <v>1771</v>
      </c>
      <c r="X249" s="271" t="s">
        <v>704</v>
      </c>
      <c r="Y249" s="271" t="s">
        <v>1771</v>
      </c>
      <c r="Z249" s="271" t="s">
        <v>1771</v>
      </c>
      <c r="AA249" s="271" t="s">
        <v>1771</v>
      </c>
      <c r="AB249" s="271" t="s">
        <v>1771</v>
      </c>
      <c r="AC249" s="271" t="s">
        <v>1771</v>
      </c>
      <c r="AD249" s="271" t="s">
        <v>704</v>
      </c>
      <c r="AE249" s="271" t="s">
        <v>704</v>
      </c>
      <c r="AF249" s="271" t="s">
        <v>704</v>
      </c>
      <c r="AG249" s="271" t="s">
        <v>1771</v>
      </c>
      <c r="AH249" s="271" t="s">
        <v>704</v>
      </c>
      <c r="AI249" s="271" t="s">
        <v>1771</v>
      </c>
      <c r="AJ249" s="271" t="s">
        <v>1771</v>
      </c>
      <c r="AK249" s="271" t="s">
        <v>1771</v>
      </c>
      <c r="AL249" s="271" t="s">
        <v>1771</v>
      </c>
      <c r="AM249" s="271" t="s">
        <v>1771</v>
      </c>
      <c r="AN249" s="271" t="s">
        <v>1771</v>
      </c>
      <c r="AO249" s="271" t="s">
        <v>1771</v>
      </c>
      <c r="AP249" s="271" t="s">
        <v>704</v>
      </c>
      <c r="AQ249" s="271" t="s">
        <v>1771</v>
      </c>
      <c r="AR249" s="271" t="s">
        <v>704</v>
      </c>
      <c r="AS249" s="271" t="s">
        <v>704</v>
      </c>
      <c r="AT249" s="271" t="s">
        <v>1771</v>
      </c>
      <c r="AU249" s="271" t="s">
        <v>1771</v>
      </c>
      <c r="AV249" s="271" t="s">
        <v>1771</v>
      </c>
      <c r="AW249" s="271" t="s">
        <v>1771</v>
      </c>
      <c r="AX249" s="271" t="s">
        <v>1771</v>
      </c>
      <c r="AY249" s="271" t="s">
        <v>1771</v>
      </c>
      <c r="AZ249" s="271" t="s">
        <v>1771</v>
      </c>
      <c r="BA249" s="271" t="s">
        <v>1771</v>
      </c>
      <c r="BB249" s="271" t="s">
        <v>1771</v>
      </c>
      <c r="BC249" s="271" t="s">
        <v>1771</v>
      </c>
      <c r="BD249" s="271" t="s">
        <v>1771</v>
      </c>
      <c r="BE249" s="271" t="s">
        <v>704</v>
      </c>
      <c r="BF249" s="271" t="s">
        <v>1771</v>
      </c>
      <c r="BG249" s="271" t="s">
        <v>1771</v>
      </c>
      <c r="BH249" s="271" t="s">
        <v>704</v>
      </c>
      <c r="BI249" s="271" t="s">
        <v>1771</v>
      </c>
      <c r="BJ249" s="271" t="s">
        <v>1771</v>
      </c>
      <c r="BK249" s="271" t="s">
        <v>704</v>
      </c>
      <c r="BL249" s="271" t="s">
        <v>704</v>
      </c>
      <c r="BM249" s="271" t="s">
        <v>1771</v>
      </c>
      <c r="BN249" s="271" t="s">
        <v>1771</v>
      </c>
      <c r="BO249" s="271" t="s">
        <v>1771</v>
      </c>
      <c r="BP249" s="271" t="s">
        <v>1771</v>
      </c>
      <c r="BQ249" s="271" t="s">
        <v>1771</v>
      </c>
      <c r="BR249" s="271" t="s">
        <v>1771</v>
      </c>
      <c r="BS249" s="271" t="s">
        <v>1771</v>
      </c>
      <c r="BT249" s="300" t="s">
        <v>704</v>
      </c>
      <c r="BU249" s="300" t="s">
        <v>1771</v>
      </c>
      <c r="BV249" s="300" t="s">
        <v>1771</v>
      </c>
      <c r="BW249" s="300" t="s">
        <v>704</v>
      </c>
      <c r="BX249" s="300" t="s">
        <v>1771</v>
      </c>
      <c r="BY249" s="300" t="s">
        <v>704</v>
      </c>
      <c r="BZ249" s="300" t="s">
        <v>1771</v>
      </c>
      <c r="CA249" s="300" t="s">
        <v>1771</v>
      </c>
      <c r="CB249" s="300" t="s">
        <v>704</v>
      </c>
      <c r="CC249" s="300" t="s">
        <v>1771</v>
      </c>
      <c r="CD249" s="300" t="s">
        <v>704</v>
      </c>
      <c r="CE249" s="300" t="s">
        <v>704</v>
      </c>
    </row>
    <row r="250" spans="1:83" x14ac:dyDescent="0.3">
      <c r="A250" s="271"/>
      <c r="B250" s="271">
        <v>537</v>
      </c>
      <c r="C250" s="271"/>
      <c r="D250" s="271"/>
      <c r="E250" s="271" t="s">
        <v>52</v>
      </c>
      <c r="F250" s="271" t="s">
        <v>52</v>
      </c>
      <c r="G250" s="271" t="s">
        <v>704</v>
      </c>
      <c r="H250" s="271" t="s">
        <v>51</v>
      </c>
      <c r="I250" s="271" t="s">
        <v>52</v>
      </c>
      <c r="J250" s="271" t="s">
        <v>52</v>
      </c>
      <c r="K250" s="271" t="s">
        <v>704</v>
      </c>
      <c r="L250" s="271" t="s">
        <v>52</v>
      </c>
      <c r="M250" s="271" t="s">
        <v>52</v>
      </c>
      <c r="N250" s="271" t="s">
        <v>704</v>
      </c>
      <c r="O250" s="271" t="s">
        <v>704</v>
      </c>
      <c r="P250" s="271" t="s">
        <v>704</v>
      </c>
      <c r="Q250" s="271" t="s">
        <v>52</v>
      </c>
      <c r="R250" s="271" t="s">
        <v>52</v>
      </c>
      <c r="S250" s="271" t="s">
        <v>704</v>
      </c>
      <c r="T250" s="271" t="s">
        <v>52</v>
      </c>
      <c r="U250" s="271" t="s">
        <v>52</v>
      </c>
      <c r="V250" s="271" t="s">
        <v>52</v>
      </c>
      <c r="W250" s="271" t="s">
        <v>51</v>
      </c>
      <c r="X250" s="271" t="s">
        <v>704</v>
      </c>
      <c r="Y250" s="271" t="s">
        <v>52</v>
      </c>
      <c r="Z250" s="271" t="s">
        <v>52</v>
      </c>
      <c r="AA250" s="271" t="s">
        <v>51</v>
      </c>
      <c r="AB250" s="271" t="s">
        <v>52</v>
      </c>
      <c r="AC250" s="271" t="s">
        <v>51</v>
      </c>
      <c r="AD250" s="271" t="s">
        <v>704</v>
      </c>
      <c r="AE250" s="271" t="s">
        <v>704</v>
      </c>
      <c r="AF250" s="271" t="s">
        <v>704</v>
      </c>
      <c r="AG250" s="271" t="s">
        <v>51</v>
      </c>
      <c r="AH250" s="271" t="s">
        <v>52</v>
      </c>
      <c r="AI250" s="271" t="s">
        <v>52</v>
      </c>
      <c r="AJ250" s="271" t="s">
        <v>52</v>
      </c>
      <c r="AK250" s="271" t="s">
        <v>52</v>
      </c>
      <c r="AL250" s="271" t="s">
        <v>52</v>
      </c>
      <c r="AM250" s="271" t="s">
        <v>704</v>
      </c>
      <c r="AN250" s="271" t="s">
        <v>52</v>
      </c>
      <c r="AO250" s="271" t="s">
        <v>52</v>
      </c>
      <c r="AP250" s="271" t="s">
        <v>52</v>
      </c>
      <c r="AQ250" s="271" t="s">
        <v>51</v>
      </c>
      <c r="AR250" s="271" t="s">
        <v>704</v>
      </c>
      <c r="AS250" s="271" t="s">
        <v>704</v>
      </c>
      <c r="AT250" s="271" t="s">
        <v>52</v>
      </c>
      <c r="AU250" s="271" t="s">
        <v>51</v>
      </c>
      <c r="AV250" s="271" t="s">
        <v>51</v>
      </c>
      <c r="AW250" s="271" t="s">
        <v>51</v>
      </c>
      <c r="AX250" s="271" t="s">
        <v>52</v>
      </c>
      <c r="AY250" s="271" t="s">
        <v>51</v>
      </c>
      <c r="AZ250" s="271" t="s">
        <v>52</v>
      </c>
      <c r="BA250" s="271" t="s">
        <v>704</v>
      </c>
      <c r="BB250" s="271" t="s">
        <v>704</v>
      </c>
      <c r="BC250" s="271" t="s">
        <v>52</v>
      </c>
      <c r="BD250" s="271" t="s">
        <v>52</v>
      </c>
      <c r="BE250" s="271" t="s">
        <v>52</v>
      </c>
      <c r="BF250" s="271" t="s">
        <v>704</v>
      </c>
      <c r="BG250" s="271" t="s">
        <v>52</v>
      </c>
      <c r="BH250" s="271" t="s">
        <v>704</v>
      </c>
      <c r="BI250" s="271" t="s">
        <v>51</v>
      </c>
      <c r="BJ250" s="271" t="s">
        <v>51</v>
      </c>
      <c r="BK250" s="271" t="s">
        <v>52</v>
      </c>
      <c r="BL250" s="271" t="s">
        <v>704</v>
      </c>
      <c r="BM250" s="271" t="s">
        <v>52</v>
      </c>
      <c r="BN250" s="271" t="s">
        <v>51</v>
      </c>
      <c r="BO250" s="271" t="s">
        <v>52</v>
      </c>
      <c r="BP250" s="271" t="s">
        <v>51</v>
      </c>
      <c r="BQ250" s="271" t="s">
        <v>51</v>
      </c>
      <c r="BR250" s="271" t="s">
        <v>52</v>
      </c>
      <c r="BS250" s="271" t="s">
        <v>52</v>
      </c>
      <c r="BT250" s="300" t="s">
        <v>704</v>
      </c>
      <c r="BU250" s="300" t="s">
        <v>51</v>
      </c>
      <c r="BV250" s="300" t="s">
        <v>52</v>
      </c>
      <c r="BW250" s="300" t="s">
        <v>52</v>
      </c>
      <c r="BX250" s="300" t="s">
        <v>52</v>
      </c>
      <c r="BY250" s="300" t="s">
        <v>704</v>
      </c>
      <c r="BZ250" s="300" t="s">
        <v>51</v>
      </c>
      <c r="CA250" s="300" t="s">
        <v>52</v>
      </c>
      <c r="CB250" s="300" t="s">
        <v>704</v>
      </c>
      <c r="CC250" s="300" t="s">
        <v>51</v>
      </c>
      <c r="CD250" s="300" t="s">
        <v>704</v>
      </c>
      <c r="CE250" s="300" t="s">
        <v>52</v>
      </c>
    </row>
    <row r="251" spans="1:83" x14ac:dyDescent="0.3">
      <c r="A251" s="271"/>
      <c r="B251" s="271">
        <v>538</v>
      </c>
      <c r="C251" s="271"/>
      <c r="D251" s="271"/>
      <c r="E251" s="271" t="s">
        <v>52</v>
      </c>
      <c r="F251" s="271" t="s">
        <v>52</v>
      </c>
      <c r="G251" s="271" t="s">
        <v>704</v>
      </c>
      <c r="H251" s="271" t="s">
        <v>52</v>
      </c>
      <c r="I251" s="271" t="s">
        <v>52</v>
      </c>
      <c r="J251" s="271" t="s">
        <v>51</v>
      </c>
      <c r="K251" s="271" t="s">
        <v>704</v>
      </c>
      <c r="L251" s="271" t="s">
        <v>52</v>
      </c>
      <c r="M251" s="271" t="s">
        <v>52</v>
      </c>
      <c r="N251" s="271" t="s">
        <v>704</v>
      </c>
      <c r="O251" s="271" t="s">
        <v>704</v>
      </c>
      <c r="P251" s="271" t="s">
        <v>704</v>
      </c>
      <c r="Q251" s="271" t="s">
        <v>52</v>
      </c>
      <c r="R251" s="271" t="s">
        <v>52</v>
      </c>
      <c r="S251" s="271" t="s">
        <v>704</v>
      </c>
      <c r="T251" s="271" t="s">
        <v>52</v>
      </c>
      <c r="U251" s="271" t="s">
        <v>52</v>
      </c>
      <c r="V251" s="271" t="s">
        <v>52</v>
      </c>
      <c r="W251" s="271" t="s">
        <v>51</v>
      </c>
      <c r="X251" s="271" t="s">
        <v>704</v>
      </c>
      <c r="Y251" s="271" t="s">
        <v>52</v>
      </c>
      <c r="Z251" s="271" t="s">
        <v>51</v>
      </c>
      <c r="AA251" s="271" t="s">
        <v>51</v>
      </c>
      <c r="AB251" s="271" t="s">
        <v>52</v>
      </c>
      <c r="AC251" s="271" t="s">
        <v>52</v>
      </c>
      <c r="AD251" s="271" t="s">
        <v>704</v>
      </c>
      <c r="AE251" s="271" t="s">
        <v>704</v>
      </c>
      <c r="AF251" s="271" t="s">
        <v>704</v>
      </c>
      <c r="AG251" s="271" t="s">
        <v>52</v>
      </c>
      <c r="AH251" s="271" t="s">
        <v>52</v>
      </c>
      <c r="AI251" s="271" t="s">
        <v>52</v>
      </c>
      <c r="AJ251" s="271" t="s">
        <v>52</v>
      </c>
      <c r="AK251" s="271" t="s">
        <v>52</v>
      </c>
      <c r="AL251" s="271" t="s">
        <v>52</v>
      </c>
      <c r="AM251" s="271" t="s">
        <v>704</v>
      </c>
      <c r="AN251" s="271" t="s">
        <v>52</v>
      </c>
      <c r="AO251" s="271" t="s">
        <v>52</v>
      </c>
      <c r="AP251" s="271" t="s">
        <v>52</v>
      </c>
      <c r="AQ251" s="271" t="s">
        <v>51</v>
      </c>
      <c r="AR251" s="271" t="s">
        <v>704</v>
      </c>
      <c r="AS251" s="271" t="s">
        <v>704</v>
      </c>
      <c r="AT251" s="271" t="s">
        <v>52</v>
      </c>
      <c r="AU251" s="271" t="s">
        <v>52</v>
      </c>
      <c r="AV251" s="271" t="s">
        <v>51</v>
      </c>
      <c r="AW251" s="271" t="s">
        <v>52</v>
      </c>
      <c r="AX251" s="271" t="s">
        <v>52</v>
      </c>
      <c r="AY251" s="271" t="s">
        <v>52</v>
      </c>
      <c r="AZ251" s="271" t="s">
        <v>52</v>
      </c>
      <c r="BA251" s="271" t="s">
        <v>704</v>
      </c>
      <c r="BB251" s="271" t="s">
        <v>704</v>
      </c>
      <c r="BC251" s="271" t="s">
        <v>52</v>
      </c>
      <c r="BD251" s="271" t="s">
        <v>704</v>
      </c>
      <c r="BE251" s="271" t="s">
        <v>52</v>
      </c>
      <c r="BF251" s="271" t="s">
        <v>52</v>
      </c>
      <c r="BG251" s="271" t="s">
        <v>51</v>
      </c>
      <c r="BH251" s="271" t="s">
        <v>704</v>
      </c>
      <c r="BI251" s="271" t="s">
        <v>51</v>
      </c>
      <c r="BJ251" s="271" t="s">
        <v>51</v>
      </c>
      <c r="BK251" s="271" t="s">
        <v>52</v>
      </c>
      <c r="BL251" s="271" t="s">
        <v>704</v>
      </c>
      <c r="BM251" s="271" t="s">
        <v>52</v>
      </c>
      <c r="BN251" s="271" t="s">
        <v>51</v>
      </c>
      <c r="BO251" s="271" t="s">
        <v>704</v>
      </c>
      <c r="BP251" s="271" t="s">
        <v>51</v>
      </c>
      <c r="BQ251" s="271" t="s">
        <v>51</v>
      </c>
      <c r="BR251" s="271" t="s">
        <v>52</v>
      </c>
      <c r="BS251" s="271" t="s">
        <v>52</v>
      </c>
      <c r="BT251" s="300" t="s">
        <v>704</v>
      </c>
      <c r="BU251" s="300" t="s">
        <v>51</v>
      </c>
      <c r="BV251" s="300" t="s">
        <v>52</v>
      </c>
      <c r="BW251" s="300" t="s">
        <v>52</v>
      </c>
      <c r="BX251" s="300" t="s">
        <v>52</v>
      </c>
      <c r="BY251" s="300" t="s">
        <v>704</v>
      </c>
      <c r="BZ251" s="300" t="s">
        <v>51</v>
      </c>
      <c r="CA251" s="300" t="s">
        <v>52</v>
      </c>
      <c r="CB251" s="300" t="s">
        <v>704</v>
      </c>
      <c r="CC251" s="300" t="s">
        <v>52</v>
      </c>
      <c r="CD251" s="300" t="s">
        <v>52</v>
      </c>
      <c r="CE251" s="300" t="s">
        <v>52</v>
      </c>
    </row>
    <row r="252" spans="1:83" x14ac:dyDescent="0.3">
      <c r="A252" s="271">
        <v>591</v>
      </c>
      <c r="B252" s="271">
        <v>591</v>
      </c>
      <c r="C252" s="271" t="s">
        <v>609</v>
      </c>
      <c r="D252" s="271"/>
      <c r="E252" s="1113">
        <v>515262</v>
      </c>
      <c r="F252" s="1113">
        <v>1462431</v>
      </c>
      <c r="G252" s="1113">
        <v>0</v>
      </c>
      <c r="H252" s="1113">
        <v>904100</v>
      </c>
      <c r="I252" s="271">
        <v>499078</v>
      </c>
      <c r="J252" s="1113">
        <v>170210</v>
      </c>
      <c r="K252" s="1113">
        <v>0</v>
      </c>
      <c r="L252" s="1113">
        <v>372084</v>
      </c>
      <c r="M252" s="1113">
        <v>10929204</v>
      </c>
      <c r="N252" s="271">
        <v>38311808</v>
      </c>
      <c r="O252" s="1113">
        <v>0</v>
      </c>
      <c r="P252" s="271">
        <v>0</v>
      </c>
      <c r="Q252" s="1113">
        <v>168439</v>
      </c>
      <c r="R252" s="1113">
        <v>13182478</v>
      </c>
      <c r="S252" s="271">
        <v>0</v>
      </c>
      <c r="T252" s="1113">
        <v>1042894</v>
      </c>
      <c r="U252" s="1113">
        <v>1152970</v>
      </c>
      <c r="V252" s="1113">
        <v>167297</v>
      </c>
      <c r="W252" s="1113">
        <v>3437558</v>
      </c>
      <c r="X252" s="1113">
        <v>0</v>
      </c>
      <c r="Y252" s="1113">
        <v>0</v>
      </c>
      <c r="Z252" s="271">
        <v>3223071</v>
      </c>
      <c r="AA252" s="1113">
        <v>11693145</v>
      </c>
      <c r="AB252" s="1113">
        <v>136050</v>
      </c>
      <c r="AC252" s="1113">
        <v>282768</v>
      </c>
      <c r="AD252" s="1113">
        <v>0</v>
      </c>
      <c r="AE252" s="1113">
        <v>0</v>
      </c>
      <c r="AF252" s="271">
        <v>0</v>
      </c>
      <c r="AG252" s="271">
        <v>116508300</v>
      </c>
      <c r="AH252" s="1113">
        <v>263</v>
      </c>
      <c r="AI252" s="1113">
        <v>201442</v>
      </c>
      <c r="AJ252" s="1113">
        <v>3664546</v>
      </c>
      <c r="AK252" s="1113">
        <v>88220</v>
      </c>
      <c r="AL252" s="271">
        <v>86312</v>
      </c>
      <c r="AM252" s="271">
        <v>0</v>
      </c>
      <c r="AN252" s="1113">
        <v>336954</v>
      </c>
      <c r="AO252" s="1113">
        <v>6628864</v>
      </c>
      <c r="AP252" s="1113">
        <v>0</v>
      </c>
      <c r="AQ252" s="271">
        <v>9324124</v>
      </c>
      <c r="AR252" s="1113">
        <v>0</v>
      </c>
      <c r="AS252" s="1113">
        <v>0</v>
      </c>
      <c r="AT252" s="1113">
        <v>1258818</v>
      </c>
      <c r="AU252" s="1113">
        <v>420847</v>
      </c>
      <c r="AV252" s="271">
        <v>197911810</v>
      </c>
      <c r="AW252" s="1113">
        <v>257244350</v>
      </c>
      <c r="AX252" s="1113">
        <v>1232402</v>
      </c>
      <c r="AY252" s="1113">
        <v>455463</v>
      </c>
      <c r="AZ252" s="1113">
        <v>523021</v>
      </c>
      <c r="BA252" s="271">
        <v>266060</v>
      </c>
      <c r="BB252" s="271">
        <v>0</v>
      </c>
      <c r="BC252" s="1113">
        <v>3202104</v>
      </c>
      <c r="BD252" s="271">
        <v>278586</v>
      </c>
      <c r="BE252" s="1113">
        <v>0</v>
      </c>
      <c r="BF252" s="1113">
        <v>143378</v>
      </c>
      <c r="BG252" s="1113">
        <v>8311479</v>
      </c>
      <c r="BH252" s="1113">
        <v>0</v>
      </c>
      <c r="BI252" s="1113">
        <v>7635475</v>
      </c>
      <c r="BJ252" s="1113">
        <v>2134814</v>
      </c>
      <c r="BK252" s="1113">
        <v>0</v>
      </c>
      <c r="BL252" s="1113">
        <v>0</v>
      </c>
      <c r="BM252" s="1113">
        <v>13770692</v>
      </c>
      <c r="BN252" s="1113">
        <v>17773664</v>
      </c>
      <c r="BO252" s="1113">
        <v>4723369</v>
      </c>
      <c r="BP252" s="1113">
        <v>32615990</v>
      </c>
      <c r="BQ252" s="1113">
        <v>191319863</v>
      </c>
      <c r="BR252" s="1113">
        <v>265234</v>
      </c>
      <c r="BS252" s="1113">
        <v>9541897</v>
      </c>
      <c r="BT252" s="300">
        <v>0</v>
      </c>
      <c r="BU252" s="300">
        <v>9921568</v>
      </c>
      <c r="BV252" s="300">
        <v>742037</v>
      </c>
      <c r="BW252" s="300">
        <v>0</v>
      </c>
      <c r="BX252" s="300">
        <v>3543405</v>
      </c>
      <c r="BY252" s="300">
        <v>0</v>
      </c>
      <c r="BZ252" s="300">
        <v>17925235</v>
      </c>
      <c r="CA252" s="300">
        <v>1073674</v>
      </c>
      <c r="CB252" s="300">
        <v>0</v>
      </c>
      <c r="CC252" s="300">
        <v>253049</v>
      </c>
      <c r="CD252" s="300">
        <v>0</v>
      </c>
      <c r="CE252" s="300">
        <v>23521687</v>
      </c>
    </row>
    <row r="253" spans="1:83" x14ac:dyDescent="0.3">
      <c r="A253" s="271">
        <v>592</v>
      </c>
      <c r="B253" s="271">
        <v>592</v>
      </c>
      <c r="C253" s="271" t="s">
        <v>610</v>
      </c>
      <c r="D253" s="271"/>
      <c r="E253" s="1113">
        <v>345191</v>
      </c>
      <c r="F253" s="1113">
        <v>309082</v>
      </c>
      <c r="G253" s="1113">
        <v>0</v>
      </c>
      <c r="H253" s="1113">
        <v>47664</v>
      </c>
      <c r="I253" s="271">
        <v>-161143</v>
      </c>
      <c r="J253" s="1113">
        <v>-6653</v>
      </c>
      <c r="K253" s="1113">
        <v>0</v>
      </c>
      <c r="L253" s="1113">
        <v>247836</v>
      </c>
      <c r="M253" s="1113">
        <v>133239</v>
      </c>
      <c r="N253" s="271">
        <v>6831818</v>
      </c>
      <c r="O253" s="1113">
        <v>0</v>
      </c>
      <c r="P253" s="271">
        <v>0</v>
      </c>
      <c r="Q253" s="1113">
        <v>544122</v>
      </c>
      <c r="R253" s="1113">
        <v>1691082</v>
      </c>
      <c r="S253" s="271">
        <v>0</v>
      </c>
      <c r="T253" s="1113">
        <v>632228</v>
      </c>
      <c r="U253" s="1113">
        <v>-37000</v>
      </c>
      <c r="V253" s="1113">
        <v>31224</v>
      </c>
      <c r="W253" s="1113">
        <v>838860</v>
      </c>
      <c r="X253" s="1113">
        <v>0</v>
      </c>
      <c r="Y253" s="1113">
        <v>-224959</v>
      </c>
      <c r="Z253" s="271">
        <v>-1785</v>
      </c>
      <c r="AA253" s="1113">
        <v>8469810</v>
      </c>
      <c r="AB253" s="1113">
        <v>-78964</v>
      </c>
      <c r="AC253" s="1113">
        <v>96389</v>
      </c>
      <c r="AD253" s="1113">
        <v>0</v>
      </c>
      <c r="AE253" s="1113">
        <v>0</v>
      </c>
      <c r="AF253" s="271">
        <v>0</v>
      </c>
      <c r="AG253" s="271">
        <v>16282799</v>
      </c>
      <c r="AH253" s="1113">
        <v>-263</v>
      </c>
      <c r="AI253" s="1113">
        <v>-67442</v>
      </c>
      <c r="AJ253" s="1113">
        <v>202900</v>
      </c>
      <c r="AK253" s="1113">
        <v>-74102</v>
      </c>
      <c r="AL253" s="271">
        <v>-4551</v>
      </c>
      <c r="AM253" s="271">
        <v>0</v>
      </c>
      <c r="AN253" s="1113">
        <v>297189</v>
      </c>
      <c r="AO253" s="1113">
        <v>117253</v>
      </c>
      <c r="AP253" s="1113">
        <v>0</v>
      </c>
      <c r="AQ253" s="271">
        <v>197771</v>
      </c>
      <c r="AR253" s="1113">
        <v>0</v>
      </c>
      <c r="AS253" s="1113">
        <v>0</v>
      </c>
      <c r="AT253" s="1113">
        <v>11541</v>
      </c>
      <c r="AU253" s="1113">
        <v>144777</v>
      </c>
      <c r="AV253" s="271">
        <v>44389629</v>
      </c>
      <c r="AW253" s="1113">
        <v>23076888</v>
      </c>
      <c r="AX253" s="1113">
        <v>7593</v>
      </c>
      <c r="AY253" s="1113">
        <v>-163680</v>
      </c>
      <c r="AZ253" s="1113">
        <v>-13323</v>
      </c>
      <c r="BA253" s="271">
        <v>-117412</v>
      </c>
      <c r="BB253" s="271">
        <v>0</v>
      </c>
      <c r="BC253" s="1113">
        <v>62390</v>
      </c>
      <c r="BD253" s="271">
        <v>-123666</v>
      </c>
      <c r="BE253" s="1113">
        <v>0</v>
      </c>
      <c r="BF253" s="1113">
        <v>3757</v>
      </c>
      <c r="BG253" s="1113">
        <v>3059421</v>
      </c>
      <c r="BH253" s="1113">
        <v>0</v>
      </c>
      <c r="BI253" s="1113">
        <v>238949</v>
      </c>
      <c r="BJ253" s="1113">
        <v>-406360</v>
      </c>
      <c r="BK253" s="1113">
        <v>0</v>
      </c>
      <c r="BL253" s="271">
        <v>0</v>
      </c>
      <c r="BM253" s="1113">
        <v>4620339</v>
      </c>
      <c r="BN253" s="1113">
        <v>1393193</v>
      </c>
      <c r="BO253" s="1113">
        <v>-235854</v>
      </c>
      <c r="BP253" s="1113">
        <v>6254155</v>
      </c>
      <c r="BQ253" s="1113">
        <v>22175589</v>
      </c>
      <c r="BR253" s="1113">
        <v>27471</v>
      </c>
      <c r="BS253" s="1113">
        <v>-32105</v>
      </c>
      <c r="BT253" s="300">
        <v>0</v>
      </c>
      <c r="BU253" s="300">
        <v>5025887</v>
      </c>
      <c r="BV253" s="300">
        <v>-132917</v>
      </c>
      <c r="BW253" s="300">
        <v>988062</v>
      </c>
      <c r="BX253" s="300">
        <v>122723</v>
      </c>
      <c r="BY253" s="300">
        <v>0</v>
      </c>
      <c r="BZ253" s="300">
        <v>7416883</v>
      </c>
      <c r="CA253" s="300">
        <v>-55546</v>
      </c>
      <c r="CB253" s="300">
        <v>0</v>
      </c>
      <c r="CC253" s="300">
        <v>115581</v>
      </c>
      <c r="CD253" s="300">
        <v>0</v>
      </c>
      <c r="CE253" s="300">
        <v>1935286</v>
      </c>
    </row>
    <row r="254" spans="1:83" x14ac:dyDescent="0.3">
      <c r="A254" s="271"/>
      <c r="B254" s="271">
        <v>595</v>
      </c>
      <c r="C254" s="271" t="s">
        <v>682</v>
      </c>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71"/>
      <c r="AE254" s="271"/>
      <c r="AF254" s="271"/>
      <c r="AG254" s="271"/>
      <c r="AH254" s="271"/>
      <c r="AI254" s="271"/>
      <c r="AJ254" s="271"/>
      <c r="AK254" s="271"/>
      <c r="AL254" s="271"/>
      <c r="AM254" s="271"/>
      <c r="AN254" s="271"/>
      <c r="AO254" s="271"/>
      <c r="AP254" s="271"/>
      <c r="AQ254" s="271"/>
      <c r="AR254" s="271"/>
      <c r="AS254" s="271"/>
      <c r="AT254" s="271"/>
      <c r="AU254" s="271"/>
      <c r="AV254" s="271"/>
      <c r="AW254" s="271"/>
      <c r="AX254" s="271"/>
      <c r="AY254" s="271"/>
      <c r="AZ254" s="271"/>
      <c r="BA254" s="271"/>
      <c r="BB254" s="271"/>
      <c r="BC254" s="271"/>
      <c r="BD254" s="271"/>
      <c r="BE254" s="271"/>
      <c r="BF254" s="271"/>
      <c r="BG254" s="271"/>
      <c r="BH254" s="271"/>
      <c r="BI254" s="271"/>
      <c r="BJ254" s="271"/>
      <c r="BK254" s="271"/>
      <c r="BL254" s="271"/>
      <c r="BM254" s="271"/>
      <c r="BN254" s="271"/>
      <c r="BO254" s="271"/>
      <c r="BP254" s="271"/>
      <c r="BQ254" s="271"/>
      <c r="BR254" s="271"/>
      <c r="BS254" s="271"/>
    </row>
    <row r="255" spans="1:83" x14ac:dyDescent="0.3">
      <c r="A255" s="271">
        <v>596</v>
      </c>
      <c r="B255" s="271">
        <v>596</v>
      </c>
      <c r="C255" s="271" t="s">
        <v>616</v>
      </c>
      <c r="D255" s="271"/>
      <c r="E255" s="271">
        <v>52</v>
      </c>
      <c r="F255" s="271">
        <v>52</v>
      </c>
      <c r="G255" s="271">
        <v>0</v>
      </c>
      <c r="H255" s="271">
        <v>52</v>
      </c>
      <c r="I255" s="271">
        <v>52</v>
      </c>
      <c r="J255" s="271">
        <v>52</v>
      </c>
      <c r="K255" s="271">
        <v>0</v>
      </c>
      <c r="L255" s="271">
        <v>52</v>
      </c>
      <c r="M255" s="271">
        <v>52</v>
      </c>
      <c r="N255" s="271">
        <v>52</v>
      </c>
      <c r="O255" s="271">
        <v>0</v>
      </c>
      <c r="P255" s="271">
        <v>0</v>
      </c>
      <c r="Q255" s="271">
        <v>52</v>
      </c>
      <c r="R255" s="271">
        <v>52</v>
      </c>
      <c r="S255" s="271">
        <v>52</v>
      </c>
      <c r="T255" s="271">
        <v>52</v>
      </c>
      <c r="U255" s="271">
        <v>52</v>
      </c>
      <c r="V255" s="271">
        <v>52</v>
      </c>
      <c r="W255" s="271">
        <v>52</v>
      </c>
      <c r="X255" s="271">
        <v>51</v>
      </c>
      <c r="Y255" s="271">
        <v>52</v>
      </c>
      <c r="Z255" s="271">
        <v>52</v>
      </c>
      <c r="AA255" s="271">
        <v>52</v>
      </c>
      <c r="AB255" s="271">
        <v>52</v>
      </c>
      <c r="AC255" s="271">
        <v>52</v>
      </c>
      <c r="AD255" s="271">
        <v>0</v>
      </c>
      <c r="AE255" s="271">
        <v>0</v>
      </c>
      <c r="AF255" s="271">
        <v>0</v>
      </c>
      <c r="AG255" s="271">
        <v>52</v>
      </c>
      <c r="AH255" s="271">
        <v>52</v>
      </c>
      <c r="AI255" s="271">
        <v>52</v>
      </c>
      <c r="AJ255" s="271">
        <v>52</v>
      </c>
      <c r="AK255" s="271">
        <v>52</v>
      </c>
      <c r="AL255" s="271">
        <v>52</v>
      </c>
      <c r="AM255" s="271">
        <v>0</v>
      </c>
      <c r="AN255" s="271">
        <v>52</v>
      </c>
      <c r="AO255" s="271">
        <v>52</v>
      </c>
      <c r="AP255" s="271">
        <v>52</v>
      </c>
      <c r="AQ255" s="271">
        <v>52</v>
      </c>
      <c r="AR255" s="271">
        <v>52</v>
      </c>
      <c r="AS255" s="271">
        <v>52</v>
      </c>
      <c r="AT255" s="271">
        <v>52</v>
      </c>
      <c r="AU255" s="271">
        <v>52</v>
      </c>
      <c r="AV255" s="271">
        <v>52</v>
      </c>
      <c r="AW255" s="271">
        <v>52</v>
      </c>
      <c r="AX255" s="271">
        <v>52</v>
      </c>
      <c r="AY255" s="271">
        <v>52</v>
      </c>
      <c r="AZ255" s="271">
        <v>52</v>
      </c>
      <c r="BA255" s="271">
        <v>52</v>
      </c>
      <c r="BB255" s="271">
        <v>0</v>
      </c>
      <c r="BC255" s="271">
        <v>52</v>
      </c>
      <c r="BD255" s="271">
        <v>52</v>
      </c>
      <c r="BE255" s="271">
        <v>52</v>
      </c>
      <c r="BF255" s="271">
        <v>52</v>
      </c>
      <c r="BG255" s="271">
        <v>52</v>
      </c>
      <c r="BH255" s="271">
        <v>0</v>
      </c>
      <c r="BI255" s="271">
        <v>52</v>
      </c>
      <c r="BJ255" s="271">
        <v>52</v>
      </c>
      <c r="BK255" s="271">
        <v>52</v>
      </c>
      <c r="BL255" s="271">
        <v>0</v>
      </c>
      <c r="BM255" s="271">
        <v>52</v>
      </c>
      <c r="BN255" s="271">
        <v>52</v>
      </c>
      <c r="BO255" s="271">
        <v>52</v>
      </c>
      <c r="BP255" s="271">
        <v>52</v>
      </c>
      <c r="BQ255" s="271">
        <v>52</v>
      </c>
      <c r="BR255" s="271">
        <v>52</v>
      </c>
      <c r="BS255" s="271">
        <v>52</v>
      </c>
      <c r="BT255" s="300">
        <v>51</v>
      </c>
      <c r="BU255" s="300">
        <v>52</v>
      </c>
      <c r="BV255" s="300">
        <v>52</v>
      </c>
      <c r="BW255" s="300">
        <v>52</v>
      </c>
      <c r="BX255" s="300">
        <v>52</v>
      </c>
      <c r="BY255" s="300">
        <v>0</v>
      </c>
      <c r="BZ255" s="300">
        <v>52</v>
      </c>
      <c r="CA255" s="300">
        <v>52</v>
      </c>
      <c r="CB255" s="300">
        <v>52</v>
      </c>
      <c r="CC255" s="300">
        <v>52</v>
      </c>
      <c r="CD255" s="300">
        <v>52</v>
      </c>
      <c r="CE255" s="300">
        <v>52</v>
      </c>
    </row>
    <row r="256" spans="1:83" x14ac:dyDescent="0.3">
      <c r="A256" s="271">
        <v>597</v>
      </c>
      <c r="B256" s="271">
        <v>597</v>
      </c>
      <c r="C256" s="271" t="s">
        <v>683</v>
      </c>
      <c r="D256" s="271"/>
      <c r="E256" s="1113">
        <v>2036</v>
      </c>
      <c r="F256" s="1113">
        <v>4467</v>
      </c>
      <c r="G256" s="1113">
        <v>2924</v>
      </c>
      <c r="H256" s="1113">
        <v>22408</v>
      </c>
      <c r="I256" s="1113">
        <v>5278</v>
      </c>
      <c r="J256" s="271">
        <v>3244</v>
      </c>
      <c r="K256" s="1113">
        <v>1207</v>
      </c>
      <c r="L256" s="1113">
        <v>2553</v>
      </c>
      <c r="M256" s="1113">
        <v>52408</v>
      </c>
      <c r="N256" s="271">
        <v>4136313</v>
      </c>
      <c r="O256" s="1113">
        <v>56951</v>
      </c>
      <c r="P256" s="1113">
        <v>57587</v>
      </c>
      <c r="Q256" s="1113">
        <v>0</v>
      </c>
      <c r="R256" s="1113">
        <v>211390</v>
      </c>
      <c r="S256" s="271">
        <v>521</v>
      </c>
      <c r="T256" s="1113">
        <v>3916</v>
      </c>
      <c r="U256" s="1113">
        <v>10198</v>
      </c>
      <c r="V256" s="1113">
        <v>379</v>
      </c>
      <c r="W256" s="271">
        <v>87156</v>
      </c>
      <c r="X256" s="271">
        <v>6562</v>
      </c>
      <c r="Y256" s="1113">
        <v>2055</v>
      </c>
      <c r="Z256" s="1113">
        <v>6477</v>
      </c>
      <c r="AA256" s="1113">
        <v>1270786</v>
      </c>
      <c r="AB256" s="1113">
        <v>97462</v>
      </c>
      <c r="AC256" s="1113">
        <v>3992</v>
      </c>
      <c r="AD256" s="1113">
        <v>832311</v>
      </c>
      <c r="AE256" s="271">
        <v>2906</v>
      </c>
      <c r="AF256" s="1113">
        <v>0</v>
      </c>
      <c r="AG256" s="1113">
        <v>1890107</v>
      </c>
      <c r="AH256" s="1113">
        <v>695</v>
      </c>
      <c r="AI256" s="1113">
        <v>624</v>
      </c>
      <c r="AJ256" s="1113">
        <v>61424</v>
      </c>
      <c r="AK256" s="1113">
        <v>38</v>
      </c>
      <c r="AL256" s="271">
        <v>0</v>
      </c>
      <c r="AM256" s="271">
        <v>0</v>
      </c>
      <c r="AN256" s="1113">
        <v>1071</v>
      </c>
      <c r="AO256" s="1113">
        <v>225370</v>
      </c>
      <c r="AP256" s="1113">
        <v>433</v>
      </c>
      <c r="AQ256" s="1113">
        <v>127835</v>
      </c>
      <c r="AR256" s="1113">
        <v>20509</v>
      </c>
      <c r="AS256" s="1113">
        <v>1062</v>
      </c>
      <c r="AT256" s="1113">
        <v>2461</v>
      </c>
      <c r="AU256" s="1113">
        <v>11864</v>
      </c>
      <c r="AV256" s="271">
        <v>14301831</v>
      </c>
      <c r="AW256" s="1113">
        <v>10985625</v>
      </c>
      <c r="AX256" s="1113">
        <v>582</v>
      </c>
      <c r="AY256" s="1113">
        <v>3829</v>
      </c>
      <c r="AZ256" s="271">
        <v>8848</v>
      </c>
      <c r="BA256" s="271">
        <v>44</v>
      </c>
      <c r="BB256" s="1113">
        <v>0</v>
      </c>
      <c r="BC256" s="1113">
        <v>88294</v>
      </c>
      <c r="BD256" s="1113">
        <v>7263</v>
      </c>
      <c r="BE256" s="1113">
        <v>91</v>
      </c>
      <c r="BF256" s="1113">
        <v>700</v>
      </c>
      <c r="BG256" s="271">
        <v>472189</v>
      </c>
      <c r="BH256" s="1113">
        <v>11</v>
      </c>
      <c r="BI256" s="1113">
        <v>419505</v>
      </c>
      <c r="BJ256" s="271">
        <v>47413</v>
      </c>
      <c r="BK256" s="1113">
        <v>4304</v>
      </c>
      <c r="BL256" s="1113">
        <v>1034</v>
      </c>
      <c r="BM256" s="271">
        <v>433194</v>
      </c>
      <c r="BN256" s="1113">
        <v>551927</v>
      </c>
      <c r="BO256" s="1113">
        <v>2300</v>
      </c>
      <c r="BP256" s="1113">
        <v>2558474</v>
      </c>
      <c r="BQ256" s="1113">
        <v>5589021</v>
      </c>
      <c r="BR256" s="1113">
        <v>2002</v>
      </c>
      <c r="BS256" s="1113">
        <v>185629</v>
      </c>
      <c r="BT256" s="300">
        <v>9668</v>
      </c>
      <c r="BU256" s="300">
        <v>504215</v>
      </c>
      <c r="BV256" s="300">
        <v>0</v>
      </c>
      <c r="BW256" s="300">
        <v>3877</v>
      </c>
      <c r="BX256" s="300">
        <v>215717</v>
      </c>
      <c r="BY256" s="300">
        <v>0</v>
      </c>
      <c r="BZ256" s="300">
        <v>1132540</v>
      </c>
      <c r="CA256" s="300">
        <v>5749</v>
      </c>
      <c r="CB256" s="300">
        <v>161480</v>
      </c>
      <c r="CC256" s="300">
        <v>0</v>
      </c>
      <c r="CD256" s="300">
        <v>31539</v>
      </c>
      <c r="CE256" s="300">
        <v>1256807</v>
      </c>
    </row>
    <row r="257" spans="1:83" x14ac:dyDescent="0.3">
      <c r="A257" s="271"/>
      <c r="B257" s="271"/>
      <c r="C257" s="271"/>
      <c r="D257" s="271"/>
      <c r="E257" s="271" t="s">
        <v>1771</v>
      </c>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71"/>
      <c r="AE257" s="271"/>
      <c r="AF257" s="271"/>
      <c r="AG257" s="271"/>
      <c r="AH257" s="271"/>
      <c r="AI257" s="271"/>
      <c r="AJ257" s="271"/>
      <c r="AK257" s="271"/>
      <c r="AL257" s="271"/>
      <c r="AM257" s="271"/>
      <c r="AN257" s="271"/>
      <c r="AO257" s="271"/>
      <c r="AP257" s="271"/>
      <c r="AQ257" s="271"/>
      <c r="AR257" s="271"/>
      <c r="AS257" s="271"/>
      <c r="AT257" s="271"/>
      <c r="AU257" s="271"/>
      <c r="AV257" s="271"/>
      <c r="AW257" s="271"/>
      <c r="AX257" s="271"/>
      <c r="AY257" s="271"/>
      <c r="AZ257" s="271"/>
      <c r="BA257" s="271"/>
      <c r="BB257" s="271"/>
      <c r="BC257" s="271"/>
      <c r="BD257" s="271"/>
      <c r="BE257" s="271"/>
      <c r="BF257" s="271"/>
      <c r="BG257" s="271"/>
      <c r="BH257" s="271"/>
      <c r="BI257" s="271"/>
      <c r="BJ257" s="271"/>
      <c r="BK257" s="271"/>
      <c r="BL257" s="271"/>
      <c r="BM257" s="271"/>
      <c r="BN257" s="271"/>
      <c r="BO257" s="271"/>
      <c r="BP257" s="271"/>
      <c r="BQ257" s="271"/>
      <c r="BR257" s="271"/>
      <c r="BS257" s="271"/>
    </row>
    <row r="258" spans="1:83" x14ac:dyDescent="0.3">
      <c r="A258" s="271">
        <v>598</v>
      </c>
      <c r="B258" s="271">
        <v>598</v>
      </c>
      <c r="C258" s="271" t="s">
        <v>677</v>
      </c>
      <c r="D258" s="271"/>
      <c r="E258" s="1113">
        <v>0</v>
      </c>
      <c r="F258" s="271">
        <v>0</v>
      </c>
      <c r="G258" s="271">
        <v>0</v>
      </c>
      <c r="H258" s="1113">
        <v>0</v>
      </c>
      <c r="I258" s="271">
        <v>0</v>
      </c>
      <c r="J258" s="271">
        <v>0</v>
      </c>
      <c r="K258" s="271">
        <v>0</v>
      </c>
      <c r="L258" s="271">
        <v>0</v>
      </c>
      <c r="M258" s="1113">
        <v>25110</v>
      </c>
      <c r="N258" s="271">
        <v>892507</v>
      </c>
      <c r="O258" s="1113">
        <v>0</v>
      </c>
      <c r="P258" s="271">
        <v>0</v>
      </c>
      <c r="Q258" s="1113">
        <v>0</v>
      </c>
      <c r="R258" s="1113">
        <v>18601</v>
      </c>
      <c r="S258" s="271">
        <v>0</v>
      </c>
      <c r="T258" s="271">
        <v>0</v>
      </c>
      <c r="U258" s="1113">
        <v>0</v>
      </c>
      <c r="V258" s="271">
        <v>0</v>
      </c>
      <c r="W258" s="271">
        <v>31821</v>
      </c>
      <c r="X258" s="271">
        <v>0</v>
      </c>
      <c r="Y258" s="1113">
        <v>0</v>
      </c>
      <c r="Z258" s="271">
        <v>0</v>
      </c>
      <c r="AA258" s="271">
        <v>31178</v>
      </c>
      <c r="AB258" s="271">
        <v>0</v>
      </c>
      <c r="AC258" s="1113">
        <v>0</v>
      </c>
      <c r="AD258" s="1113">
        <v>257275</v>
      </c>
      <c r="AE258" s="271">
        <v>0</v>
      </c>
      <c r="AF258" s="271">
        <v>0</v>
      </c>
      <c r="AG258" s="271">
        <v>1564928</v>
      </c>
      <c r="AH258" s="1113">
        <v>0</v>
      </c>
      <c r="AI258" s="1113">
        <v>0</v>
      </c>
      <c r="AJ258" s="271">
        <v>15924</v>
      </c>
      <c r="AK258" s="1113">
        <v>0</v>
      </c>
      <c r="AL258" s="271">
        <v>0</v>
      </c>
      <c r="AM258" s="271">
        <v>0</v>
      </c>
      <c r="AN258" s="271">
        <v>0</v>
      </c>
      <c r="AO258" s="271">
        <v>19194</v>
      </c>
      <c r="AP258" s="271">
        <v>0</v>
      </c>
      <c r="AQ258" s="271">
        <v>26211</v>
      </c>
      <c r="AR258" s="271">
        <v>0</v>
      </c>
      <c r="AS258" s="1113">
        <v>0</v>
      </c>
      <c r="AT258" s="1113">
        <v>0</v>
      </c>
      <c r="AU258" s="1113">
        <v>0</v>
      </c>
      <c r="AV258" s="271">
        <v>2658344</v>
      </c>
      <c r="AW258" s="1113">
        <v>456393</v>
      </c>
      <c r="AX258" s="1113">
        <v>0</v>
      </c>
      <c r="AY258" s="1113">
        <v>0</v>
      </c>
      <c r="AZ258" s="271">
        <v>0</v>
      </c>
      <c r="BA258" s="271">
        <v>0</v>
      </c>
      <c r="BB258" s="271">
        <v>0</v>
      </c>
      <c r="BC258" s="1113">
        <v>15510</v>
      </c>
      <c r="BD258" s="271">
        <v>0</v>
      </c>
      <c r="BE258" s="271">
        <v>0</v>
      </c>
      <c r="BF258" s="1113">
        <v>0</v>
      </c>
      <c r="BG258" s="1113">
        <v>0</v>
      </c>
      <c r="BH258" s="271">
        <v>0</v>
      </c>
      <c r="BI258" s="1113">
        <v>42201</v>
      </c>
      <c r="BJ258" s="271">
        <v>40704</v>
      </c>
      <c r="BK258" s="271">
        <v>0</v>
      </c>
      <c r="BL258" s="1113">
        <v>0</v>
      </c>
      <c r="BM258" s="271">
        <v>129941</v>
      </c>
      <c r="BN258" s="271">
        <v>34524</v>
      </c>
      <c r="BO258" s="271">
        <v>0</v>
      </c>
      <c r="BP258" s="1113">
        <v>287178</v>
      </c>
      <c r="BQ258" s="1113">
        <v>712815</v>
      </c>
      <c r="BR258" s="271">
        <v>0</v>
      </c>
      <c r="BS258" s="1113">
        <v>26611</v>
      </c>
      <c r="BT258" s="300">
        <v>0</v>
      </c>
      <c r="BU258" s="300">
        <v>33238</v>
      </c>
      <c r="BV258" s="300">
        <v>0</v>
      </c>
      <c r="BW258" s="300">
        <v>0</v>
      </c>
      <c r="BX258" s="300">
        <v>2052</v>
      </c>
      <c r="BY258" s="300">
        <v>0</v>
      </c>
      <c r="BZ258" s="300">
        <v>0</v>
      </c>
      <c r="CA258" s="300">
        <v>0</v>
      </c>
      <c r="CB258" s="300">
        <v>12863</v>
      </c>
      <c r="CC258" s="300">
        <v>0</v>
      </c>
      <c r="CD258" s="300">
        <v>22808</v>
      </c>
      <c r="CE258" s="300">
        <v>33551</v>
      </c>
    </row>
    <row r="259" spans="1:83" x14ac:dyDescent="0.3">
      <c r="A259" s="271">
        <v>599</v>
      </c>
      <c r="B259" s="271">
        <v>599</v>
      </c>
      <c r="C259" s="271" t="s">
        <v>678</v>
      </c>
      <c r="D259" s="271"/>
      <c r="E259" s="1113">
        <v>27589</v>
      </c>
      <c r="F259" s="1113">
        <v>99372</v>
      </c>
      <c r="G259" s="271">
        <v>0</v>
      </c>
      <c r="H259" s="1113">
        <v>0</v>
      </c>
      <c r="I259" s="271">
        <v>0</v>
      </c>
      <c r="J259" s="1113">
        <v>0</v>
      </c>
      <c r="K259" s="1113">
        <v>0</v>
      </c>
      <c r="L259" s="271">
        <v>0</v>
      </c>
      <c r="M259" s="1113">
        <v>609707</v>
      </c>
      <c r="N259" s="271">
        <v>15458716</v>
      </c>
      <c r="O259" s="1113">
        <v>0</v>
      </c>
      <c r="P259" s="271">
        <v>279484</v>
      </c>
      <c r="Q259" s="1113">
        <v>0</v>
      </c>
      <c r="R259" s="1113">
        <v>930199</v>
      </c>
      <c r="S259" s="271">
        <v>0</v>
      </c>
      <c r="T259" s="271">
        <v>0</v>
      </c>
      <c r="U259" s="1113">
        <v>65475</v>
      </c>
      <c r="V259" s="271">
        <v>57004</v>
      </c>
      <c r="W259" s="271">
        <v>896132</v>
      </c>
      <c r="X259" s="271">
        <v>240477</v>
      </c>
      <c r="Y259" s="1113">
        <v>0</v>
      </c>
      <c r="Z259" s="1113">
        <v>146525</v>
      </c>
      <c r="AA259" s="1113">
        <v>980487</v>
      </c>
      <c r="AB259" s="1113">
        <v>0</v>
      </c>
      <c r="AC259" s="1113">
        <v>0</v>
      </c>
      <c r="AD259" s="1113">
        <v>3526070</v>
      </c>
      <c r="AE259" s="271">
        <v>27878</v>
      </c>
      <c r="AF259" s="271">
        <v>0</v>
      </c>
      <c r="AG259" s="271">
        <v>19972541</v>
      </c>
      <c r="AH259" s="1113">
        <v>0</v>
      </c>
      <c r="AI259" s="1113">
        <v>0</v>
      </c>
      <c r="AJ259" s="1113">
        <v>186367</v>
      </c>
      <c r="AK259" s="1113">
        <v>46781</v>
      </c>
      <c r="AL259" s="271">
        <v>0</v>
      </c>
      <c r="AM259" s="271">
        <v>0</v>
      </c>
      <c r="AN259" s="1113">
        <v>0</v>
      </c>
      <c r="AO259" s="271">
        <v>1050974</v>
      </c>
      <c r="AP259" s="1113">
        <v>0</v>
      </c>
      <c r="AQ259" s="271">
        <v>299808</v>
      </c>
      <c r="AR259" s="1113">
        <v>67565</v>
      </c>
      <c r="AS259" s="1113">
        <v>0</v>
      </c>
      <c r="AT259" s="1113">
        <v>0</v>
      </c>
      <c r="AU259" s="1113">
        <v>0</v>
      </c>
      <c r="AV259" s="271">
        <v>28897352</v>
      </c>
      <c r="AW259" s="1113">
        <v>7938326</v>
      </c>
      <c r="AX259" s="1113">
        <v>34717</v>
      </c>
      <c r="AY259" s="1113">
        <v>0</v>
      </c>
      <c r="AZ259" s="271">
        <v>0</v>
      </c>
      <c r="BA259" s="271">
        <v>0</v>
      </c>
      <c r="BB259" s="1113">
        <v>0</v>
      </c>
      <c r="BC259" s="1113">
        <v>460265</v>
      </c>
      <c r="BD259" s="271">
        <v>0</v>
      </c>
      <c r="BE259" s="271">
        <v>0</v>
      </c>
      <c r="BF259" s="1113">
        <v>0</v>
      </c>
      <c r="BG259" s="1113">
        <v>0</v>
      </c>
      <c r="BH259" s="271">
        <v>0</v>
      </c>
      <c r="BI259" s="1113">
        <v>325590</v>
      </c>
      <c r="BJ259" s="271">
        <v>295962</v>
      </c>
      <c r="BK259" s="1113">
        <v>0</v>
      </c>
      <c r="BL259" s="1113">
        <v>0</v>
      </c>
      <c r="BM259" s="271">
        <v>1257814</v>
      </c>
      <c r="BN259" s="1113">
        <v>1069048</v>
      </c>
      <c r="BO259" s="1113">
        <v>58218</v>
      </c>
      <c r="BP259" s="1113">
        <v>3544975</v>
      </c>
      <c r="BQ259" s="1113">
        <v>12753352</v>
      </c>
      <c r="BR259" s="1113">
        <v>0</v>
      </c>
      <c r="BS259" s="1113">
        <v>409918</v>
      </c>
      <c r="BT259" s="300">
        <v>0</v>
      </c>
      <c r="BU259" s="300">
        <v>727333</v>
      </c>
      <c r="BV259" s="300">
        <v>0</v>
      </c>
      <c r="BW259" s="300">
        <v>0</v>
      </c>
      <c r="BX259" s="300">
        <v>216140</v>
      </c>
      <c r="BY259" s="300">
        <v>0</v>
      </c>
      <c r="BZ259" s="300">
        <v>1555524</v>
      </c>
      <c r="CA259" s="300">
        <v>0</v>
      </c>
      <c r="CB259" s="300">
        <v>565479</v>
      </c>
      <c r="CC259" s="300">
        <v>0</v>
      </c>
      <c r="CD259" s="300">
        <v>306896</v>
      </c>
      <c r="CE259" s="300">
        <v>2312062</v>
      </c>
    </row>
    <row r="260" spans="1:83" x14ac:dyDescent="0.3">
      <c r="A260" s="271"/>
      <c r="B260" s="271">
        <v>600</v>
      </c>
      <c r="C260" s="271" t="s">
        <v>1772</v>
      </c>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71"/>
      <c r="AE260" s="271"/>
      <c r="AF260" s="271"/>
      <c r="AG260" s="271"/>
      <c r="AH260" s="271"/>
      <c r="AI260" s="271"/>
      <c r="AJ260" s="271"/>
      <c r="AK260" s="271"/>
      <c r="AL260" s="271"/>
      <c r="AM260" s="271"/>
      <c r="AN260" s="271"/>
      <c r="AO260" s="271"/>
      <c r="AP260" s="271"/>
      <c r="AQ260" s="271"/>
      <c r="AR260" s="271"/>
      <c r="AS260" s="271"/>
      <c r="AT260" s="271"/>
      <c r="AU260" s="271"/>
      <c r="AV260" s="271"/>
      <c r="AW260" s="271"/>
      <c r="AX260" s="271"/>
      <c r="AY260" s="271"/>
      <c r="AZ260" s="271"/>
      <c r="BA260" s="271"/>
      <c r="BB260" s="271"/>
      <c r="BC260" s="271"/>
      <c r="BD260" s="271"/>
      <c r="BE260" s="271"/>
      <c r="BF260" s="271"/>
      <c r="BG260" s="271"/>
      <c r="BH260" s="271"/>
      <c r="BI260" s="271"/>
      <c r="BJ260" s="271"/>
      <c r="BK260" s="271"/>
      <c r="BL260" s="271"/>
      <c r="BM260" s="271"/>
      <c r="BN260" s="271"/>
      <c r="BO260" s="271"/>
      <c r="BP260" s="271"/>
      <c r="BQ260" s="271"/>
      <c r="BR260" s="271"/>
      <c r="BS260" s="271"/>
    </row>
    <row r="261" spans="1:83" x14ac:dyDescent="0.3">
      <c r="A261" s="271"/>
      <c r="B261" s="271">
        <v>601</v>
      </c>
      <c r="C261" s="271" t="s">
        <v>1773</v>
      </c>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71"/>
      <c r="AE261" s="271"/>
      <c r="AF261" s="271"/>
      <c r="AG261" s="271"/>
      <c r="AH261" s="271"/>
      <c r="AI261" s="271"/>
      <c r="AJ261" s="271"/>
      <c r="AK261" s="271"/>
      <c r="AL261" s="271"/>
      <c r="AM261" s="271"/>
      <c r="AN261" s="271"/>
      <c r="AO261" s="271"/>
      <c r="AP261" s="271"/>
      <c r="AQ261" s="271"/>
      <c r="AR261" s="271"/>
      <c r="AS261" s="271"/>
      <c r="AT261" s="271"/>
      <c r="AU261" s="271"/>
      <c r="AV261" s="271"/>
      <c r="AW261" s="271"/>
      <c r="AX261" s="271"/>
      <c r="AY261" s="271"/>
      <c r="AZ261" s="271"/>
      <c r="BA261" s="271"/>
      <c r="BB261" s="271"/>
      <c r="BC261" s="271"/>
      <c r="BD261" s="271"/>
      <c r="BE261" s="271"/>
      <c r="BF261" s="271"/>
      <c r="BG261" s="271"/>
      <c r="BH261" s="271"/>
      <c r="BI261" s="271"/>
      <c r="BJ261" s="271"/>
      <c r="BK261" s="271"/>
      <c r="BL261" s="271"/>
      <c r="BM261" s="271"/>
      <c r="BN261" s="271"/>
      <c r="BO261" s="271"/>
      <c r="BP261" s="271"/>
      <c r="BQ261" s="271"/>
      <c r="BR261" s="271"/>
      <c r="BS261" s="271"/>
    </row>
    <row r="262" spans="1:83" x14ac:dyDescent="0.3">
      <c r="A262" s="271">
        <v>602</v>
      </c>
      <c r="B262" s="271">
        <v>602</v>
      </c>
      <c r="C262" s="271" t="s">
        <v>705</v>
      </c>
      <c r="D262" s="271"/>
      <c r="E262" s="271">
        <v>0</v>
      </c>
      <c r="F262" s="271">
        <v>0</v>
      </c>
      <c r="G262" s="271">
        <v>0</v>
      </c>
      <c r="H262" s="271">
        <v>0</v>
      </c>
      <c r="I262" s="271">
        <v>0</v>
      </c>
      <c r="J262" s="271">
        <v>0</v>
      </c>
      <c r="K262" s="271">
        <v>0</v>
      </c>
      <c r="L262" s="271">
        <v>0</v>
      </c>
      <c r="M262" s="271">
        <v>0</v>
      </c>
      <c r="N262" s="271">
        <v>0</v>
      </c>
      <c r="O262" s="271">
        <v>0</v>
      </c>
      <c r="P262" s="271">
        <v>0</v>
      </c>
      <c r="Q262" s="271">
        <v>0</v>
      </c>
      <c r="R262" s="271">
        <v>0</v>
      </c>
      <c r="S262" s="271">
        <v>0</v>
      </c>
      <c r="T262" s="271">
        <v>0</v>
      </c>
      <c r="U262" s="271">
        <v>0</v>
      </c>
      <c r="V262" s="271">
        <v>0</v>
      </c>
      <c r="W262" s="271">
        <v>0</v>
      </c>
      <c r="X262" s="271">
        <v>0</v>
      </c>
      <c r="Y262" s="271">
        <v>0</v>
      </c>
      <c r="Z262" s="271">
        <v>0</v>
      </c>
      <c r="AA262" s="271">
        <v>0</v>
      </c>
      <c r="AB262" s="271">
        <v>0</v>
      </c>
      <c r="AC262" s="271">
        <v>0</v>
      </c>
      <c r="AD262" s="271">
        <v>0</v>
      </c>
      <c r="AE262" s="271">
        <v>0</v>
      </c>
      <c r="AF262" s="271">
        <v>0</v>
      </c>
      <c r="AG262" s="271">
        <v>0</v>
      </c>
      <c r="AH262" s="271">
        <v>0</v>
      </c>
      <c r="AI262" s="271">
        <v>0</v>
      </c>
      <c r="AJ262" s="271">
        <v>0</v>
      </c>
      <c r="AK262" s="271">
        <v>0</v>
      </c>
      <c r="AL262" s="271">
        <v>0</v>
      </c>
      <c r="AM262" s="271">
        <v>0</v>
      </c>
      <c r="AN262" s="271">
        <v>0</v>
      </c>
      <c r="AO262" s="271">
        <v>0</v>
      </c>
      <c r="AP262" s="271">
        <v>0</v>
      </c>
      <c r="AQ262" s="271">
        <v>0</v>
      </c>
      <c r="AR262" s="271">
        <v>0</v>
      </c>
      <c r="AS262" s="271">
        <v>0</v>
      </c>
      <c r="AT262" s="271">
        <v>0</v>
      </c>
      <c r="AU262" s="271">
        <v>0</v>
      </c>
      <c r="AV262" s="271">
        <v>6648696</v>
      </c>
      <c r="AW262" s="271">
        <v>0</v>
      </c>
      <c r="AX262" s="271">
        <v>0</v>
      </c>
      <c r="AY262" s="271">
        <v>0</v>
      </c>
      <c r="AZ262" s="271">
        <v>0</v>
      </c>
      <c r="BA262" s="271">
        <v>0</v>
      </c>
      <c r="BB262" s="271">
        <v>0</v>
      </c>
      <c r="BC262" s="271">
        <v>0</v>
      </c>
      <c r="BD262" s="271">
        <v>0</v>
      </c>
      <c r="BE262" s="271">
        <v>0</v>
      </c>
      <c r="BF262" s="271">
        <v>0</v>
      </c>
      <c r="BG262" s="271">
        <v>0</v>
      </c>
      <c r="BH262" s="271">
        <v>0</v>
      </c>
      <c r="BI262" s="271">
        <v>0</v>
      </c>
      <c r="BJ262" s="271">
        <v>0</v>
      </c>
      <c r="BK262" s="271">
        <v>0</v>
      </c>
      <c r="BL262" s="271">
        <v>0</v>
      </c>
      <c r="BM262" s="271">
        <v>0</v>
      </c>
      <c r="BN262" s="271">
        <v>0</v>
      </c>
      <c r="BO262" s="271">
        <v>0</v>
      </c>
      <c r="BP262" s="271">
        <v>0</v>
      </c>
      <c r="BQ262" s="271">
        <v>0</v>
      </c>
      <c r="BR262" s="271">
        <v>0</v>
      </c>
      <c r="BS262" s="271">
        <v>0</v>
      </c>
      <c r="BT262" s="300">
        <v>0</v>
      </c>
      <c r="BU262" s="300">
        <v>0</v>
      </c>
      <c r="BV262" s="300">
        <v>0</v>
      </c>
      <c r="BW262" s="300">
        <v>0</v>
      </c>
      <c r="BX262" s="300">
        <v>0</v>
      </c>
      <c r="BY262" s="300">
        <v>0</v>
      </c>
      <c r="BZ262" s="300">
        <v>0</v>
      </c>
      <c r="CA262" s="300">
        <v>0</v>
      </c>
      <c r="CB262" s="300">
        <v>0</v>
      </c>
      <c r="CC262" s="300">
        <v>0</v>
      </c>
      <c r="CD262" s="300">
        <v>0</v>
      </c>
      <c r="CE262" s="300">
        <v>0</v>
      </c>
    </row>
    <row r="263" spans="1:83" ht="172.8" x14ac:dyDescent="0.3">
      <c r="A263" s="271">
        <v>603</v>
      </c>
      <c r="B263" s="271">
        <v>603</v>
      </c>
      <c r="C263" s="964" t="s">
        <v>692</v>
      </c>
      <c r="D263" s="271"/>
      <c r="E263" s="271">
        <v>4</v>
      </c>
      <c r="F263" s="271">
        <v>2</v>
      </c>
      <c r="G263" s="271">
        <v>2</v>
      </c>
      <c r="H263" s="271">
        <v>2</v>
      </c>
      <c r="I263" s="271">
        <v>1</v>
      </c>
      <c r="J263" s="271">
        <v>6</v>
      </c>
      <c r="K263" s="271">
        <v>4</v>
      </c>
      <c r="L263" s="271">
        <v>2</v>
      </c>
      <c r="M263" s="271">
        <v>2</v>
      </c>
      <c r="N263" s="271">
        <v>1</v>
      </c>
      <c r="O263" s="271">
        <v>2</v>
      </c>
      <c r="P263" s="271">
        <v>1</v>
      </c>
      <c r="Q263" s="271">
        <v>1</v>
      </c>
      <c r="R263" s="271">
        <v>4</v>
      </c>
      <c r="S263" s="271">
        <v>1</v>
      </c>
      <c r="T263" s="271">
        <v>2</v>
      </c>
      <c r="U263" s="271">
        <v>4</v>
      </c>
      <c r="V263" s="271">
        <v>1</v>
      </c>
      <c r="W263" s="271">
        <v>2</v>
      </c>
      <c r="X263" s="271">
        <v>2</v>
      </c>
      <c r="Y263" s="271">
        <v>4</v>
      </c>
      <c r="Z263" s="271">
        <v>4</v>
      </c>
      <c r="AA263" s="271">
        <v>2</v>
      </c>
      <c r="AB263" s="271">
        <v>4</v>
      </c>
      <c r="AC263" s="271">
        <v>2</v>
      </c>
      <c r="AD263" s="271">
        <v>1</v>
      </c>
      <c r="AE263" s="271">
        <v>2</v>
      </c>
      <c r="AF263" s="271">
        <v>0</v>
      </c>
      <c r="AG263" s="271">
        <v>2</v>
      </c>
      <c r="AH263" s="271">
        <v>6</v>
      </c>
      <c r="AI263" s="271">
        <v>2</v>
      </c>
      <c r="AJ263" s="271">
        <v>1</v>
      </c>
      <c r="AK263" s="271">
        <v>4</v>
      </c>
      <c r="AL263" s="271">
        <v>5</v>
      </c>
      <c r="AM263" s="271">
        <v>0</v>
      </c>
      <c r="AN263" s="271">
        <v>2</v>
      </c>
      <c r="AO263" s="271">
        <v>1</v>
      </c>
      <c r="AP263" s="271">
        <v>1</v>
      </c>
      <c r="AQ263" s="271">
        <v>1</v>
      </c>
      <c r="AR263" s="271">
        <v>1</v>
      </c>
      <c r="AS263" s="271">
        <v>4</v>
      </c>
      <c r="AT263" s="271">
        <v>6</v>
      </c>
      <c r="AU263" s="271">
        <v>2</v>
      </c>
      <c r="AV263" s="271">
        <v>1</v>
      </c>
      <c r="AW263" s="271">
        <v>1</v>
      </c>
      <c r="AX263" s="271">
        <v>5</v>
      </c>
      <c r="AY263" s="271">
        <v>1</v>
      </c>
      <c r="AZ263" s="271">
        <v>3</v>
      </c>
      <c r="BA263" s="271">
        <v>5</v>
      </c>
      <c r="BB263" s="271">
        <v>0</v>
      </c>
      <c r="BC263" s="271">
        <v>1</v>
      </c>
      <c r="BD263" s="271">
        <v>2</v>
      </c>
      <c r="BE263" s="271">
        <v>2</v>
      </c>
      <c r="BF263" s="271">
        <v>2</v>
      </c>
      <c r="BG263" s="271">
        <v>1</v>
      </c>
      <c r="BH263" s="271">
        <v>4</v>
      </c>
      <c r="BI263" s="271">
        <v>1</v>
      </c>
      <c r="BJ263" s="271">
        <v>4</v>
      </c>
      <c r="BK263" s="271">
        <v>1</v>
      </c>
      <c r="BL263" s="271">
        <v>2</v>
      </c>
      <c r="BM263" s="271">
        <v>4</v>
      </c>
      <c r="BN263" s="271">
        <v>2</v>
      </c>
      <c r="BO263" s="271">
        <v>4</v>
      </c>
      <c r="BP263" s="271">
        <v>1</v>
      </c>
      <c r="BQ263" s="271">
        <v>1</v>
      </c>
      <c r="BR263" s="271">
        <v>1</v>
      </c>
      <c r="BS263" s="271">
        <v>2</v>
      </c>
      <c r="BT263" s="300">
        <v>1</v>
      </c>
      <c r="BU263" s="300">
        <v>1</v>
      </c>
      <c r="BV263" s="300">
        <v>1</v>
      </c>
      <c r="BW263" s="300">
        <v>2</v>
      </c>
      <c r="BX263" s="300">
        <v>4</v>
      </c>
      <c r="BY263" s="300">
        <v>0</v>
      </c>
      <c r="BZ263" s="300">
        <v>4</v>
      </c>
      <c r="CA263" s="300">
        <v>1</v>
      </c>
      <c r="CB263" s="300">
        <v>1</v>
      </c>
      <c r="CC263" s="300">
        <v>5</v>
      </c>
      <c r="CD263" s="300">
        <v>2</v>
      </c>
      <c r="CE263" s="300">
        <v>1</v>
      </c>
    </row>
    <row r="264" spans="1:83" ht="115.2" x14ac:dyDescent="0.3">
      <c r="A264" s="271"/>
      <c r="B264" s="271">
        <v>604</v>
      </c>
      <c r="C264" s="964" t="s">
        <v>693</v>
      </c>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71"/>
      <c r="AE264" s="271"/>
      <c r="AF264" s="271"/>
      <c r="AG264" s="271"/>
      <c r="AH264" s="271"/>
      <c r="AI264" s="271"/>
      <c r="AJ264" s="271"/>
      <c r="AK264" s="271"/>
      <c r="AL264" s="271"/>
      <c r="AM264" s="271"/>
      <c r="AN264" s="271"/>
      <c r="AO264" s="271"/>
      <c r="AP264" s="271"/>
      <c r="AQ264" s="271"/>
      <c r="AR264" s="271"/>
      <c r="AS264" s="271"/>
      <c r="AT264" s="271"/>
      <c r="AU264" s="271"/>
      <c r="AV264" s="271"/>
      <c r="AW264" s="271"/>
      <c r="AX264" s="271"/>
      <c r="AY264" s="271"/>
      <c r="AZ264" s="271"/>
      <c r="BA264" s="271"/>
      <c r="BB264" s="271"/>
      <c r="BC264" s="271"/>
      <c r="BD264" s="271"/>
      <c r="BE264" s="271"/>
      <c r="BF264" s="271"/>
      <c r="BG264" s="271"/>
      <c r="BH264" s="271"/>
      <c r="BI264" s="271"/>
      <c r="BJ264" s="271"/>
      <c r="BK264" s="271"/>
      <c r="BL264" s="271"/>
      <c r="BM264" s="271"/>
      <c r="BN264" s="271"/>
      <c r="BO264" s="271"/>
      <c r="BP264" s="271"/>
      <c r="BQ264" s="271"/>
      <c r="BR264" s="271"/>
      <c r="BS264" s="271"/>
    </row>
    <row r="265" spans="1:83" x14ac:dyDescent="0.3">
      <c r="A265" s="271">
        <v>605</v>
      </c>
      <c r="B265" s="271">
        <v>605</v>
      </c>
      <c r="C265" s="271" t="s">
        <v>695</v>
      </c>
      <c r="D265" s="271"/>
      <c r="E265" s="271">
        <v>1</v>
      </c>
      <c r="F265" s="271">
        <v>1</v>
      </c>
      <c r="G265" s="271">
        <v>1</v>
      </c>
      <c r="H265" s="271">
        <v>1</v>
      </c>
      <c r="I265" s="271">
        <v>1</v>
      </c>
      <c r="J265" s="271">
        <v>1</v>
      </c>
      <c r="K265" s="271">
        <v>1</v>
      </c>
      <c r="L265" s="271">
        <v>1</v>
      </c>
      <c r="M265" s="271">
        <v>1</v>
      </c>
      <c r="N265" s="271">
        <v>1</v>
      </c>
      <c r="O265" s="271">
        <v>1</v>
      </c>
      <c r="P265" s="271">
        <v>1</v>
      </c>
      <c r="Q265" s="271">
        <v>1</v>
      </c>
      <c r="R265" s="271">
        <v>1</v>
      </c>
      <c r="S265" s="271">
        <v>1</v>
      </c>
      <c r="T265" s="271">
        <v>1</v>
      </c>
      <c r="U265" s="271">
        <v>1</v>
      </c>
      <c r="V265" s="271">
        <v>1</v>
      </c>
      <c r="W265" s="271">
        <v>1</v>
      </c>
      <c r="X265" s="271">
        <v>1</v>
      </c>
      <c r="Y265" s="271">
        <v>1</v>
      </c>
      <c r="Z265" s="271">
        <v>1</v>
      </c>
      <c r="AA265" s="271">
        <v>1</v>
      </c>
      <c r="AB265" s="271">
        <v>1</v>
      </c>
      <c r="AC265" s="271">
        <v>1</v>
      </c>
      <c r="AD265" s="271">
        <v>1</v>
      </c>
      <c r="AE265" s="271">
        <v>1</v>
      </c>
      <c r="AF265" s="271">
        <v>0</v>
      </c>
      <c r="AG265" s="271">
        <v>1</v>
      </c>
      <c r="AH265" s="271">
        <v>1</v>
      </c>
      <c r="AI265" s="271">
        <v>1</v>
      </c>
      <c r="AJ265" s="271">
        <v>1</v>
      </c>
      <c r="AK265" s="271">
        <v>1</v>
      </c>
      <c r="AL265" s="271">
        <v>1</v>
      </c>
      <c r="AM265" s="271">
        <v>0</v>
      </c>
      <c r="AN265" s="271">
        <v>1</v>
      </c>
      <c r="AO265" s="271">
        <v>1</v>
      </c>
      <c r="AP265" s="271">
        <v>1</v>
      </c>
      <c r="AQ265" s="271">
        <v>1</v>
      </c>
      <c r="AR265" s="271">
        <v>1</v>
      </c>
      <c r="AS265" s="271">
        <v>1</v>
      </c>
      <c r="AT265" s="271">
        <v>1</v>
      </c>
      <c r="AU265" s="271">
        <v>1</v>
      </c>
      <c r="AV265" s="271">
        <v>1</v>
      </c>
      <c r="AW265" s="271">
        <v>1</v>
      </c>
      <c r="AX265" s="271">
        <v>1</v>
      </c>
      <c r="AY265" s="271">
        <v>1</v>
      </c>
      <c r="AZ265" s="271">
        <v>1</v>
      </c>
      <c r="BA265" s="271">
        <v>1</v>
      </c>
      <c r="BB265" s="271">
        <v>0</v>
      </c>
      <c r="BC265" s="271">
        <v>1</v>
      </c>
      <c r="BD265" s="271">
        <v>1</v>
      </c>
      <c r="BE265" s="271">
        <v>1</v>
      </c>
      <c r="BF265" s="271">
        <v>1</v>
      </c>
      <c r="BG265" s="271">
        <v>1</v>
      </c>
      <c r="BH265" s="271">
        <v>1</v>
      </c>
      <c r="BI265" s="271">
        <v>1</v>
      </c>
      <c r="BJ265" s="271">
        <v>1</v>
      </c>
      <c r="BK265" s="271">
        <v>1</v>
      </c>
      <c r="BL265" s="271">
        <v>1</v>
      </c>
      <c r="BM265" s="271">
        <v>1</v>
      </c>
      <c r="BN265" s="271">
        <v>1</v>
      </c>
      <c r="BO265" s="271">
        <v>1</v>
      </c>
      <c r="BP265" s="271">
        <v>1</v>
      </c>
      <c r="BQ265" s="271">
        <v>1</v>
      </c>
      <c r="BR265" s="271">
        <v>1</v>
      </c>
      <c r="BS265" s="271">
        <v>1</v>
      </c>
      <c r="BT265" s="300">
        <v>1</v>
      </c>
      <c r="BU265" s="300">
        <v>1</v>
      </c>
      <c r="BV265" s="300">
        <v>1</v>
      </c>
      <c r="BW265" s="300">
        <v>1</v>
      </c>
      <c r="BX265" s="300">
        <v>1</v>
      </c>
      <c r="BY265" s="300">
        <v>0</v>
      </c>
      <c r="BZ265" s="300">
        <v>1</v>
      </c>
      <c r="CA265" s="300">
        <v>1</v>
      </c>
      <c r="CB265" s="300">
        <v>1</v>
      </c>
      <c r="CC265" s="300">
        <v>1</v>
      </c>
      <c r="CD265" s="300">
        <v>1</v>
      </c>
      <c r="CE265" s="300">
        <v>1</v>
      </c>
    </row>
    <row r="266" spans="1:83" x14ac:dyDescent="0.3">
      <c r="A266" s="271">
        <v>606</v>
      </c>
      <c r="B266" s="271">
        <v>606</v>
      </c>
      <c r="C266" s="271" t="s">
        <v>713</v>
      </c>
      <c r="D266" s="271"/>
      <c r="E266" s="271">
        <v>1</v>
      </c>
      <c r="F266" s="271">
        <v>0</v>
      </c>
      <c r="G266" s="271">
        <v>0</v>
      </c>
      <c r="H266" s="271">
        <v>0</v>
      </c>
      <c r="I266" s="271">
        <v>0</v>
      </c>
      <c r="J266" s="271">
        <v>0</v>
      </c>
      <c r="K266" s="271">
        <v>0</v>
      </c>
      <c r="L266" s="271">
        <v>1</v>
      </c>
      <c r="M266" s="271">
        <v>0</v>
      </c>
      <c r="N266" s="271">
        <v>1</v>
      </c>
      <c r="O266" s="271">
        <v>0</v>
      </c>
      <c r="P266" s="271">
        <v>1</v>
      </c>
      <c r="Q266" s="271">
        <v>1</v>
      </c>
      <c r="R266" s="271">
        <v>0</v>
      </c>
      <c r="S266" s="271">
        <v>0</v>
      </c>
      <c r="T266" s="271">
        <v>1</v>
      </c>
      <c r="U266" s="271">
        <v>0</v>
      </c>
      <c r="V266" s="271">
        <v>0</v>
      </c>
      <c r="W266" s="271">
        <v>1</v>
      </c>
      <c r="X266" s="271">
        <v>0</v>
      </c>
      <c r="Y266" s="271">
        <v>0</v>
      </c>
      <c r="Z266" s="271">
        <v>1</v>
      </c>
      <c r="AA266" s="271">
        <v>1</v>
      </c>
      <c r="AB266" s="271">
        <v>0</v>
      </c>
      <c r="AC266" s="271">
        <v>0</v>
      </c>
      <c r="AD266" s="271">
        <v>1</v>
      </c>
      <c r="AE266" s="271">
        <v>0</v>
      </c>
      <c r="AF266" s="271">
        <v>0</v>
      </c>
      <c r="AG266" s="271">
        <v>1</v>
      </c>
      <c r="AH266" s="271">
        <v>0</v>
      </c>
      <c r="AI266" s="271">
        <v>0</v>
      </c>
      <c r="AJ266" s="271">
        <v>0</v>
      </c>
      <c r="AK266" s="271">
        <v>0</v>
      </c>
      <c r="AL266" s="271">
        <v>0</v>
      </c>
      <c r="AM266" s="271">
        <v>0</v>
      </c>
      <c r="AN266" s="271">
        <v>0</v>
      </c>
      <c r="AO266" s="271">
        <v>1</v>
      </c>
      <c r="AP266" s="271">
        <v>0</v>
      </c>
      <c r="AQ266" s="271">
        <v>1</v>
      </c>
      <c r="AR266" s="271">
        <v>0</v>
      </c>
      <c r="AS266" s="271">
        <v>0</v>
      </c>
      <c r="AT266" s="271">
        <v>0</v>
      </c>
      <c r="AU266" s="271">
        <v>0</v>
      </c>
      <c r="AV266" s="271">
        <v>1</v>
      </c>
      <c r="AW266" s="271">
        <v>1</v>
      </c>
      <c r="AX266" s="271">
        <v>0</v>
      </c>
      <c r="AY266" s="271">
        <v>0</v>
      </c>
      <c r="AZ266" s="271">
        <v>0</v>
      </c>
      <c r="BA266" s="271">
        <v>0</v>
      </c>
      <c r="BB266" s="271">
        <v>0</v>
      </c>
      <c r="BC266" s="271">
        <v>0</v>
      </c>
      <c r="BD266" s="271">
        <v>0</v>
      </c>
      <c r="BE266" s="271">
        <v>0</v>
      </c>
      <c r="BF266" s="271">
        <v>0</v>
      </c>
      <c r="BG266" s="271">
        <v>0</v>
      </c>
      <c r="BH266" s="271">
        <v>0</v>
      </c>
      <c r="BI266" s="271">
        <v>1</v>
      </c>
      <c r="BJ266" s="271">
        <v>1</v>
      </c>
      <c r="BK266" s="271">
        <v>0</v>
      </c>
      <c r="BL266" s="271">
        <v>0</v>
      </c>
      <c r="BM266" s="271">
        <v>1</v>
      </c>
      <c r="BN266" s="271">
        <v>0</v>
      </c>
      <c r="BO266" s="271">
        <v>0</v>
      </c>
      <c r="BP266" s="271">
        <v>1</v>
      </c>
      <c r="BQ266" s="271">
        <v>1</v>
      </c>
      <c r="BR266" s="271">
        <v>0</v>
      </c>
      <c r="BS266" s="271">
        <v>0</v>
      </c>
      <c r="BT266" s="300">
        <v>0</v>
      </c>
      <c r="BU266" s="300">
        <v>1</v>
      </c>
      <c r="BV266" s="300">
        <v>0</v>
      </c>
      <c r="BW266" s="300">
        <v>1</v>
      </c>
      <c r="BX266" s="300">
        <v>0</v>
      </c>
      <c r="BY266" s="300">
        <v>0</v>
      </c>
      <c r="BZ266" s="300">
        <v>1</v>
      </c>
      <c r="CA266" s="300">
        <v>0</v>
      </c>
      <c r="CB266" s="300">
        <v>0</v>
      </c>
      <c r="CC266" s="300">
        <v>0</v>
      </c>
      <c r="CD266" s="300">
        <v>0</v>
      </c>
      <c r="CE266" s="300">
        <v>1</v>
      </c>
    </row>
    <row r="267" spans="1:83" x14ac:dyDescent="0.3">
      <c r="A267" s="271">
        <v>607</v>
      </c>
      <c r="B267" s="271">
        <v>607</v>
      </c>
      <c r="C267" s="271" t="s">
        <v>685</v>
      </c>
      <c r="D267" s="271"/>
      <c r="E267" s="1114">
        <v>0</v>
      </c>
      <c r="F267" s="1114">
        <v>1875072</v>
      </c>
      <c r="G267" s="271">
        <v>0</v>
      </c>
      <c r="H267" s="1114">
        <v>518604</v>
      </c>
      <c r="I267" s="271">
        <v>0</v>
      </c>
      <c r="J267" s="271">
        <v>0</v>
      </c>
      <c r="K267" s="1114">
        <v>0</v>
      </c>
      <c r="L267" s="271">
        <v>0</v>
      </c>
      <c r="M267" s="1114">
        <v>2348198</v>
      </c>
      <c r="N267" s="271">
        <v>43291013</v>
      </c>
      <c r="O267" s="1114">
        <v>0</v>
      </c>
      <c r="P267" s="271">
        <v>0</v>
      </c>
      <c r="Q267" s="1114">
        <v>0</v>
      </c>
      <c r="R267" s="1114">
        <v>0</v>
      </c>
      <c r="S267" s="271">
        <v>0</v>
      </c>
      <c r="T267" s="271">
        <v>0</v>
      </c>
      <c r="U267" s="1114">
        <v>0</v>
      </c>
      <c r="V267" s="271">
        <v>0</v>
      </c>
      <c r="W267" s="271">
        <v>1685244</v>
      </c>
      <c r="X267" s="271">
        <v>0</v>
      </c>
      <c r="Y267" s="1114">
        <v>0</v>
      </c>
      <c r="Z267" s="271">
        <v>592905</v>
      </c>
      <c r="AA267" s="271">
        <v>3621863</v>
      </c>
      <c r="AB267" s="271">
        <v>0</v>
      </c>
      <c r="AC267" s="271">
        <v>0</v>
      </c>
      <c r="AD267" s="1114">
        <v>14852366</v>
      </c>
      <c r="AE267" s="271">
        <v>0</v>
      </c>
      <c r="AF267" s="271">
        <v>0</v>
      </c>
      <c r="AG267" s="271">
        <v>53213429</v>
      </c>
      <c r="AH267" s="271">
        <v>0</v>
      </c>
      <c r="AI267" s="271">
        <v>0</v>
      </c>
      <c r="AJ267" s="1114">
        <v>594264</v>
      </c>
      <c r="AK267" s="1114">
        <v>0</v>
      </c>
      <c r="AL267" s="271">
        <v>0</v>
      </c>
      <c r="AM267" s="271">
        <v>0</v>
      </c>
      <c r="AN267" s="1114">
        <v>0</v>
      </c>
      <c r="AO267" s="271">
        <v>12001297</v>
      </c>
      <c r="AP267" s="1114">
        <v>0</v>
      </c>
      <c r="AQ267" s="271">
        <v>164885</v>
      </c>
      <c r="AR267" s="271">
        <v>0</v>
      </c>
      <c r="AS267" s="271">
        <v>0</v>
      </c>
      <c r="AT267" s="271">
        <v>0</v>
      </c>
      <c r="AU267" s="271">
        <v>0</v>
      </c>
      <c r="AV267" s="271">
        <v>137588257</v>
      </c>
      <c r="AW267" s="271">
        <v>53680537</v>
      </c>
      <c r="AX267" s="271">
        <v>0</v>
      </c>
      <c r="AY267" s="271">
        <v>0</v>
      </c>
      <c r="AZ267" s="271">
        <v>0</v>
      </c>
      <c r="BA267" s="271">
        <v>0</v>
      </c>
      <c r="BB267" s="1114">
        <v>0</v>
      </c>
      <c r="BC267" s="271">
        <v>7530444</v>
      </c>
      <c r="BD267" s="271">
        <v>0</v>
      </c>
      <c r="BE267" s="271">
        <v>0</v>
      </c>
      <c r="BF267" s="1114">
        <v>0</v>
      </c>
      <c r="BG267" s="271">
        <v>0</v>
      </c>
      <c r="BH267" s="271">
        <v>0</v>
      </c>
      <c r="BI267" s="1114">
        <v>2838472</v>
      </c>
      <c r="BJ267" s="271">
        <v>1208092</v>
      </c>
      <c r="BK267" s="271">
        <v>0</v>
      </c>
      <c r="BL267" s="271">
        <v>0</v>
      </c>
      <c r="BM267" s="271">
        <v>12903099</v>
      </c>
      <c r="BN267" s="271">
        <v>2833222</v>
      </c>
      <c r="BO267" s="271">
        <v>0</v>
      </c>
      <c r="BP267" s="271">
        <v>21027154</v>
      </c>
      <c r="BQ267" s="1114">
        <v>10503157</v>
      </c>
      <c r="BR267" s="1114">
        <v>0</v>
      </c>
      <c r="BS267" s="1114">
        <v>137813</v>
      </c>
      <c r="BT267" s="300">
        <v>0</v>
      </c>
      <c r="BU267" s="300">
        <v>1634361</v>
      </c>
      <c r="BV267" s="300">
        <v>0</v>
      </c>
      <c r="BW267" s="300">
        <v>0</v>
      </c>
      <c r="BX267" s="300">
        <v>0</v>
      </c>
      <c r="BY267" s="300">
        <v>0</v>
      </c>
      <c r="BZ267" s="300">
        <v>3503743</v>
      </c>
      <c r="CA267" s="300">
        <v>0</v>
      </c>
      <c r="CB267" s="300">
        <v>7653431</v>
      </c>
      <c r="CC267" s="300">
        <v>0</v>
      </c>
      <c r="CD267" s="300">
        <v>0</v>
      </c>
      <c r="CE267" s="300">
        <v>2252633</v>
      </c>
    </row>
    <row r="268" spans="1:83" x14ac:dyDescent="0.3">
      <c r="A268" s="271">
        <v>608</v>
      </c>
      <c r="B268" s="271">
        <v>608</v>
      </c>
      <c r="C268" s="271" t="s">
        <v>686</v>
      </c>
      <c r="D268" s="271"/>
      <c r="E268" s="271">
        <v>0</v>
      </c>
      <c r="F268" s="271">
        <v>0</v>
      </c>
      <c r="G268" s="271">
        <v>0</v>
      </c>
      <c r="H268" s="271">
        <v>0</v>
      </c>
      <c r="I268" s="271">
        <v>0</v>
      </c>
      <c r="J268" s="271">
        <v>0</v>
      </c>
      <c r="K268" s="271">
        <v>0</v>
      </c>
      <c r="L268" s="271">
        <v>0</v>
      </c>
      <c r="M268" s="1114">
        <v>0</v>
      </c>
      <c r="N268" s="271">
        <v>0</v>
      </c>
      <c r="O268" s="271">
        <v>0</v>
      </c>
      <c r="P268" s="271">
        <v>0</v>
      </c>
      <c r="Q268" s="271">
        <v>0</v>
      </c>
      <c r="R268" s="1114">
        <v>0</v>
      </c>
      <c r="S268" s="271">
        <v>0</v>
      </c>
      <c r="T268" s="271">
        <v>0</v>
      </c>
      <c r="U268" s="271">
        <v>0</v>
      </c>
      <c r="V268" s="271">
        <v>0</v>
      </c>
      <c r="W268" s="271">
        <v>0</v>
      </c>
      <c r="X268" s="271">
        <v>0</v>
      </c>
      <c r="Y268" s="271">
        <v>0</v>
      </c>
      <c r="Z268" s="271">
        <v>0</v>
      </c>
      <c r="AA268" s="271">
        <v>0</v>
      </c>
      <c r="AB268" s="271">
        <v>0</v>
      </c>
      <c r="AC268" s="271">
        <v>0</v>
      </c>
      <c r="AD268" s="271">
        <v>0</v>
      </c>
      <c r="AE268" s="271">
        <v>0</v>
      </c>
      <c r="AF268" s="271">
        <v>0</v>
      </c>
      <c r="AG268" s="271">
        <v>0</v>
      </c>
      <c r="AH268" s="271">
        <v>0</v>
      </c>
      <c r="AI268" s="271">
        <v>0</v>
      </c>
      <c r="AJ268" s="271">
        <v>0</v>
      </c>
      <c r="AK268" s="271">
        <v>0</v>
      </c>
      <c r="AL268" s="271">
        <v>0</v>
      </c>
      <c r="AM268" s="271">
        <v>0</v>
      </c>
      <c r="AN268" s="271">
        <v>0</v>
      </c>
      <c r="AO268" s="271">
        <v>0</v>
      </c>
      <c r="AP268" s="271">
        <v>0</v>
      </c>
      <c r="AQ268" s="271">
        <v>0</v>
      </c>
      <c r="AR268" s="271">
        <v>0</v>
      </c>
      <c r="AS268" s="271">
        <v>0</v>
      </c>
      <c r="AT268" s="271">
        <v>0</v>
      </c>
      <c r="AU268" s="271">
        <v>0</v>
      </c>
      <c r="AV268" s="271">
        <v>23133424</v>
      </c>
      <c r="AW268" s="271">
        <v>10199582</v>
      </c>
      <c r="AX268" s="271">
        <v>0</v>
      </c>
      <c r="AY268" s="271">
        <v>0</v>
      </c>
      <c r="AZ268" s="271">
        <v>0</v>
      </c>
      <c r="BA268" s="271">
        <v>0</v>
      </c>
      <c r="BB268" s="271">
        <v>0</v>
      </c>
      <c r="BC268" s="271">
        <v>0</v>
      </c>
      <c r="BD268" s="271">
        <v>0</v>
      </c>
      <c r="BE268" s="271">
        <v>0</v>
      </c>
      <c r="BF268" s="271">
        <v>0</v>
      </c>
      <c r="BG268" s="271">
        <v>0</v>
      </c>
      <c r="BH268" s="271">
        <v>0</v>
      </c>
      <c r="BI268" s="1114">
        <v>0</v>
      </c>
      <c r="BJ268" s="271">
        <v>0</v>
      </c>
      <c r="BK268" s="271">
        <v>0</v>
      </c>
      <c r="BL268" s="271">
        <v>0</v>
      </c>
      <c r="BM268" s="271">
        <v>0</v>
      </c>
      <c r="BN268" s="271">
        <v>0</v>
      </c>
      <c r="BO268" s="271">
        <v>0</v>
      </c>
      <c r="BP268" s="271">
        <v>0</v>
      </c>
      <c r="BQ268" s="271">
        <v>0</v>
      </c>
      <c r="BR268" s="271">
        <v>0</v>
      </c>
      <c r="BS268" s="271">
        <v>0</v>
      </c>
      <c r="BT268" s="300">
        <v>0</v>
      </c>
      <c r="BU268" s="300">
        <v>0</v>
      </c>
      <c r="BV268" s="300">
        <v>0</v>
      </c>
      <c r="BW268" s="300">
        <v>0</v>
      </c>
      <c r="BX268" s="300">
        <v>0</v>
      </c>
      <c r="BY268" s="300">
        <v>0</v>
      </c>
      <c r="BZ268" s="300">
        <v>0</v>
      </c>
      <c r="CA268" s="300">
        <v>0</v>
      </c>
      <c r="CB268" s="300">
        <v>0</v>
      </c>
      <c r="CC268" s="300">
        <v>0</v>
      </c>
      <c r="CD268" s="300">
        <v>0</v>
      </c>
      <c r="CE268" s="300">
        <v>0</v>
      </c>
    </row>
    <row r="269" spans="1:83" x14ac:dyDescent="0.3">
      <c r="A269" s="271">
        <v>609</v>
      </c>
      <c r="B269" s="271">
        <v>609</v>
      </c>
      <c r="C269" s="271" t="s">
        <v>706</v>
      </c>
      <c r="D269" s="271"/>
      <c r="E269" s="271">
        <v>0</v>
      </c>
      <c r="F269" s="271">
        <v>0</v>
      </c>
      <c r="G269" s="271">
        <v>0</v>
      </c>
      <c r="H269" s="271">
        <v>0</v>
      </c>
      <c r="I269" s="271">
        <v>0</v>
      </c>
      <c r="J269" s="271">
        <v>0</v>
      </c>
      <c r="K269" s="271">
        <v>0</v>
      </c>
      <c r="L269" s="271">
        <v>0</v>
      </c>
      <c r="M269" s="271">
        <v>0</v>
      </c>
      <c r="N269" s="271">
        <v>0</v>
      </c>
      <c r="O269" s="271">
        <v>0</v>
      </c>
      <c r="P269" s="271">
        <v>0</v>
      </c>
      <c r="Q269" s="271">
        <v>0</v>
      </c>
      <c r="R269" s="271">
        <v>0</v>
      </c>
      <c r="S269" s="271">
        <v>0</v>
      </c>
      <c r="T269" s="271">
        <v>0</v>
      </c>
      <c r="U269" s="271">
        <v>0</v>
      </c>
      <c r="V269" s="271">
        <v>0</v>
      </c>
      <c r="W269" s="271">
        <v>0</v>
      </c>
      <c r="X269" s="271">
        <v>0</v>
      </c>
      <c r="Y269" s="271">
        <v>0</v>
      </c>
      <c r="Z269" s="271">
        <v>0</v>
      </c>
      <c r="AA269" s="271">
        <v>0</v>
      </c>
      <c r="AB269" s="271">
        <v>0</v>
      </c>
      <c r="AC269" s="271">
        <v>0</v>
      </c>
      <c r="AD269" s="271">
        <v>0</v>
      </c>
      <c r="AE269" s="271">
        <v>0</v>
      </c>
      <c r="AF269" s="271">
        <v>0</v>
      </c>
      <c r="AG269" s="271">
        <v>0</v>
      </c>
      <c r="AH269" s="271">
        <v>0</v>
      </c>
      <c r="AI269" s="271">
        <v>0</v>
      </c>
      <c r="AJ269" s="271">
        <v>0</v>
      </c>
      <c r="AK269" s="271">
        <v>0</v>
      </c>
      <c r="AL269" s="271">
        <v>0</v>
      </c>
      <c r="AM269" s="271">
        <v>0</v>
      </c>
      <c r="AN269" s="271">
        <v>0</v>
      </c>
      <c r="AO269" s="271">
        <v>0</v>
      </c>
      <c r="AP269" s="271">
        <v>0</v>
      </c>
      <c r="AQ269" s="271">
        <v>0</v>
      </c>
      <c r="AR269" s="271">
        <v>0</v>
      </c>
      <c r="AS269" s="271">
        <v>0</v>
      </c>
      <c r="AT269" s="271">
        <v>0</v>
      </c>
      <c r="AU269" s="271">
        <v>0</v>
      </c>
      <c r="AV269" s="271">
        <v>16.8</v>
      </c>
      <c r="AW269" s="271">
        <v>19</v>
      </c>
      <c r="AX269" s="271">
        <v>0</v>
      </c>
      <c r="AY269" s="271">
        <v>0</v>
      </c>
      <c r="AZ269" s="271">
        <v>0</v>
      </c>
      <c r="BA269" s="271">
        <v>0</v>
      </c>
      <c r="BB269" s="271">
        <v>0</v>
      </c>
      <c r="BC269" s="271">
        <v>0</v>
      </c>
      <c r="BD269" s="271">
        <v>0</v>
      </c>
      <c r="BE269" s="271">
        <v>0</v>
      </c>
      <c r="BF269" s="271">
        <v>0</v>
      </c>
      <c r="BG269" s="271">
        <v>0</v>
      </c>
      <c r="BH269" s="271">
        <v>0</v>
      </c>
      <c r="BI269" s="271">
        <v>0</v>
      </c>
      <c r="BJ269" s="271">
        <v>0</v>
      </c>
      <c r="BK269" s="271">
        <v>0</v>
      </c>
      <c r="BL269" s="271">
        <v>0</v>
      </c>
      <c r="BM269" s="271">
        <v>0</v>
      </c>
      <c r="BN269" s="271">
        <v>0</v>
      </c>
      <c r="BO269" s="271">
        <v>0</v>
      </c>
      <c r="BP269" s="271">
        <v>0</v>
      </c>
      <c r="BQ269" s="271">
        <v>0</v>
      </c>
      <c r="BR269" s="271">
        <v>0</v>
      </c>
      <c r="BS269" s="271">
        <v>0</v>
      </c>
      <c r="BT269" s="300">
        <v>0</v>
      </c>
      <c r="BU269" s="300">
        <v>0</v>
      </c>
      <c r="BV269" s="300">
        <v>0</v>
      </c>
      <c r="BW269" s="300">
        <v>0</v>
      </c>
      <c r="BX269" s="300">
        <v>0</v>
      </c>
      <c r="BY269" s="300">
        <v>0</v>
      </c>
      <c r="BZ269" s="300">
        <v>0</v>
      </c>
      <c r="CA269" s="300">
        <v>0</v>
      </c>
      <c r="CB269" s="300">
        <v>0</v>
      </c>
      <c r="CC269" s="300">
        <v>0</v>
      </c>
      <c r="CD269" s="300">
        <v>0</v>
      </c>
      <c r="CE269" s="300">
        <v>0</v>
      </c>
    </row>
    <row r="270" spans="1:83" x14ac:dyDescent="0.3">
      <c r="A270" s="271">
        <v>610</v>
      </c>
      <c r="B270" s="271">
        <v>610</v>
      </c>
      <c r="C270" s="271" t="s">
        <v>687</v>
      </c>
      <c r="D270" s="271"/>
      <c r="E270" s="271">
        <v>0</v>
      </c>
      <c r="F270" s="271">
        <v>0</v>
      </c>
      <c r="G270" s="271">
        <v>0</v>
      </c>
      <c r="H270" s="271">
        <v>0</v>
      </c>
      <c r="I270" s="271">
        <v>0</v>
      </c>
      <c r="J270" s="271">
        <v>0</v>
      </c>
      <c r="K270" s="271">
        <v>0</v>
      </c>
      <c r="L270" s="271">
        <v>0</v>
      </c>
      <c r="M270" s="271">
        <v>0</v>
      </c>
      <c r="N270" s="271">
        <v>0</v>
      </c>
      <c r="O270" s="271">
        <v>0</v>
      </c>
      <c r="P270" s="271">
        <v>0</v>
      </c>
      <c r="Q270" s="271">
        <v>0</v>
      </c>
      <c r="R270" s="271">
        <v>0</v>
      </c>
      <c r="S270" s="271">
        <v>0</v>
      </c>
      <c r="T270" s="271">
        <v>0</v>
      </c>
      <c r="U270" s="271">
        <v>0</v>
      </c>
      <c r="V270" s="271">
        <v>0</v>
      </c>
      <c r="W270" s="271">
        <v>0</v>
      </c>
      <c r="X270" s="271">
        <v>0</v>
      </c>
      <c r="Y270" s="271">
        <v>0</v>
      </c>
      <c r="Z270" s="271">
        <v>0</v>
      </c>
      <c r="AA270" s="271">
        <v>0</v>
      </c>
      <c r="AB270" s="271">
        <v>0</v>
      </c>
      <c r="AC270" s="271">
        <v>0</v>
      </c>
      <c r="AD270" s="271">
        <v>0</v>
      </c>
      <c r="AE270" s="271">
        <v>0</v>
      </c>
      <c r="AF270" s="271">
        <v>0</v>
      </c>
      <c r="AG270" s="271">
        <v>0</v>
      </c>
      <c r="AH270" s="271">
        <v>0</v>
      </c>
      <c r="AI270" s="271">
        <v>0</v>
      </c>
      <c r="AJ270" s="271">
        <v>0</v>
      </c>
      <c r="AK270" s="271">
        <v>0</v>
      </c>
      <c r="AL270" s="271">
        <v>0</v>
      </c>
      <c r="AM270" s="271">
        <v>0</v>
      </c>
      <c r="AN270" s="271">
        <v>0</v>
      </c>
      <c r="AO270" s="271">
        <v>0</v>
      </c>
      <c r="AP270" s="271">
        <v>0</v>
      </c>
      <c r="AQ270" s="271">
        <v>0</v>
      </c>
      <c r="AR270" s="271">
        <v>0</v>
      </c>
      <c r="AS270" s="271">
        <v>0</v>
      </c>
      <c r="AT270" s="271">
        <v>0</v>
      </c>
      <c r="AU270" s="271">
        <v>0</v>
      </c>
      <c r="AV270" s="271">
        <v>0</v>
      </c>
      <c r="AW270" s="271">
        <v>0</v>
      </c>
      <c r="AX270" s="271">
        <v>0</v>
      </c>
      <c r="AY270" s="271">
        <v>0</v>
      </c>
      <c r="AZ270" s="271">
        <v>0</v>
      </c>
      <c r="BA270" s="271">
        <v>0</v>
      </c>
      <c r="BB270" s="271">
        <v>0</v>
      </c>
      <c r="BC270" s="271">
        <v>0</v>
      </c>
      <c r="BD270" s="271">
        <v>0</v>
      </c>
      <c r="BE270" s="271">
        <v>0</v>
      </c>
      <c r="BF270" s="271">
        <v>0</v>
      </c>
      <c r="BG270" s="271">
        <v>0</v>
      </c>
      <c r="BH270" s="271">
        <v>0</v>
      </c>
      <c r="BI270" s="271">
        <v>0</v>
      </c>
      <c r="BJ270" s="271">
        <v>0</v>
      </c>
      <c r="BK270" s="271">
        <v>0</v>
      </c>
      <c r="BL270" s="271">
        <v>0</v>
      </c>
      <c r="BM270" s="271">
        <v>0</v>
      </c>
      <c r="BN270" s="271">
        <v>0</v>
      </c>
      <c r="BO270" s="271">
        <v>0</v>
      </c>
      <c r="BP270" s="271">
        <v>0</v>
      </c>
      <c r="BQ270" s="271">
        <v>0</v>
      </c>
      <c r="BR270" s="271">
        <v>0</v>
      </c>
      <c r="BS270" s="271">
        <v>0</v>
      </c>
      <c r="BT270" s="300">
        <v>0</v>
      </c>
      <c r="BU270" s="300">
        <v>0</v>
      </c>
      <c r="BV270" s="300">
        <v>0</v>
      </c>
      <c r="BW270" s="300">
        <v>0</v>
      </c>
      <c r="BX270" s="300">
        <v>0</v>
      </c>
      <c r="BY270" s="300">
        <v>0</v>
      </c>
      <c r="BZ270" s="300">
        <v>0</v>
      </c>
      <c r="CA270" s="300">
        <v>0</v>
      </c>
      <c r="CB270" s="300">
        <v>0</v>
      </c>
      <c r="CC270" s="300">
        <v>0</v>
      </c>
      <c r="CD270" s="300">
        <v>0</v>
      </c>
      <c r="CE270" s="300">
        <v>0</v>
      </c>
    </row>
    <row r="271" spans="1:83" x14ac:dyDescent="0.3">
      <c r="A271" s="271">
        <v>611</v>
      </c>
      <c r="B271" s="271">
        <v>611</v>
      </c>
      <c r="C271" s="271" t="s">
        <v>688</v>
      </c>
      <c r="D271" s="271"/>
      <c r="E271" s="271">
        <v>0</v>
      </c>
      <c r="F271" s="271">
        <v>0</v>
      </c>
      <c r="G271" s="271">
        <v>0</v>
      </c>
      <c r="H271" s="271">
        <v>0</v>
      </c>
      <c r="I271" s="271">
        <v>0</v>
      </c>
      <c r="J271" s="271">
        <v>0</v>
      </c>
      <c r="K271" s="271">
        <v>0</v>
      </c>
      <c r="L271" s="271">
        <v>0</v>
      </c>
      <c r="M271" s="271">
        <v>0</v>
      </c>
      <c r="N271" s="271">
        <v>0</v>
      </c>
      <c r="O271" s="271">
        <v>0</v>
      </c>
      <c r="P271" s="271">
        <v>0</v>
      </c>
      <c r="Q271" s="271">
        <v>0</v>
      </c>
      <c r="R271" s="271">
        <v>0</v>
      </c>
      <c r="S271" s="271">
        <v>0</v>
      </c>
      <c r="T271" s="271">
        <v>0</v>
      </c>
      <c r="U271" s="271">
        <v>0</v>
      </c>
      <c r="V271" s="271">
        <v>0</v>
      </c>
      <c r="W271" s="271">
        <v>0</v>
      </c>
      <c r="X271" s="271">
        <v>0</v>
      </c>
      <c r="Y271" s="271">
        <v>0</v>
      </c>
      <c r="Z271" s="271">
        <v>0</v>
      </c>
      <c r="AA271" s="271">
        <v>0</v>
      </c>
      <c r="AB271" s="271">
        <v>0</v>
      </c>
      <c r="AC271" s="271">
        <v>0</v>
      </c>
      <c r="AD271" s="271">
        <v>0</v>
      </c>
      <c r="AE271" s="271">
        <v>0</v>
      </c>
      <c r="AF271" s="271">
        <v>0</v>
      </c>
      <c r="AG271" s="271">
        <v>0</v>
      </c>
      <c r="AH271" s="271">
        <v>0</v>
      </c>
      <c r="AI271" s="271">
        <v>0</v>
      </c>
      <c r="AJ271" s="271">
        <v>0</v>
      </c>
      <c r="AK271" s="271">
        <v>0</v>
      </c>
      <c r="AL271" s="271">
        <v>0</v>
      </c>
      <c r="AM271" s="271">
        <v>0</v>
      </c>
      <c r="AN271" s="271">
        <v>0</v>
      </c>
      <c r="AO271" s="271">
        <v>0</v>
      </c>
      <c r="AP271" s="271">
        <v>0</v>
      </c>
      <c r="AQ271" s="271">
        <v>0</v>
      </c>
      <c r="AR271" s="271">
        <v>0</v>
      </c>
      <c r="AS271" s="271">
        <v>0</v>
      </c>
      <c r="AT271" s="271">
        <v>0</v>
      </c>
      <c r="AU271" s="271">
        <v>0</v>
      </c>
      <c r="AV271" s="271">
        <v>0</v>
      </c>
      <c r="AW271" s="271">
        <v>0</v>
      </c>
      <c r="AX271" s="271">
        <v>0</v>
      </c>
      <c r="AY271" s="271">
        <v>0</v>
      </c>
      <c r="AZ271" s="271">
        <v>0</v>
      </c>
      <c r="BA271" s="271">
        <v>0</v>
      </c>
      <c r="BB271" s="271">
        <v>0</v>
      </c>
      <c r="BC271" s="271">
        <v>0</v>
      </c>
      <c r="BD271" s="271">
        <v>0</v>
      </c>
      <c r="BE271" s="271">
        <v>0</v>
      </c>
      <c r="BF271" s="271">
        <v>0</v>
      </c>
      <c r="BG271" s="271">
        <v>0</v>
      </c>
      <c r="BH271" s="271">
        <v>0</v>
      </c>
      <c r="BI271" s="271">
        <v>0</v>
      </c>
      <c r="BJ271" s="271">
        <v>0</v>
      </c>
      <c r="BK271" s="271">
        <v>0</v>
      </c>
      <c r="BL271" s="271">
        <v>0</v>
      </c>
      <c r="BM271" s="271">
        <v>0</v>
      </c>
      <c r="BN271" s="271">
        <v>0</v>
      </c>
      <c r="BO271" s="271">
        <v>0</v>
      </c>
      <c r="BP271" s="271">
        <v>0</v>
      </c>
      <c r="BQ271" s="271">
        <v>0</v>
      </c>
      <c r="BR271" s="271">
        <v>0</v>
      </c>
      <c r="BS271" s="271">
        <v>0</v>
      </c>
      <c r="BT271" s="300">
        <v>0</v>
      </c>
      <c r="BU271" s="300">
        <v>0</v>
      </c>
      <c r="BV271" s="300">
        <v>0</v>
      </c>
      <c r="BW271" s="300">
        <v>0</v>
      </c>
      <c r="BX271" s="300">
        <v>0</v>
      </c>
      <c r="BY271" s="300">
        <v>0</v>
      </c>
      <c r="BZ271" s="300">
        <v>0</v>
      </c>
      <c r="CA271" s="300">
        <v>0</v>
      </c>
      <c r="CB271" s="300">
        <v>0</v>
      </c>
      <c r="CC271" s="300">
        <v>0</v>
      </c>
      <c r="CD271" s="300">
        <v>0</v>
      </c>
      <c r="CE271" s="300">
        <v>0</v>
      </c>
    </row>
    <row r="272" spans="1:83" x14ac:dyDescent="0.3">
      <c r="A272" s="271">
        <v>612</v>
      </c>
      <c r="B272" s="271">
        <v>612</v>
      </c>
      <c r="C272" s="271" t="s">
        <v>707</v>
      </c>
      <c r="D272" s="271"/>
      <c r="E272" s="271">
        <v>0</v>
      </c>
      <c r="F272" s="271">
        <v>0</v>
      </c>
      <c r="G272" s="271">
        <v>0</v>
      </c>
      <c r="H272" s="271">
        <v>0</v>
      </c>
      <c r="I272" s="271">
        <v>0</v>
      </c>
      <c r="J272" s="271">
        <v>0</v>
      </c>
      <c r="K272" s="271">
        <v>0</v>
      </c>
      <c r="L272" s="271">
        <v>0</v>
      </c>
      <c r="M272" s="271">
        <v>0</v>
      </c>
      <c r="N272" s="271">
        <v>0</v>
      </c>
      <c r="O272" s="271">
        <v>0</v>
      </c>
      <c r="P272" s="271">
        <v>0</v>
      </c>
      <c r="Q272" s="271">
        <v>0</v>
      </c>
      <c r="R272" s="271">
        <v>0</v>
      </c>
      <c r="S272" s="271">
        <v>0</v>
      </c>
      <c r="T272" s="271">
        <v>0</v>
      </c>
      <c r="U272" s="271">
        <v>0</v>
      </c>
      <c r="V272" s="271">
        <v>0</v>
      </c>
      <c r="W272" s="271">
        <v>0</v>
      </c>
      <c r="X272" s="271">
        <v>0</v>
      </c>
      <c r="Y272" s="271">
        <v>0</v>
      </c>
      <c r="Z272" s="271">
        <v>0</v>
      </c>
      <c r="AA272" s="271">
        <v>0</v>
      </c>
      <c r="AB272" s="271">
        <v>0</v>
      </c>
      <c r="AC272" s="271">
        <v>0</v>
      </c>
      <c r="AD272" s="271">
        <v>0</v>
      </c>
      <c r="AE272" s="271">
        <v>0</v>
      </c>
      <c r="AF272" s="271">
        <v>0</v>
      </c>
      <c r="AG272" s="271">
        <v>0</v>
      </c>
      <c r="AH272" s="271">
        <v>0</v>
      </c>
      <c r="AI272" s="271">
        <v>0</v>
      </c>
      <c r="AJ272" s="271">
        <v>0</v>
      </c>
      <c r="AK272" s="271">
        <v>0</v>
      </c>
      <c r="AL272" s="271">
        <v>0</v>
      </c>
      <c r="AM272" s="271">
        <v>0</v>
      </c>
      <c r="AN272" s="271">
        <v>0</v>
      </c>
      <c r="AO272" s="271">
        <v>0</v>
      </c>
      <c r="AP272" s="271">
        <v>0</v>
      </c>
      <c r="AQ272" s="271">
        <v>0</v>
      </c>
      <c r="AR272" s="271">
        <v>0</v>
      </c>
      <c r="AS272" s="271">
        <v>0</v>
      </c>
      <c r="AT272" s="271">
        <v>0</v>
      </c>
      <c r="AU272" s="271">
        <v>0</v>
      </c>
      <c r="AV272" s="271">
        <v>0</v>
      </c>
      <c r="AW272" s="271">
        <v>0</v>
      </c>
      <c r="AX272" s="271">
        <v>0</v>
      </c>
      <c r="AY272" s="271">
        <v>0</v>
      </c>
      <c r="AZ272" s="271">
        <v>0</v>
      </c>
      <c r="BA272" s="271">
        <v>0</v>
      </c>
      <c r="BB272" s="271">
        <v>0</v>
      </c>
      <c r="BC272" s="271">
        <v>0</v>
      </c>
      <c r="BD272" s="271">
        <v>0</v>
      </c>
      <c r="BE272" s="271">
        <v>0</v>
      </c>
      <c r="BF272" s="271">
        <v>0</v>
      </c>
      <c r="BG272" s="271">
        <v>0</v>
      </c>
      <c r="BH272" s="271">
        <v>0</v>
      </c>
      <c r="BI272" s="271">
        <v>0</v>
      </c>
      <c r="BJ272" s="271">
        <v>0</v>
      </c>
      <c r="BK272" s="271">
        <v>0</v>
      </c>
      <c r="BL272" s="271">
        <v>0</v>
      </c>
      <c r="BM272" s="271">
        <v>0</v>
      </c>
      <c r="BN272" s="271">
        <v>0</v>
      </c>
      <c r="BO272" s="271">
        <v>0</v>
      </c>
      <c r="BP272" s="271">
        <v>0</v>
      </c>
      <c r="BQ272" s="271">
        <v>0</v>
      </c>
      <c r="BR272" s="271">
        <v>0</v>
      </c>
      <c r="BS272" s="271">
        <v>0</v>
      </c>
      <c r="BT272" s="300">
        <v>0</v>
      </c>
      <c r="BU272" s="300">
        <v>0</v>
      </c>
      <c r="BV272" s="300">
        <v>0</v>
      </c>
      <c r="BW272" s="300">
        <v>0</v>
      </c>
      <c r="BX272" s="300">
        <v>0</v>
      </c>
      <c r="BY272" s="300">
        <v>0</v>
      </c>
      <c r="BZ272" s="300">
        <v>0</v>
      </c>
      <c r="CA272" s="300">
        <v>0</v>
      </c>
      <c r="CB272" s="300">
        <v>0</v>
      </c>
      <c r="CC272" s="300">
        <v>0</v>
      </c>
      <c r="CD272" s="300">
        <v>0</v>
      </c>
      <c r="CE272" s="300">
        <v>0</v>
      </c>
    </row>
    <row r="273" spans="1:83" x14ac:dyDescent="0.3">
      <c r="A273" s="271">
        <v>613</v>
      </c>
      <c r="B273" s="271">
        <v>613</v>
      </c>
      <c r="C273" s="271" t="s">
        <v>696</v>
      </c>
      <c r="D273" s="271"/>
      <c r="E273" s="271">
        <v>0</v>
      </c>
      <c r="F273" s="271">
        <v>0</v>
      </c>
      <c r="G273" s="271">
        <v>0</v>
      </c>
      <c r="H273" s="271">
        <v>0</v>
      </c>
      <c r="I273" s="271">
        <v>0</v>
      </c>
      <c r="J273" s="271">
        <v>0</v>
      </c>
      <c r="K273" s="271">
        <v>0</v>
      </c>
      <c r="L273" s="271">
        <v>0</v>
      </c>
      <c r="M273" s="271">
        <v>0</v>
      </c>
      <c r="N273" s="271">
        <v>0</v>
      </c>
      <c r="O273" s="271">
        <v>0</v>
      </c>
      <c r="P273" s="271">
        <v>0</v>
      </c>
      <c r="Q273" s="271">
        <v>0</v>
      </c>
      <c r="R273" s="271">
        <v>0</v>
      </c>
      <c r="S273" s="271">
        <v>0</v>
      </c>
      <c r="T273" s="271">
        <v>0</v>
      </c>
      <c r="U273" s="271">
        <v>0</v>
      </c>
      <c r="V273" s="271">
        <v>0</v>
      </c>
      <c r="W273" s="271">
        <v>0</v>
      </c>
      <c r="X273" s="271">
        <v>0</v>
      </c>
      <c r="Y273" s="271">
        <v>0</v>
      </c>
      <c r="Z273" s="271">
        <v>0</v>
      </c>
      <c r="AA273" s="271">
        <v>0</v>
      </c>
      <c r="AB273" s="271">
        <v>0</v>
      </c>
      <c r="AC273" s="271">
        <v>0</v>
      </c>
      <c r="AD273" s="271">
        <v>0</v>
      </c>
      <c r="AE273" s="271">
        <v>0</v>
      </c>
      <c r="AF273" s="271">
        <v>0</v>
      </c>
      <c r="AG273" s="271">
        <v>0</v>
      </c>
      <c r="AH273" s="271">
        <v>0</v>
      </c>
      <c r="AI273" s="271">
        <v>0</v>
      </c>
      <c r="AJ273" s="271">
        <v>0</v>
      </c>
      <c r="AK273" s="271">
        <v>0</v>
      </c>
      <c r="AL273" s="271">
        <v>0</v>
      </c>
      <c r="AM273" s="271">
        <v>0</v>
      </c>
      <c r="AN273" s="271">
        <v>0</v>
      </c>
      <c r="AO273" s="271">
        <v>0</v>
      </c>
      <c r="AP273" s="271">
        <v>0</v>
      </c>
      <c r="AQ273" s="271">
        <v>0</v>
      </c>
      <c r="AR273" s="271">
        <v>0</v>
      </c>
      <c r="AS273" s="271">
        <v>0</v>
      </c>
      <c r="AT273" s="271">
        <v>0</v>
      </c>
      <c r="AU273" s="271">
        <v>0</v>
      </c>
      <c r="AV273" s="271">
        <v>0</v>
      </c>
      <c r="AW273" s="271">
        <v>0</v>
      </c>
      <c r="AX273" s="271">
        <v>0</v>
      </c>
      <c r="AY273" s="1114">
        <v>0</v>
      </c>
      <c r="AZ273" s="271">
        <v>0</v>
      </c>
      <c r="BA273" s="271">
        <v>0</v>
      </c>
      <c r="BB273" s="271">
        <v>0</v>
      </c>
      <c r="BC273" s="271">
        <v>0</v>
      </c>
      <c r="BD273" s="271">
        <v>0</v>
      </c>
      <c r="BE273" s="271">
        <v>0</v>
      </c>
      <c r="BF273" s="271">
        <v>0</v>
      </c>
      <c r="BG273" s="271">
        <v>0</v>
      </c>
      <c r="BH273" s="271">
        <v>0</v>
      </c>
      <c r="BI273" s="271">
        <v>0</v>
      </c>
      <c r="BJ273" s="271">
        <v>0</v>
      </c>
      <c r="BK273" s="271">
        <v>0</v>
      </c>
      <c r="BL273" s="271">
        <v>0</v>
      </c>
      <c r="BM273" s="271">
        <v>0</v>
      </c>
      <c r="BN273" s="271">
        <v>0</v>
      </c>
      <c r="BO273" s="271">
        <v>0</v>
      </c>
      <c r="BP273" s="271">
        <v>0</v>
      </c>
      <c r="BQ273" s="271">
        <v>0</v>
      </c>
      <c r="BR273" s="271">
        <v>0</v>
      </c>
      <c r="BS273" s="271">
        <v>0</v>
      </c>
      <c r="BT273" s="300">
        <v>0</v>
      </c>
      <c r="BU273" s="300">
        <v>0</v>
      </c>
      <c r="BV273" s="300">
        <v>0</v>
      </c>
      <c r="BW273" s="300">
        <v>0</v>
      </c>
      <c r="BX273" s="300">
        <v>0</v>
      </c>
      <c r="BY273" s="300">
        <v>0</v>
      </c>
      <c r="BZ273" s="300">
        <v>0</v>
      </c>
      <c r="CA273" s="300">
        <v>0</v>
      </c>
      <c r="CB273" s="300">
        <v>0</v>
      </c>
      <c r="CC273" s="300">
        <v>0</v>
      </c>
      <c r="CD273" s="300">
        <v>0</v>
      </c>
      <c r="CE273" s="300">
        <v>0</v>
      </c>
    </row>
    <row r="274" spans="1:83" x14ac:dyDescent="0.3">
      <c r="A274" s="271">
        <v>614</v>
      </c>
      <c r="B274" s="271">
        <v>614</v>
      </c>
      <c r="C274" s="271" t="s">
        <v>689</v>
      </c>
      <c r="D274" s="271"/>
      <c r="E274" s="271">
        <v>0</v>
      </c>
      <c r="F274" s="271">
        <v>0</v>
      </c>
      <c r="G274" s="271">
        <v>0</v>
      </c>
      <c r="H274" s="271">
        <v>0</v>
      </c>
      <c r="I274" s="271">
        <v>0</v>
      </c>
      <c r="J274" s="271">
        <v>0</v>
      </c>
      <c r="K274" s="271">
        <v>0</v>
      </c>
      <c r="L274" s="271">
        <v>0</v>
      </c>
      <c r="M274" s="271">
        <v>0</v>
      </c>
      <c r="N274" s="271">
        <v>0</v>
      </c>
      <c r="O274" s="271">
        <v>0</v>
      </c>
      <c r="P274" s="271">
        <v>0</v>
      </c>
      <c r="Q274" s="271">
        <v>0</v>
      </c>
      <c r="R274" s="271">
        <v>0</v>
      </c>
      <c r="S274" s="271">
        <v>0</v>
      </c>
      <c r="T274" s="271">
        <v>0</v>
      </c>
      <c r="U274" s="271">
        <v>0</v>
      </c>
      <c r="V274" s="271">
        <v>0</v>
      </c>
      <c r="W274" s="271">
        <v>0</v>
      </c>
      <c r="X274" s="271">
        <v>0</v>
      </c>
      <c r="Y274" s="271">
        <v>0</v>
      </c>
      <c r="Z274" s="271">
        <v>0</v>
      </c>
      <c r="AA274" s="271">
        <v>0</v>
      </c>
      <c r="AB274" s="271">
        <v>0</v>
      </c>
      <c r="AC274" s="271">
        <v>0</v>
      </c>
      <c r="AD274" s="271">
        <v>0</v>
      </c>
      <c r="AE274" s="271">
        <v>0</v>
      </c>
      <c r="AF274" s="271">
        <v>0</v>
      </c>
      <c r="AG274" s="271">
        <v>0</v>
      </c>
      <c r="AH274" s="271">
        <v>0</v>
      </c>
      <c r="AI274" s="271">
        <v>0</v>
      </c>
      <c r="AJ274" s="271">
        <v>0</v>
      </c>
      <c r="AK274" s="271">
        <v>0</v>
      </c>
      <c r="AL274" s="271">
        <v>0</v>
      </c>
      <c r="AM274" s="271">
        <v>0</v>
      </c>
      <c r="AN274" s="271">
        <v>0</v>
      </c>
      <c r="AO274" s="271">
        <v>0</v>
      </c>
      <c r="AP274" s="271">
        <v>0</v>
      </c>
      <c r="AQ274" s="271">
        <v>0</v>
      </c>
      <c r="AR274" s="271">
        <v>0</v>
      </c>
      <c r="AS274" s="271">
        <v>0</v>
      </c>
      <c r="AT274" s="271">
        <v>0</v>
      </c>
      <c r="AU274" s="271">
        <v>0</v>
      </c>
      <c r="AV274" s="271">
        <v>0</v>
      </c>
      <c r="AW274" s="271">
        <v>0</v>
      </c>
      <c r="AX274" s="271">
        <v>0</v>
      </c>
      <c r="AY274" s="271">
        <v>0</v>
      </c>
      <c r="AZ274" s="271">
        <v>0</v>
      </c>
      <c r="BA274" s="271">
        <v>0</v>
      </c>
      <c r="BB274" s="271">
        <v>0</v>
      </c>
      <c r="BC274" s="271">
        <v>0</v>
      </c>
      <c r="BD274" s="271">
        <v>0</v>
      </c>
      <c r="BE274" s="271">
        <v>0</v>
      </c>
      <c r="BF274" s="271">
        <v>0</v>
      </c>
      <c r="BG274" s="271">
        <v>0</v>
      </c>
      <c r="BH274" s="271">
        <v>0</v>
      </c>
      <c r="BI274" s="271">
        <v>0</v>
      </c>
      <c r="BJ274" s="271">
        <v>0</v>
      </c>
      <c r="BK274" s="271">
        <v>0</v>
      </c>
      <c r="BL274" s="271">
        <v>0</v>
      </c>
      <c r="BM274" s="271">
        <v>0</v>
      </c>
      <c r="BN274" s="271">
        <v>0</v>
      </c>
      <c r="BO274" s="271">
        <v>0</v>
      </c>
      <c r="BP274" s="271">
        <v>0</v>
      </c>
      <c r="BQ274" s="271">
        <v>0</v>
      </c>
      <c r="BR274" s="271">
        <v>0</v>
      </c>
      <c r="BS274" s="271">
        <v>0</v>
      </c>
      <c r="BT274" s="300">
        <v>0</v>
      </c>
      <c r="BU274" s="300">
        <v>0</v>
      </c>
      <c r="BV274" s="300">
        <v>0</v>
      </c>
      <c r="BW274" s="300">
        <v>0</v>
      </c>
      <c r="BX274" s="300">
        <v>0</v>
      </c>
      <c r="BY274" s="300">
        <v>0</v>
      </c>
      <c r="BZ274" s="300">
        <v>0</v>
      </c>
      <c r="CA274" s="300">
        <v>0</v>
      </c>
      <c r="CB274" s="300">
        <v>0</v>
      </c>
      <c r="CC274" s="300">
        <v>0</v>
      </c>
      <c r="CD274" s="300">
        <v>0</v>
      </c>
      <c r="CE274" s="300">
        <v>0</v>
      </c>
    </row>
    <row r="275" spans="1:83" x14ac:dyDescent="0.3">
      <c r="A275" s="271">
        <v>615</v>
      </c>
      <c r="B275" s="271">
        <v>615</v>
      </c>
      <c r="C275" s="271" t="s">
        <v>708</v>
      </c>
      <c r="D275" s="271"/>
      <c r="E275" s="271">
        <v>0</v>
      </c>
      <c r="F275" s="271">
        <v>0</v>
      </c>
      <c r="G275" s="271">
        <v>0</v>
      </c>
      <c r="H275" s="271">
        <v>0</v>
      </c>
      <c r="I275" s="271">
        <v>0</v>
      </c>
      <c r="J275" s="271">
        <v>0</v>
      </c>
      <c r="K275" s="271">
        <v>0</v>
      </c>
      <c r="L275" s="271">
        <v>0</v>
      </c>
      <c r="M275" s="271">
        <v>0</v>
      </c>
      <c r="N275" s="271">
        <v>0</v>
      </c>
      <c r="O275" s="271">
        <v>0</v>
      </c>
      <c r="P275" s="271">
        <v>0</v>
      </c>
      <c r="Q275" s="271">
        <v>0</v>
      </c>
      <c r="R275" s="271">
        <v>0</v>
      </c>
      <c r="S275" s="271">
        <v>0</v>
      </c>
      <c r="T275" s="271">
        <v>0</v>
      </c>
      <c r="U275" s="271">
        <v>0</v>
      </c>
      <c r="V275" s="271">
        <v>0</v>
      </c>
      <c r="W275" s="271">
        <v>0</v>
      </c>
      <c r="X275" s="271">
        <v>0</v>
      </c>
      <c r="Y275" s="271">
        <v>0</v>
      </c>
      <c r="Z275" s="271">
        <v>0</v>
      </c>
      <c r="AA275" s="271">
        <v>0</v>
      </c>
      <c r="AB275" s="271">
        <v>0</v>
      </c>
      <c r="AC275" s="271">
        <v>0</v>
      </c>
      <c r="AD275" s="271">
        <v>0</v>
      </c>
      <c r="AE275" s="271">
        <v>0</v>
      </c>
      <c r="AF275" s="271">
        <v>0</v>
      </c>
      <c r="AG275" s="271">
        <v>0</v>
      </c>
      <c r="AH275" s="271">
        <v>0</v>
      </c>
      <c r="AI275" s="271">
        <v>0</v>
      </c>
      <c r="AJ275" s="271">
        <v>0</v>
      </c>
      <c r="AK275" s="271">
        <v>0</v>
      </c>
      <c r="AL275" s="271">
        <v>0</v>
      </c>
      <c r="AM275" s="271">
        <v>0</v>
      </c>
      <c r="AN275" s="271">
        <v>0</v>
      </c>
      <c r="AO275" s="271">
        <v>0</v>
      </c>
      <c r="AP275" s="271">
        <v>0</v>
      </c>
      <c r="AQ275" s="271">
        <v>0</v>
      </c>
      <c r="AR275" s="271">
        <v>0</v>
      </c>
      <c r="AS275" s="271">
        <v>0</v>
      </c>
      <c r="AT275" s="271">
        <v>0</v>
      </c>
      <c r="AU275" s="271">
        <v>0</v>
      </c>
      <c r="AV275" s="271">
        <v>0</v>
      </c>
      <c r="AW275" s="271">
        <v>0</v>
      </c>
      <c r="AX275" s="271">
        <v>0</v>
      </c>
      <c r="AY275" s="271">
        <v>0</v>
      </c>
      <c r="AZ275" s="271">
        <v>0</v>
      </c>
      <c r="BA275" s="271">
        <v>0</v>
      </c>
      <c r="BB275" s="271">
        <v>0</v>
      </c>
      <c r="BC275" s="271">
        <v>0</v>
      </c>
      <c r="BD275" s="271">
        <v>0</v>
      </c>
      <c r="BE275" s="271">
        <v>0</v>
      </c>
      <c r="BF275" s="271">
        <v>0</v>
      </c>
      <c r="BG275" s="271">
        <v>0</v>
      </c>
      <c r="BH275" s="271">
        <v>0</v>
      </c>
      <c r="BI275" s="271">
        <v>0</v>
      </c>
      <c r="BJ275" s="271">
        <v>0</v>
      </c>
      <c r="BK275" s="271">
        <v>0</v>
      </c>
      <c r="BL275" s="271">
        <v>0</v>
      </c>
      <c r="BM275" s="271">
        <v>0</v>
      </c>
      <c r="BN275" s="271">
        <v>0</v>
      </c>
      <c r="BO275" s="271">
        <v>0</v>
      </c>
      <c r="BP275" s="271">
        <v>0</v>
      </c>
      <c r="BQ275" s="271">
        <v>0</v>
      </c>
      <c r="BR275" s="271">
        <v>0</v>
      </c>
      <c r="BS275" s="271">
        <v>0</v>
      </c>
      <c r="BT275" s="300">
        <v>0</v>
      </c>
      <c r="BU275" s="300">
        <v>0</v>
      </c>
      <c r="BV275" s="300">
        <v>0</v>
      </c>
      <c r="BW275" s="300">
        <v>0</v>
      </c>
      <c r="BX275" s="300">
        <v>0</v>
      </c>
      <c r="BY275" s="300">
        <v>0</v>
      </c>
      <c r="BZ275" s="300">
        <v>0</v>
      </c>
      <c r="CA275" s="300">
        <v>0</v>
      </c>
      <c r="CB275" s="300">
        <v>0</v>
      </c>
      <c r="CC275" s="300">
        <v>0</v>
      </c>
      <c r="CD275" s="300">
        <v>0</v>
      </c>
      <c r="CE275" s="300">
        <v>0</v>
      </c>
    </row>
    <row r="276" spans="1:83" x14ac:dyDescent="0.3">
      <c r="A276" s="271">
        <v>616</v>
      </c>
      <c r="B276" s="271">
        <v>616</v>
      </c>
      <c r="C276" s="271" t="s">
        <v>690</v>
      </c>
      <c r="D276" s="271"/>
      <c r="E276" s="271">
        <v>0</v>
      </c>
      <c r="F276" s="271">
        <v>0</v>
      </c>
      <c r="G276" s="271">
        <v>0</v>
      </c>
      <c r="H276" s="271">
        <v>0</v>
      </c>
      <c r="I276" s="271">
        <v>0</v>
      </c>
      <c r="J276" s="271">
        <v>0</v>
      </c>
      <c r="K276" s="271">
        <v>0</v>
      </c>
      <c r="L276" s="271">
        <v>0</v>
      </c>
      <c r="M276" s="271">
        <v>0</v>
      </c>
      <c r="N276" s="271">
        <v>0</v>
      </c>
      <c r="O276" s="271">
        <v>0</v>
      </c>
      <c r="P276" s="271">
        <v>0</v>
      </c>
      <c r="Q276" s="271">
        <v>0</v>
      </c>
      <c r="R276" s="271">
        <v>0</v>
      </c>
      <c r="S276" s="271">
        <v>0</v>
      </c>
      <c r="T276" s="271">
        <v>0</v>
      </c>
      <c r="U276" s="271">
        <v>0</v>
      </c>
      <c r="V276" s="271">
        <v>0</v>
      </c>
      <c r="W276" s="271">
        <v>0</v>
      </c>
      <c r="X276" s="271">
        <v>0</v>
      </c>
      <c r="Y276" s="271">
        <v>0</v>
      </c>
      <c r="Z276" s="271">
        <v>0</v>
      </c>
      <c r="AA276" s="271">
        <v>0</v>
      </c>
      <c r="AB276" s="271">
        <v>0</v>
      </c>
      <c r="AC276" s="271">
        <v>0</v>
      </c>
      <c r="AD276" s="271">
        <v>0</v>
      </c>
      <c r="AE276" s="271">
        <v>0</v>
      </c>
      <c r="AF276" s="271">
        <v>0</v>
      </c>
      <c r="AG276" s="271">
        <v>0</v>
      </c>
      <c r="AH276" s="271">
        <v>0</v>
      </c>
      <c r="AI276" s="271">
        <v>0</v>
      </c>
      <c r="AJ276" s="271">
        <v>0</v>
      </c>
      <c r="AK276" s="271">
        <v>0</v>
      </c>
      <c r="AL276" s="271">
        <v>0</v>
      </c>
      <c r="AM276" s="271">
        <v>0</v>
      </c>
      <c r="AN276" s="271">
        <v>0</v>
      </c>
      <c r="AO276" s="271">
        <v>0</v>
      </c>
      <c r="AP276" s="271">
        <v>0</v>
      </c>
      <c r="AQ276" s="271">
        <v>0</v>
      </c>
      <c r="AR276" s="271">
        <v>0</v>
      </c>
      <c r="AS276" s="271">
        <v>0</v>
      </c>
      <c r="AT276" s="271">
        <v>0</v>
      </c>
      <c r="AU276" s="271">
        <v>0</v>
      </c>
      <c r="AV276" s="271">
        <v>0</v>
      </c>
      <c r="AW276" s="271">
        <v>0</v>
      </c>
      <c r="AX276" s="271">
        <v>0</v>
      </c>
      <c r="AY276" s="271">
        <v>0</v>
      </c>
      <c r="AZ276" s="271">
        <v>0</v>
      </c>
      <c r="BA276" s="271">
        <v>0</v>
      </c>
      <c r="BB276" s="271">
        <v>0</v>
      </c>
      <c r="BC276" s="271">
        <v>0</v>
      </c>
      <c r="BD276" s="271">
        <v>0</v>
      </c>
      <c r="BE276" s="271">
        <v>0</v>
      </c>
      <c r="BF276" s="271">
        <v>0</v>
      </c>
      <c r="BG276" s="271">
        <v>0</v>
      </c>
      <c r="BH276" s="271">
        <v>0</v>
      </c>
      <c r="BI276" s="271">
        <v>0</v>
      </c>
      <c r="BJ276" s="271">
        <v>0</v>
      </c>
      <c r="BK276" s="271">
        <v>0</v>
      </c>
      <c r="BL276" s="271">
        <v>0</v>
      </c>
      <c r="BM276" s="271">
        <v>0</v>
      </c>
      <c r="BN276" s="271">
        <v>0</v>
      </c>
      <c r="BO276" s="271">
        <v>0</v>
      </c>
      <c r="BP276" s="271">
        <v>0</v>
      </c>
      <c r="BQ276" s="271">
        <v>0</v>
      </c>
      <c r="BR276" s="271">
        <v>0</v>
      </c>
      <c r="BS276" s="271">
        <v>0</v>
      </c>
      <c r="BT276" s="300">
        <v>0</v>
      </c>
      <c r="BU276" s="300">
        <v>0</v>
      </c>
      <c r="BV276" s="300">
        <v>0</v>
      </c>
      <c r="BW276" s="300">
        <v>0</v>
      </c>
      <c r="BX276" s="300">
        <v>0</v>
      </c>
      <c r="BY276" s="300">
        <v>0</v>
      </c>
      <c r="BZ276" s="300">
        <v>0</v>
      </c>
      <c r="CA276" s="300">
        <v>0</v>
      </c>
      <c r="CB276" s="300">
        <v>0</v>
      </c>
      <c r="CC276" s="300">
        <v>0</v>
      </c>
      <c r="CD276" s="300">
        <v>0</v>
      </c>
      <c r="CE276" s="300">
        <v>0</v>
      </c>
    </row>
    <row r="277" spans="1:83" x14ac:dyDescent="0.3">
      <c r="A277" s="271">
        <v>617</v>
      </c>
      <c r="B277" s="271">
        <v>617</v>
      </c>
      <c r="C277" s="271" t="s">
        <v>691</v>
      </c>
      <c r="D277" s="271"/>
      <c r="E277" s="271">
        <v>0</v>
      </c>
      <c r="F277" s="271">
        <v>0</v>
      </c>
      <c r="G277" s="271">
        <v>0</v>
      </c>
      <c r="H277" s="271">
        <v>0</v>
      </c>
      <c r="I277" s="271">
        <v>0</v>
      </c>
      <c r="J277" s="271">
        <v>0</v>
      </c>
      <c r="K277" s="271">
        <v>0</v>
      </c>
      <c r="L277" s="271">
        <v>0</v>
      </c>
      <c r="M277" s="271">
        <v>0</v>
      </c>
      <c r="N277" s="271">
        <v>0</v>
      </c>
      <c r="O277" s="271">
        <v>0</v>
      </c>
      <c r="P277" s="271">
        <v>0</v>
      </c>
      <c r="Q277" s="271">
        <v>0</v>
      </c>
      <c r="R277" s="271">
        <v>0</v>
      </c>
      <c r="S277" s="271">
        <v>0</v>
      </c>
      <c r="T277" s="271">
        <v>0</v>
      </c>
      <c r="U277" s="271">
        <v>0</v>
      </c>
      <c r="V277" s="271">
        <v>0</v>
      </c>
      <c r="W277" s="271">
        <v>0</v>
      </c>
      <c r="X277" s="271">
        <v>0</v>
      </c>
      <c r="Y277" s="271">
        <v>0</v>
      </c>
      <c r="Z277" s="271">
        <v>0</v>
      </c>
      <c r="AA277" s="271">
        <v>0</v>
      </c>
      <c r="AB277" s="271">
        <v>0</v>
      </c>
      <c r="AC277" s="271">
        <v>0</v>
      </c>
      <c r="AD277" s="271">
        <v>0</v>
      </c>
      <c r="AE277" s="271">
        <v>0</v>
      </c>
      <c r="AF277" s="271">
        <v>0</v>
      </c>
      <c r="AG277" s="271">
        <v>0</v>
      </c>
      <c r="AH277" s="271">
        <v>0</v>
      </c>
      <c r="AI277" s="271">
        <v>0</v>
      </c>
      <c r="AJ277" s="271">
        <v>0</v>
      </c>
      <c r="AK277" s="271">
        <v>0</v>
      </c>
      <c r="AL277" s="271">
        <v>0</v>
      </c>
      <c r="AM277" s="271">
        <v>0</v>
      </c>
      <c r="AN277" s="271">
        <v>0</v>
      </c>
      <c r="AO277" s="271">
        <v>0</v>
      </c>
      <c r="AP277" s="271">
        <v>0</v>
      </c>
      <c r="AQ277" s="271">
        <v>0</v>
      </c>
      <c r="AR277" s="271">
        <v>0</v>
      </c>
      <c r="AS277" s="271">
        <v>0</v>
      </c>
      <c r="AT277" s="271">
        <v>0</v>
      </c>
      <c r="AU277" s="271">
        <v>0</v>
      </c>
      <c r="AV277" s="271">
        <v>0</v>
      </c>
      <c r="AW277" s="271">
        <v>0</v>
      </c>
      <c r="AX277" s="271">
        <v>0</v>
      </c>
      <c r="AY277" s="271">
        <v>0</v>
      </c>
      <c r="AZ277" s="271">
        <v>0</v>
      </c>
      <c r="BA277" s="271">
        <v>0</v>
      </c>
      <c r="BB277" s="271">
        <v>0</v>
      </c>
      <c r="BC277" s="271">
        <v>0</v>
      </c>
      <c r="BD277" s="271">
        <v>0</v>
      </c>
      <c r="BE277" s="271">
        <v>0</v>
      </c>
      <c r="BF277" s="271">
        <v>0</v>
      </c>
      <c r="BG277" s="271">
        <v>0</v>
      </c>
      <c r="BH277" s="271">
        <v>0</v>
      </c>
      <c r="BI277" s="271">
        <v>0</v>
      </c>
      <c r="BJ277" s="271">
        <v>0</v>
      </c>
      <c r="BK277" s="271">
        <v>0</v>
      </c>
      <c r="BL277" s="271">
        <v>0</v>
      </c>
      <c r="BM277" s="271">
        <v>0</v>
      </c>
      <c r="BN277" s="271">
        <v>0</v>
      </c>
      <c r="BO277" s="271">
        <v>0</v>
      </c>
      <c r="BP277" s="271">
        <v>0</v>
      </c>
      <c r="BQ277" s="271">
        <v>0</v>
      </c>
      <c r="BR277" s="271">
        <v>0</v>
      </c>
      <c r="BS277" s="271">
        <v>0</v>
      </c>
      <c r="BT277" s="300">
        <v>0</v>
      </c>
      <c r="BU277" s="300">
        <v>0</v>
      </c>
      <c r="BV277" s="300">
        <v>0</v>
      </c>
      <c r="BW277" s="300">
        <v>0</v>
      </c>
      <c r="BX277" s="300">
        <v>0</v>
      </c>
      <c r="BY277" s="300">
        <v>0</v>
      </c>
      <c r="BZ277" s="300">
        <v>0</v>
      </c>
      <c r="CA277" s="300">
        <v>0</v>
      </c>
      <c r="CB277" s="300">
        <v>0</v>
      </c>
      <c r="CC277" s="300">
        <v>0</v>
      </c>
      <c r="CD277" s="300">
        <v>0</v>
      </c>
      <c r="CE277" s="300">
        <v>0</v>
      </c>
    </row>
    <row r="278" spans="1:83" x14ac:dyDescent="0.3">
      <c r="A278" s="271">
        <v>618</v>
      </c>
      <c r="B278" s="271">
        <v>618</v>
      </c>
      <c r="C278" s="271" t="s">
        <v>709</v>
      </c>
      <c r="D278" s="271"/>
      <c r="E278" s="271">
        <v>0</v>
      </c>
      <c r="F278" s="271">
        <v>0</v>
      </c>
      <c r="G278" s="271">
        <v>0</v>
      </c>
      <c r="H278" s="271">
        <v>0</v>
      </c>
      <c r="I278" s="271">
        <v>0</v>
      </c>
      <c r="J278" s="271">
        <v>0</v>
      </c>
      <c r="K278" s="271">
        <v>0</v>
      </c>
      <c r="L278" s="271">
        <v>0</v>
      </c>
      <c r="M278" s="271">
        <v>0</v>
      </c>
      <c r="N278" s="271">
        <v>0</v>
      </c>
      <c r="O278" s="271">
        <v>0</v>
      </c>
      <c r="P278" s="271">
        <v>0</v>
      </c>
      <c r="Q278" s="271">
        <v>0</v>
      </c>
      <c r="R278" s="271">
        <v>0</v>
      </c>
      <c r="S278" s="271">
        <v>0</v>
      </c>
      <c r="T278" s="271">
        <v>0</v>
      </c>
      <c r="U278" s="271">
        <v>0</v>
      </c>
      <c r="V278" s="271">
        <v>0</v>
      </c>
      <c r="W278" s="271">
        <v>0</v>
      </c>
      <c r="X278" s="271">
        <v>0</v>
      </c>
      <c r="Y278" s="271">
        <v>0</v>
      </c>
      <c r="Z278" s="271">
        <v>0</v>
      </c>
      <c r="AA278" s="271">
        <v>0</v>
      </c>
      <c r="AB278" s="271">
        <v>0</v>
      </c>
      <c r="AC278" s="271">
        <v>0</v>
      </c>
      <c r="AD278" s="271">
        <v>0</v>
      </c>
      <c r="AE278" s="271">
        <v>0</v>
      </c>
      <c r="AF278" s="271">
        <v>0</v>
      </c>
      <c r="AG278" s="271">
        <v>0</v>
      </c>
      <c r="AH278" s="271">
        <v>0</v>
      </c>
      <c r="AI278" s="271">
        <v>0</v>
      </c>
      <c r="AJ278" s="271">
        <v>0</v>
      </c>
      <c r="AK278" s="271">
        <v>0</v>
      </c>
      <c r="AL278" s="271">
        <v>0</v>
      </c>
      <c r="AM278" s="271">
        <v>0</v>
      </c>
      <c r="AN278" s="271">
        <v>0</v>
      </c>
      <c r="AO278" s="271">
        <v>0</v>
      </c>
      <c r="AP278" s="271">
        <v>0</v>
      </c>
      <c r="AQ278" s="271">
        <v>0</v>
      </c>
      <c r="AR278" s="271">
        <v>0</v>
      </c>
      <c r="AS278" s="271">
        <v>0</v>
      </c>
      <c r="AT278" s="271">
        <v>0</v>
      </c>
      <c r="AU278" s="271">
        <v>0</v>
      </c>
      <c r="AV278" s="271">
        <v>0</v>
      </c>
      <c r="AW278" s="271">
        <v>0</v>
      </c>
      <c r="AX278" s="271">
        <v>0</v>
      </c>
      <c r="AY278" s="271">
        <v>0</v>
      </c>
      <c r="AZ278" s="271">
        <v>0</v>
      </c>
      <c r="BA278" s="271">
        <v>0</v>
      </c>
      <c r="BB278" s="271">
        <v>0</v>
      </c>
      <c r="BC278" s="271">
        <v>0</v>
      </c>
      <c r="BD278" s="271">
        <v>0</v>
      </c>
      <c r="BE278" s="271">
        <v>0</v>
      </c>
      <c r="BF278" s="271">
        <v>0</v>
      </c>
      <c r="BG278" s="271">
        <v>0</v>
      </c>
      <c r="BH278" s="271">
        <v>0</v>
      </c>
      <c r="BI278" s="271">
        <v>0</v>
      </c>
      <c r="BJ278" s="271">
        <v>0</v>
      </c>
      <c r="BK278" s="271">
        <v>0</v>
      </c>
      <c r="BL278" s="271">
        <v>0</v>
      </c>
      <c r="BM278" s="271">
        <v>0</v>
      </c>
      <c r="BN278" s="271">
        <v>0</v>
      </c>
      <c r="BO278" s="271">
        <v>0</v>
      </c>
      <c r="BP278" s="271">
        <v>0</v>
      </c>
      <c r="BQ278" s="271">
        <v>0</v>
      </c>
      <c r="BR278" s="271">
        <v>0</v>
      </c>
      <c r="BS278" s="271">
        <v>0</v>
      </c>
      <c r="BT278" s="300">
        <v>0</v>
      </c>
      <c r="BU278" s="300">
        <v>0</v>
      </c>
      <c r="BV278" s="300">
        <v>0</v>
      </c>
      <c r="BW278" s="300">
        <v>0</v>
      </c>
      <c r="BX278" s="300">
        <v>0</v>
      </c>
      <c r="BY278" s="300">
        <v>0</v>
      </c>
      <c r="BZ278" s="300">
        <v>0</v>
      </c>
      <c r="CA278" s="300">
        <v>0</v>
      </c>
      <c r="CB278" s="300">
        <v>0</v>
      </c>
      <c r="CC278" s="300">
        <v>0</v>
      </c>
      <c r="CD278" s="300">
        <v>0</v>
      </c>
      <c r="CE278" s="300">
        <v>0</v>
      </c>
    </row>
    <row r="279" spans="1:83" x14ac:dyDescent="0.3">
      <c r="A279" s="271">
        <v>619</v>
      </c>
      <c r="B279" s="271">
        <v>619</v>
      </c>
      <c r="C279" s="271" t="s">
        <v>711</v>
      </c>
      <c r="D279" s="271"/>
      <c r="E279" s="271">
        <v>0</v>
      </c>
      <c r="F279" s="271">
        <v>0</v>
      </c>
      <c r="G279" s="271">
        <v>0</v>
      </c>
      <c r="H279" s="271">
        <v>0</v>
      </c>
      <c r="I279" s="271">
        <v>0</v>
      </c>
      <c r="J279" s="271">
        <v>0</v>
      </c>
      <c r="K279" s="271">
        <v>0</v>
      </c>
      <c r="L279" s="271">
        <v>0</v>
      </c>
      <c r="M279" s="271">
        <v>0</v>
      </c>
      <c r="N279" s="271">
        <v>0</v>
      </c>
      <c r="O279" s="271">
        <v>0</v>
      </c>
      <c r="P279" s="271">
        <v>0</v>
      </c>
      <c r="Q279" s="271">
        <v>0</v>
      </c>
      <c r="R279" s="271">
        <v>0</v>
      </c>
      <c r="S279" s="271">
        <v>0</v>
      </c>
      <c r="T279" s="271">
        <v>0</v>
      </c>
      <c r="U279" s="271">
        <v>0</v>
      </c>
      <c r="V279" s="271">
        <v>0</v>
      </c>
      <c r="W279" s="271">
        <v>0</v>
      </c>
      <c r="X279" s="271">
        <v>0</v>
      </c>
      <c r="Y279" s="271">
        <v>0</v>
      </c>
      <c r="Z279" s="271">
        <v>0</v>
      </c>
      <c r="AA279" s="271">
        <v>0</v>
      </c>
      <c r="AB279" s="271">
        <v>0</v>
      </c>
      <c r="AC279" s="271">
        <v>0</v>
      </c>
      <c r="AD279" s="271">
        <v>0</v>
      </c>
      <c r="AE279" s="271">
        <v>0</v>
      </c>
      <c r="AF279" s="271">
        <v>0</v>
      </c>
      <c r="AG279" s="271">
        <v>0</v>
      </c>
      <c r="AH279" s="271">
        <v>0</v>
      </c>
      <c r="AI279" s="271">
        <v>0</v>
      </c>
      <c r="AJ279" s="271">
        <v>0</v>
      </c>
      <c r="AK279" s="271">
        <v>0</v>
      </c>
      <c r="AL279" s="271">
        <v>0</v>
      </c>
      <c r="AM279" s="271">
        <v>0</v>
      </c>
      <c r="AN279" s="271">
        <v>0</v>
      </c>
      <c r="AO279" s="271">
        <v>0</v>
      </c>
      <c r="AP279" s="271">
        <v>0</v>
      </c>
      <c r="AQ279" s="271">
        <v>0</v>
      </c>
      <c r="AR279" s="271">
        <v>0</v>
      </c>
      <c r="AS279" s="271">
        <v>0</v>
      </c>
      <c r="AT279" s="271">
        <v>0</v>
      </c>
      <c r="AU279" s="271">
        <v>0</v>
      </c>
      <c r="AV279" s="271">
        <v>23</v>
      </c>
      <c r="AW279" s="271">
        <v>0</v>
      </c>
      <c r="AX279" s="271">
        <v>0</v>
      </c>
      <c r="AY279" s="271">
        <v>0</v>
      </c>
      <c r="AZ279" s="271">
        <v>0</v>
      </c>
      <c r="BA279" s="271">
        <v>0</v>
      </c>
      <c r="BB279" s="271">
        <v>0</v>
      </c>
      <c r="BC279" s="271">
        <v>0</v>
      </c>
      <c r="BD279" s="271">
        <v>0</v>
      </c>
      <c r="BE279" s="271">
        <v>0</v>
      </c>
      <c r="BF279" s="271">
        <v>0</v>
      </c>
      <c r="BG279" s="271">
        <v>0</v>
      </c>
      <c r="BH279" s="271">
        <v>0</v>
      </c>
      <c r="BI279" s="271">
        <v>0</v>
      </c>
      <c r="BJ279" s="271">
        <v>0</v>
      </c>
      <c r="BK279" s="271">
        <v>0</v>
      </c>
      <c r="BL279" s="271">
        <v>0</v>
      </c>
      <c r="BM279" s="271">
        <v>0</v>
      </c>
      <c r="BN279" s="271">
        <v>0</v>
      </c>
      <c r="BO279" s="271">
        <v>0</v>
      </c>
      <c r="BP279" s="271">
        <v>0</v>
      </c>
      <c r="BQ279" s="271">
        <v>0</v>
      </c>
      <c r="BR279" s="271">
        <v>0</v>
      </c>
      <c r="BS279" s="271">
        <v>0</v>
      </c>
      <c r="BT279" s="300">
        <v>0</v>
      </c>
      <c r="BU279" s="300">
        <v>0</v>
      </c>
      <c r="BV279" s="300">
        <v>0</v>
      </c>
      <c r="BW279" s="300">
        <v>0</v>
      </c>
      <c r="BX279" s="300">
        <v>0</v>
      </c>
      <c r="BY279" s="300">
        <v>0</v>
      </c>
      <c r="BZ279" s="300">
        <v>0</v>
      </c>
      <c r="CA279" s="300">
        <v>0</v>
      </c>
      <c r="CB279" s="300">
        <v>0</v>
      </c>
      <c r="CC279" s="300">
        <v>0</v>
      </c>
      <c r="CD279" s="300">
        <v>0</v>
      </c>
      <c r="CE279" s="300">
        <v>0</v>
      </c>
    </row>
    <row r="280" spans="1:83" x14ac:dyDescent="0.3">
      <c r="A280" s="271">
        <v>620</v>
      </c>
      <c r="B280" s="271">
        <v>620</v>
      </c>
      <c r="C280" s="271" t="s">
        <v>700</v>
      </c>
      <c r="D280" s="271"/>
      <c r="E280" s="271">
        <v>2</v>
      </c>
      <c r="F280" s="271">
        <v>2</v>
      </c>
      <c r="G280" s="271">
        <v>2</v>
      </c>
      <c r="H280" s="271">
        <v>2</v>
      </c>
      <c r="I280" s="271">
        <v>2</v>
      </c>
      <c r="J280" s="271">
        <v>2</v>
      </c>
      <c r="K280" s="271">
        <v>2</v>
      </c>
      <c r="L280" s="271">
        <v>2</v>
      </c>
      <c r="M280" s="271">
        <v>2</v>
      </c>
      <c r="N280" s="271">
        <v>1</v>
      </c>
      <c r="O280" s="271">
        <v>2</v>
      </c>
      <c r="P280" s="271">
        <v>1</v>
      </c>
      <c r="Q280" s="271">
        <v>2</v>
      </c>
      <c r="R280" s="271">
        <v>2</v>
      </c>
      <c r="S280" s="271">
        <v>2</v>
      </c>
      <c r="T280" s="271">
        <v>2</v>
      </c>
      <c r="U280" s="271">
        <v>2</v>
      </c>
      <c r="V280" s="271">
        <v>2</v>
      </c>
      <c r="W280" s="271">
        <v>2</v>
      </c>
      <c r="X280" s="271">
        <v>2</v>
      </c>
      <c r="Y280" s="271">
        <v>0</v>
      </c>
      <c r="Z280" s="271">
        <v>2</v>
      </c>
      <c r="AA280" s="271">
        <v>2</v>
      </c>
      <c r="AB280" s="271">
        <v>2</v>
      </c>
      <c r="AC280" s="271">
        <v>2</v>
      </c>
      <c r="AD280" s="271">
        <v>2</v>
      </c>
      <c r="AE280" s="271">
        <v>0</v>
      </c>
      <c r="AF280" s="271">
        <v>0</v>
      </c>
      <c r="AG280" s="271">
        <v>1</v>
      </c>
      <c r="AH280" s="271">
        <v>2</v>
      </c>
      <c r="AI280" s="271">
        <v>2</v>
      </c>
      <c r="AJ280" s="271">
        <v>1</v>
      </c>
      <c r="AK280" s="271">
        <v>2</v>
      </c>
      <c r="AL280" s="271">
        <v>2</v>
      </c>
      <c r="AM280" s="271">
        <v>0</v>
      </c>
      <c r="AN280" s="271">
        <v>2</v>
      </c>
      <c r="AO280" s="271">
        <v>2</v>
      </c>
      <c r="AP280" s="271">
        <v>2</v>
      </c>
      <c r="AQ280" s="271">
        <v>2</v>
      </c>
      <c r="AR280" s="271">
        <v>2</v>
      </c>
      <c r="AS280" s="271">
        <v>2</v>
      </c>
      <c r="AT280" s="271">
        <v>2</v>
      </c>
      <c r="AU280" s="271">
        <v>2</v>
      </c>
      <c r="AV280" s="271">
        <v>1</v>
      </c>
      <c r="AW280" s="271">
        <v>1</v>
      </c>
      <c r="AX280" s="271">
        <v>2</v>
      </c>
      <c r="AY280" s="271">
        <v>2</v>
      </c>
      <c r="AZ280" s="271">
        <v>2</v>
      </c>
      <c r="BA280" s="271">
        <v>2</v>
      </c>
      <c r="BB280" s="271">
        <v>0</v>
      </c>
      <c r="BC280" s="271">
        <v>2</v>
      </c>
      <c r="BD280" s="271">
        <v>2</v>
      </c>
      <c r="BE280" s="271">
        <v>2</v>
      </c>
      <c r="BF280" s="271">
        <v>0</v>
      </c>
      <c r="BG280" s="271">
        <v>1</v>
      </c>
      <c r="BH280" s="271">
        <v>2</v>
      </c>
      <c r="BI280" s="271">
        <v>2</v>
      </c>
      <c r="BJ280" s="271">
        <v>1</v>
      </c>
      <c r="BK280" s="271">
        <v>2</v>
      </c>
      <c r="BL280" s="271">
        <v>0</v>
      </c>
      <c r="BM280" s="271">
        <v>2</v>
      </c>
      <c r="BN280" s="271">
        <v>1</v>
      </c>
      <c r="BO280" s="271">
        <v>2</v>
      </c>
      <c r="BP280" s="271">
        <v>1</v>
      </c>
      <c r="BQ280" s="271">
        <v>1</v>
      </c>
      <c r="BR280" s="271">
        <v>2</v>
      </c>
      <c r="BS280" s="271">
        <v>2</v>
      </c>
      <c r="BT280" s="300">
        <v>0</v>
      </c>
      <c r="BU280" s="300">
        <v>1</v>
      </c>
      <c r="BV280" s="300">
        <v>2</v>
      </c>
      <c r="BW280" s="300">
        <v>2</v>
      </c>
      <c r="BX280" s="300">
        <v>2</v>
      </c>
      <c r="BY280" s="300">
        <v>0</v>
      </c>
      <c r="BZ280" s="300">
        <v>2</v>
      </c>
      <c r="CA280" s="300">
        <v>2</v>
      </c>
      <c r="CB280" s="300">
        <v>2</v>
      </c>
      <c r="CC280" s="300">
        <v>2</v>
      </c>
      <c r="CD280" s="300">
        <v>2</v>
      </c>
      <c r="CE280" s="300">
        <v>1</v>
      </c>
    </row>
    <row r="281" spans="1:83" x14ac:dyDescent="0.3">
      <c r="A281" s="271">
        <v>621</v>
      </c>
      <c r="B281" s="271">
        <v>621</v>
      </c>
      <c r="C281" s="271" t="s">
        <v>716</v>
      </c>
      <c r="D281" s="271"/>
      <c r="E281" s="271">
        <v>0</v>
      </c>
      <c r="F281" s="271">
        <v>0</v>
      </c>
      <c r="G281" s="271">
        <v>0</v>
      </c>
      <c r="H281" s="271">
        <v>0</v>
      </c>
      <c r="I281" s="271">
        <v>0</v>
      </c>
      <c r="J281" s="271">
        <v>0</v>
      </c>
      <c r="K281" s="271">
        <v>0</v>
      </c>
      <c r="L281" s="271">
        <v>0</v>
      </c>
      <c r="M281" s="271">
        <v>0</v>
      </c>
      <c r="N281" s="271">
        <v>0</v>
      </c>
      <c r="O281" s="271">
        <v>0</v>
      </c>
      <c r="P281" s="271">
        <v>0</v>
      </c>
      <c r="Q281" s="271">
        <v>0</v>
      </c>
      <c r="R281" s="271">
        <v>10480910</v>
      </c>
      <c r="S281" s="271">
        <v>0</v>
      </c>
      <c r="T281" s="271">
        <v>0</v>
      </c>
      <c r="U281" s="271">
        <v>0</v>
      </c>
      <c r="V281" s="271">
        <v>0</v>
      </c>
      <c r="W281" s="271">
        <v>0</v>
      </c>
      <c r="X281" s="271">
        <v>0</v>
      </c>
      <c r="Y281" s="271">
        <v>0</v>
      </c>
      <c r="Z281" s="271">
        <v>0</v>
      </c>
      <c r="AA281" s="271">
        <v>0</v>
      </c>
      <c r="AB281" s="271">
        <v>0</v>
      </c>
      <c r="AC281" s="271">
        <v>0</v>
      </c>
      <c r="AD281" s="271">
        <v>0</v>
      </c>
      <c r="AE281" s="271">
        <v>0</v>
      </c>
      <c r="AF281" s="271">
        <v>0</v>
      </c>
      <c r="AG281" s="271">
        <v>0</v>
      </c>
      <c r="AH281" s="271">
        <v>0</v>
      </c>
      <c r="AI281" s="271">
        <v>0</v>
      </c>
      <c r="AJ281" s="271">
        <v>0</v>
      </c>
      <c r="AK281" s="271">
        <v>0</v>
      </c>
      <c r="AL281" s="271">
        <v>0</v>
      </c>
      <c r="AM281" s="271">
        <v>0</v>
      </c>
      <c r="AN281" s="271">
        <v>0</v>
      </c>
      <c r="AO281" s="271">
        <v>0</v>
      </c>
      <c r="AP281" s="271">
        <v>0</v>
      </c>
      <c r="AQ281" s="271">
        <v>0</v>
      </c>
      <c r="AR281" s="271">
        <v>0</v>
      </c>
      <c r="AS281" s="271">
        <v>0</v>
      </c>
      <c r="AT281" s="1114">
        <v>0</v>
      </c>
      <c r="AU281" s="271">
        <v>0</v>
      </c>
      <c r="AV281" s="271">
        <v>0</v>
      </c>
      <c r="AW281" s="1114">
        <v>0</v>
      </c>
      <c r="AX281" s="271">
        <v>0</v>
      </c>
      <c r="AY281" s="1114">
        <v>0</v>
      </c>
      <c r="AZ281" s="271">
        <v>0</v>
      </c>
      <c r="BA281" s="271">
        <v>0</v>
      </c>
      <c r="BB281" s="271">
        <v>0</v>
      </c>
      <c r="BC281" s="271">
        <v>0</v>
      </c>
      <c r="BD281" s="271">
        <v>0</v>
      </c>
      <c r="BE281" s="271">
        <v>0</v>
      </c>
      <c r="BF281" s="271">
        <v>0</v>
      </c>
      <c r="BG281" s="271">
        <v>0</v>
      </c>
      <c r="BH281" s="271">
        <v>0</v>
      </c>
      <c r="BI281" s="271">
        <v>0</v>
      </c>
      <c r="BJ281" s="271">
        <v>0</v>
      </c>
      <c r="BK281" s="271">
        <v>0</v>
      </c>
      <c r="BL281" s="271">
        <v>0</v>
      </c>
      <c r="BM281" s="271">
        <v>0</v>
      </c>
      <c r="BN281" s="271">
        <v>0</v>
      </c>
      <c r="BO281" s="271">
        <v>0</v>
      </c>
      <c r="BP281" s="271">
        <v>0</v>
      </c>
      <c r="BQ281" s="271">
        <v>0</v>
      </c>
      <c r="BR281" s="271">
        <v>0</v>
      </c>
      <c r="BS281" s="271">
        <v>0</v>
      </c>
      <c r="BT281" s="300">
        <v>0</v>
      </c>
      <c r="BU281" s="300">
        <v>0</v>
      </c>
      <c r="BV281" s="300">
        <v>0</v>
      </c>
      <c r="BW281" s="300">
        <v>0</v>
      </c>
      <c r="BX281" s="300">
        <v>0</v>
      </c>
      <c r="BY281" s="300">
        <v>0</v>
      </c>
      <c r="BZ281" s="300">
        <v>0</v>
      </c>
      <c r="CA281" s="300">
        <v>0</v>
      </c>
      <c r="CB281" s="300">
        <v>0</v>
      </c>
      <c r="CC281" s="300">
        <v>0</v>
      </c>
      <c r="CD281" s="300">
        <v>0</v>
      </c>
      <c r="CE281" s="300">
        <v>0</v>
      </c>
    </row>
    <row r="282" spans="1:83" x14ac:dyDescent="0.3">
      <c r="A282" s="271">
        <v>622</v>
      </c>
      <c r="B282" s="271">
        <v>622</v>
      </c>
      <c r="C282" s="271" t="s">
        <v>1774</v>
      </c>
      <c r="D282" s="271"/>
      <c r="E282" s="1114">
        <v>52192</v>
      </c>
      <c r="F282" s="1114">
        <v>254078</v>
      </c>
      <c r="G282" s="1114">
        <v>0</v>
      </c>
      <c r="H282" s="1114">
        <v>76630</v>
      </c>
      <c r="I282" s="271">
        <v>40804</v>
      </c>
      <c r="J282" s="1114">
        <v>5694</v>
      </c>
      <c r="K282" s="1114">
        <v>0</v>
      </c>
      <c r="L282" s="1114">
        <v>0</v>
      </c>
      <c r="M282" s="1114">
        <v>1061387</v>
      </c>
      <c r="N282" s="271">
        <v>30045474</v>
      </c>
      <c r="O282" s="1114">
        <v>33214</v>
      </c>
      <c r="P282" s="1114">
        <v>669475</v>
      </c>
      <c r="Q282" s="1114">
        <v>0</v>
      </c>
      <c r="R282" s="1114">
        <v>2421449</v>
      </c>
      <c r="S282" s="271">
        <v>0</v>
      </c>
      <c r="T282" s="271">
        <v>0</v>
      </c>
      <c r="U282" s="1114">
        <v>274954</v>
      </c>
      <c r="V282" s="1114">
        <v>83506</v>
      </c>
      <c r="W282" s="1114">
        <v>911928</v>
      </c>
      <c r="X282" s="271">
        <v>210664</v>
      </c>
      <c r="Y282" s="1114">
        <v>0</v>
      </c>
      <c r="Z282" s="1114">
        <v>263330</v>
      </c>
      <c r="AA282" s="1114">
        <v>4976225</v>
      </c>
      <c r="AB282" s="1114">
        <v>0</v>
      </c>
      <c r="AC282" s="1114">
        <v>28943</v>
      </c>
      <c r="AD282" s="1114">
        <v>3526070</v>
      </c>
      <c r="AE282" s="271">
        <v>55987</v>
      </c>
      <c r="AF282" s="1114">
        <v>0</v>
      </c>
      <c r="AG282" s="271">
        <v>16409491</v>
      </c>
      <c r="AH282" s="1114">
        <v>0</v>
      </c>
      <c r="AI282" s="1114">
        <v>22063</v>
      </c>
      <c r="AJ282" s="1114">
        <v>1102427</v>
      </c>
      <c r="AK282" s="1114">
        <v>102248</v>
      </c>
      <c r="AL282" s="271">
        <v>0</v>
      </c>
      <c r="AM282" s="271">
        <v>0</v>
      </c>
      <c r="AN282" s="1114">
        <v>0</v>
      </c>
      <c r="AO282" s="1114">
        <v>2514920</v>
      </c>
      <c r="AP282" s="1114">
        <v>0</v>
      </c>
      <c r="AQ282" s="271">
        <v>912878</v>
      </c>
      <c r="AR282" s="1114">
        <v>318368</v>
      </c>
      <c r="AS282" s="1114">
        <v>0</v>
      </c>
      <c r="AT282" s="1114">
        <v>104383</v>
      </c>
      <c r="AU282" s="1114">
        <v>0</v>
      </c>
      <c r="AV282" s="271">
        <v>59030749</v>
      </c>
      <c r="AW282" s="1114">
        <v>15074099</v>
      </c>
      <c r="AX282" s="1114">
        <v>245538</v>
      </c>
      <c r="AY282" s="1114">
        <v>39381</v>
      </c>
      <c r="AZ282" s="271">
        <v>46023</v>
      </c>
      <c r="BA282" s="271">
        <v>0</v>
      </c>
      <c r="BB282" s="1114">
        <v>0</v>
      </c>
      <c r="BC282" s="1114">
        <v>1401342</v>
      </c>
      <c r="BD282" s="271">
        <v>0</v>
      </c>
      <c r="BE282" s="271">
        <v>0</v>
      </c>
      <c r="BF282" s="1114">
        <v>0</v>
      </c>
      <c r="BG282" s="1114">
        <v>2246147</v>
      </c>
      <c r="BH282" s="271">
        <v>0</v>
      </c>
      <c r="BI282" s="1114">
        <v>2001309</v>
      </c>
      <c r="BJ282" s="1114">
        <v>350395</v>
      </c>
      <c r="BK282" s="1114">
        <v>0</v>
      </c>
      <c r="BL282" s="1114">
        <v>0</v>
      </c>
      <c r="BM282" s="1114">
        <v>3099939</v>
      </c>
      <c r="BN282" s="1114">
        <v>4637691</v>
      </c>
      <c r="BO282" s="1114">
        <v>345651</v>
      </c>
      <c r="BP282" s="1114">
        <v>10536521</v>
      </c>
      <c r="BQ282" s="1114">
        <v>26841389</v>
      </c>
      <c r="BR282" s="1114">
        <v>0</v>
      </c>
      <c r="BS282" s="1114">
        <v>1162922</v>
      </c>
      <c r="BT282" s="300">
        <v>69984</v>
      </c>
      <c r="BU282" s="300">
        <v>2209362</v>
      </c>
      <c r="BV282" s="300">
        <v>37720</v>
      </c>
      <c r="BW282" s="300">
        <v>0</v>
      </c>
      <c r="BX282" s="300">
        <v>479213</v>
      </c>
      <c r="BY282" s="300">
        <v>0</v>
      </c>
      <c r="BZ282" s="300">
        <v>6407933</v>
      </c>
      <c r="CA282" s="300">
        <v>67375</v>
      </c>
      <c r="CB282" s="300">
        <v>2135820</v>
      </c>
      <c r="CC282" s="300">
        <v>0</v>
      </c>
      <c r="CD282" s="300">
        <v>385031</v>
      </c>
      <c r="CE282" s="300">
        <v>4033930</v>
      </c>
    </row>
    <row r="283" spans="1:83" x14ac:dyDescent="0.3">
      <c r="A283" s="271">
        <v>624</v>
      </c>
      <c r="B283" s="271">
        <v>624</v>
      </c>
      <c r="C283" s="271" t="s">
        <v>718</v>
      </c>
      <c r="D283" s="271"/>
      <c r="E283" s="271">
        <v>1</v>
      </c>
      <c r="F283" s="271">
        <v>1</v>
      </c>
      <c r="G283" s="271">
        <v>1</v>
      </c>
      <c r="H283" s="271">
        <v>2</v>
      </c>
      <c r="I283" s="271">
        <v>1</v>
      </c>
      <c r="J283" s="271">
        <v>1</v>
      </c>
      <c r="K283" s="271">
        <v>1</v>
      </c>
      <c r="L283" s="271">
        <v>1</v>
      </c>
      <c r="M283" s="271">
        <v>2</v>
      </c>
      <c r="N283" s="271">
        <v>1</v>
      </c>
      <c r="O283" s="271">
        <v>2</v>
      </c>
      <c r="P283" s="271">
        <v>2</v>
      </c>
      <c r="Q283" s="271">
        <v>2</v>
      </c>
      <c r="R283" s="271">
        <v>1</v>
      </c>
      <c r="S283" s="271">
        <v>1</v>
      </c>
      <c r="T283" s="271">
        <v>2</v>
      </c>
      <c r="U283" s="271">
        <v>1</v>
      </c>
      <c r="V283" s="271">
        <v>2</v>
      </c>
      <c r="W283" s="271">
        <v>1</v>
      </c>
      <c r="X283" s="271">
        <v>1</v>
      </c>
      <c r="Y283" s="271">
        <v>0</v>
      </c>
      <c r="Z283" s="271">
        <v>2</v>
      </c>
      <c r="AA283" s="271">
        <v>1</v>
      </c>
      <c r="AB283" s="271">
        <v>2</v>
      </c>
      <c r="AC283" s="271">
        <v>2</v>
      </c>
      <c r="AD283" s="271">
        <v>2</v>
      </c>
      <c r="AE283" s="271">
        <v>2</v>
      </c>
      <c r="AF283" s="271">
        <v>0</v>
      </c>
      <c r="AG283" s="271">
        <v>1</v>
      </c>
      <c r="AH283" s="271">
        <v>1</v>
      </c>
      <c r="AI283" s="271">
        <v>1</v>
      </c>
      <c r="AJ283" s="271">
        <v>2</v>
      </c>
      <c r="AK283" s="271">
        <v>1</v>
      </c>
      <c r="AL283" s="271">
        <v>1</v>
      </c>
      <c r="AM283" s="271">
        <v>0</v>
      </c>
      <c r="AN283" s="271">
        <v>2</v>
      </c>
      <c r="AO283" s="271">
        <v>2</v>
      </c>
      <c r="AP283" s="271">
        <v>2</v>
      </c>
      <c r="AQ283" s="271">
        <v>1</v>
      </c>
      <c r="AR283" s="271">
        <v>2</v>
      </c>
      <c r="AS283" s="271">
        <v>1</v>
      </c>
      <c r="AT283" s="271">
        <v>1</v>
      </c>
      <c r="AU283" s="271">
        <v>1</v>
      </c>
      <c r="AV283" s="271">
        <v>1</v>
      </c>
      <c r="AW283" s="271">
        <v>2</v>
      </c>
      <c r="AX283" s="271">
        <v>1</v>
      </c>
      <c r="AY283" s="271">
        <v>2</v>
      </c>
      <c r="AZ283" s="271">
        <v>1</v>
      </c>
      <c r="BA283" s="271">
        <v>1</v>
      </c>
      <c r="BB283" s="271">
        <v>0</v>
      </c>
      <c r="BC283" s="271">
        <v>2</v>
      </c>
      <c r="BD283" s="271">
        <v>1</v>
      </c>
      <c r="BE283" s="271">
        <v>1</v>
      </c>
      <c r="BF283" s="271">
        <v>1</v>
      </c>
      <c r="BG283" s="271">
        <v>1</v>
      </c>
      <c r="BH283" s="271">
        <v>2</v>
      </c>
      <c r="BI283" s="271">
        <v>1</v>
      </c>
      <c r="BJ283" s="271">
        <v>2</v>
      </c>
      <c r="BK283" s="271">
        <v>1</v>
      </c>
      <c r="BL283" s="271">
        <v>0</v>
      </c>
      <c r="BM283" s="271">
        <v>1</v>
      </c>
      <c r="BN283" s="271">
        <v>2</v>
      </c>
      <c r="BO283" s="271">
        <v>1</v>
      </c>
      <c r="BP283" s="271">
        <v>1</v>
      </c>
      <c r="BQ283" s="271">
        <v>1</v>
      </c>
      <c r="BR283" s="271">
        <v>1</v>
      </c>
      <c r="BS283" s="271">
        <v>1</v>
      </c>
      <c r="BT283" s="300">
        <v>1</v>
      </c>
      <c r="BU283" s="300">
        <v>1</v>
      </c>
      <c r="BV283" s="300">
        <v>2</v>
      </c>
      <c r="BW283" s="300">
        <v>2</v>
      </c>
      <c r="BX283" s="300">
        <v>2</v>
      </c>
      <c r="BY283" s="300">
        <v>0</v>
      </c>
      <c r="BZ283" s="300">
        <v>1</v>
      </c>
      <c r="CA283" s="300">
        <v>2</v>
      </c>
      <c r="CB283" s="300">
        <v>1</v>
      </c>
      <c r="CC283" s="300">
        <v>2</v>
      </c>
      <c r="CD283" s="300">
        <v>2</v>
      </c>
      <c r="CE283" s="300">
        <v>1</v>
      </c>
    </row>
    <row r="284" spans="1:83" ht="100.8" x14ac:dyDescent="0.3">
      <c r="A284" s="271">
        <v>625</v>
      </c>
      <c r="B284" s="271">
        <v>625</v>
      </c>
      <c r="C284" s="964" t="s">
        <v>819</v>
      </c>
      <c r="D284" s="271"/>
      <c r="E284" s="271">
        <v>3</v>
      </c>
      <c r="F284" s="271">
        <v>1</v>
      </c>
      <c r="G284" s="271">
        <v>1</v>
      </c>
      <c r="H284" s="271">
        <v>3</v>
      </c>
      <c r="I284" s="271">
        <v>1</v>
      </c>
      <c r="J284" s="271">
        <v>1</v>
      </c>
      <c r="K284" s="271">
        <v>3</v>
      </c>
      <c r="L284" s="271">
        <v>1</v>
      </c>
      <c r="M284" s="271">
        <v>3</v>
      </c>
      <c r="N284" s="271">
        <v>1</v>
      </c>
      <c r="O284" s="271">
        <v>1</v>
      </c>
      <c r="P284" s="271">
        <v>1</v>
      </c>
      <c r="Q284" s="271">
        <v>1</v>
      </c>
      <c r="R284" s="271">
        <v>1</v>
      </c>
      <c r="S284" s="271">
        <v>1</v>
      </c>
      <c r="T284" s="271">
        <v>1</v>
      </c>
      <c r="U284" s="271">
        <v>3</v>
      </c>
      <c r="V284" s="271">
        <v>1</v>
      </c>
      <c r="W284" s="271">
        <v>1</v>
      </c>
      <c r="X284" s="271">
        <v>1</v>
      </c>
      <c r="Y284" s="271">
        <v>3</v>
      </c>
      <c r="Z284" s="271">
        <v>4</v>
      </c>
      <c r="AA284" s="271">
        <v>1</v>
      </c>
      <c r="AB284" s="271">
        <v>3</v>
      </c>
      <c r="AC284" s="271">
        <v>1</v>
      </c>
      <c r="AD284" s="271">
        <v>1</v>
      </c>
      <c r="AE284" s="271">
        <v>1</v>
      </c>
      <c r="AF284" s="271">
        <v>0</v>
      </c>
      <c r="AG284" s="271">
        <v>1</v>
      </c>
      <c r="AH284" s="271">
        <v>1</v>
      </c>
      <c r="AI284" s="271">
        <v>3</v>
      </c>
      <c r="AJ284" s="271">
        <v>1</v>
      </c>
      <c r="AK284" s="271">
        <v>3</v>
      </c>
      <c r="AL284" s="271">
        <v>4</v>
      </c>
      <c r="AM284" s="271">
        <v>0</v>
      </c>
      <c r="AN284" s="271">
        <v>1</v>
      </c>
      <c r="AO284" s="271">
        <v>1</v>
      </c>
      <c r="AP284" s="271">
        <v>1</v>
      </c>
      <c r="AQ284" s="271">
        <v>3</v>
      </c>
      <c r="AR284" s="271">
        <v>1</v>
      </c>
      <c r="AS284" s="271">
        <v>3</v>
      </c>
      <c r="AT284" s="271">
        <v>1</v>
      </c>
      <c r="AU284" s="271">
        <v>1</v>
      </c>
      <c r="AV284" s="271">
        <v>1</v>
      </c>
      <c r="AW284" s="271">
        <v>1</v>
      </c>
      <c r="AX284" s="271">
        <v>3</v>
      </c>
      <c r="AY284" s="271">
        <v>1</v>
      </c>
      <c r="AZ284" s="271">
        <v>3</v>
      </c>
      <c r="BA284" s="271">
        <v>4</v>
      </c>
      <c r="BB284" s="271">
        <v>0</v>
      </c>
      <c r="BC284" s="271">
        <v>1</v>
      </c>
      <c r="BD284" s="271">
        <v>1</v>
      </c>
      <c r="BE284" s="271">
        <v>1</v>
      </c>
      <c r="BF284" s="271">
        <v>1</v>
      </c>
      <c r="BG284" s="271">
        <v>1</v>
      </c>
      <c r="BH284" s="271">
        <v>4</v>
      </c>
      <c r="BI284" s="271">
        <v>1</v>
      </c>
      <c r="BJ284" s="271">
        <v>3</v>
      </c>
      <c r="BK284" s="271">
        <v>1</v>
      </c>
      <c r="BL284" s="271">
        <v>1</v>
      </c>
      <c r="BM284" s="271">
        <v>4</v>
      </c>
      <c r="BN284" s="271">
        <v>1</v>
      </c>
      <c r="BO284" s="271">
        <v>3</v>
      </c>
      <c r="BP284" s="271">
        <v>1</v>
      </c>
      <c r="BQ284" s="271">
        <v>1</v>
      </c>
      <c r="BR284" s="271">
        <v>1</v>
      </c>
      <c r="BS284" s="271">
        <v>1</v>
      </c>
      <c r="BT284" s="300">
        <v>1</v>
      </c>
      <c r="BU284" s="300">
        <v>4</v>
      </c>
      <c r="BV284" s="300">
        <v>1</v>
      </c>
      <c r="BW284" s="300">
        <v>1</v>
      </c>
      <c r="BX284" s="300">
        <v>3</v>
      </c>
      <c r="BY284" s="300">
        <v>0</v>
      </c>
      <c r="BZ284" s="300">
        <v>3</v>
      </c>
      <c r="CA284" s="300">
        <v>1</v>
      </c>
      <c r="CB284" s="300">
        <v>1</v>
      </c>
      <c r="CC284" s="300">
        <v>2</v>
      </c>
      <c r="CD284" s="300">
        <v>1</v>
      </c>
      <c r="CE284" s="300">
        <v>1</v>
      </c>
    </row>
    <row r="285" spans="1:83" x14ac:dyDescent="0.3">
      <c r="A285" s="271"/>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71"/>
      <c r="AE285" s="271"/>
      <c r="AF285" s="271"/>
      <c r="AG285" s="271"/>
      <c r="AH285" s="271"/>
      <c r="AI285" s="271"/>
      <c r="AJ285" s="271"/>
      <c r="AK285" s="271"/>
      <c r="AL285" s="271"/>
      <c r="AM285" s="271"/>
      <c r="AN285" s="271"/>
      <c r="AO285" s="271"/>
      <c r="AP285" s="271"/>
      <c r="AQ285" s="271"/>
      <c r="AR285" s="271"/>
      <c r="AS285" s="271"/>
      <c r="AT285" s="271"/>
      <c r="AU285" s="271"/>
      <c r="AV285" s="271"/>
      <c r="AW285" s="271"/>
      <c r="AX285" s="271"/>
      <c r="AY285" s="271"/>
      <c r="AZ285" s="271"/>
      <c r="BA285" s="271"/>
      <c r="BB285" s="271"/>
      <c r="BC285" s="271"/>
      <c r="BD285" s="271"/>
      <c r="BE285" s="271"/>
      <c r="BF285" s="271"/>
      <c r="BG285" s="271"/>
      <c r="BH285" s="271"/>
      <c r="BI285" s="271"/>
      <c r="BJ285" s="271"/>
      <c r="BK285" s="271"/>
      <c r="BL285" s="271"/>
      <c r="BM285" s="271"/>
      <c r="BN285" s="271"/>
      <c r="BO285" s="271"/>
      <c r="BP285" s="271"/>
      <c r="BQ285" s="271"/>
      <c r="BR285" s="271"/>
      <c r="BS285" s="271"/>
    </row>
    <row r="286" spans="1:83" x14ac:dyDescent="0.3">
      <c r="A286" s="271"/>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71"/>
      <c r="AE286" s="271"/>
      <c r="AF286" s="271"/>
      <c r="AG286" s="271"/>
      <c r="AH286" s="271"/>
      <c r="AI286" s="271"/>
      <c r="AJ286" s="271"/>
      <c r="AK286" s="271"/>
      <c r="AL286" s="271"/>
      <c r="AM286" s="271"/>
      <c r="AN286" s="271"/>
      <c r="AO286" s="271"/>
      <c r="AP286" s="271"/>
      <c r="AQ286" s="271"/>
      <c r="AR286" s="271"/>
      <c r="AS286" s="271"/>
      <c r="AT286" s="271"/>
      <c r="AU286" s="271"/>
      <c r="AV286" s="271"/>
      <c r="AW286" s="271"/>
      <c r="AX286" s="271"/>
      <c r="AY286" s="271"/>
      <c r="AZ286" s="271"/>
      <c r="BA286" s="271"/>
      <c r="BB286" s="271"/>
      <c r="BC286" s="271"/>
      <c r="BD286" s="271"/>
      <c r="BE286" s="271"/>
      <c r="BF286" s="271"/>
      <c r="BG286" s="271"/>
      <c r="BH286" s="271"/>
      <c r="BI286" s="271"/>
      <c r="BJ286" s="271"/>
      <c r="BK286" s="271"/>
      <c r="BL286" s="271"/>
      <c r="BM286" s="271"/>
      <c r="BN286" s="271"/>
      <c r="BO286" s="271"/>
      <c r="BP286" s="271"/>
      <c r="BQ286" s="271"/>
      <c r="BR286" s="271"/>
      <c r="BS286" s="271"/>
    </row>
    <row r="287" spans="1:83" x14ac:dyDescent="0.3">
      <c r="A287" s="271"/>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71"/>
      <c r="AE287" s="271"/>
      <c r="AF287" s="271"/>
      <c r="AG287" s="271"/>
      <c r="AH287" s="271"/>
      <c r="AI287" s="271"/>
      <c r="AJ287" s="271"/>
      <c r="AK287" s="271"/>
      <c r="AL287" s="271"/>
      <c r="AM287" s="271"/>
      <c r="AN287" s="271"/>
      <c r="AO287" s="271"/>
      <c r="AP287" s="271"/>
      <c r="AQ287" s="271"/>
      <c r="AR287" s="271"/>
      <c r="AS287" s="271"/>
      <c r="AT287" s="271"/>
      <c r="AU287" s="271"/>
      <c r="AV287" s="271"/>
      <c r="AW287" s="271"/>
      <c r="AX287" s="271"/>
      <c r="AY287" s="271"/>
      <c r="AZ287" s="271"/>
      <c r="BA287" s="271"/>
      <c r="BB287" s="271"/>
      <c r="BC287" s="271"/>
      <c r="BD287" s="271"/>
      <c r="BE287" s="271"/>
      <c r="BF287" s="271"/>
      <c r="BG287" s="271"/>
      <c r="BH287" s="271"/>
      <c r="BI287" s="271"/>
      <c r="BJ287" s="271"/>
      <c r="BK287" s="271"/>
      <c r="BL287" s="271"/>
      <c r="BM287" s="271"/>
      <c r="BN287" s="271"/>
      <c r="BO287" s="271"/>
      <c r="BP287" s="271"/>
      <c r="BQ287" s="271"/>
      <c r="BR287" s="271"/>
      <c r="BS287" s="271"/>
    </row>
    <row r="288" spans="1:83" x14ac:dyDescent="0.3">
      <c r="A288" s="1115"/>
      <c r="B288" s="1115"/>
      <c r="C288" s="1116"/>
      <c r="D288" s="1117"/>
      <c r="E288" s="1118"/>
      <c r="F288" s="1118"/>
      <c r="G288" s="1118"/>
      <c r="H288" s="1118"/>
      <c r="I288" s="1118"/>
      <c r="J288" s="1118"/>
      <c r="K288" s="1118"/>
      <c r="L288" s="1118"/>
      <c r="M288" s="1118"/>
      <c r="N288" s="1118"/>
      <c r="O288" s="1118"/>
      <c r="P288" s="1118"/>
      <c r="Q288" s="1118"/>
      <c r="R288" s="1118"/>
      <c r="S288" s="1118"/>
      <c r="T288" s="1118"/>
      <c r="U288" s="1118"/>
      <c r="V288" s="1118"/>
      <c r="W288" s="1118"/>
      <c r="X288" s="1118"/>
      <c r="Y288" s="1118"/>
      <c r="Z288" s="1118"/>
      <c r="AA288" s="1118"/>
      <c r="AB288" s="1118"/>
      <c r="AC288" s="1118"/>
      <c r="AD288" s="1118"/>
      <c r="AE288" s="1118"/>
      <c r="AF288" s="1118"/>
      <c r="AG288" s="1118"/>
      <c r="AH288" s="1118"/>
      <c r="AI288" s="1118"/>
      <c r="AJ288" s="1118"/>
      <c r="AK288" s="1118"/>
      <c r="AL288" s="1118"/>
      <c r="AM288" s="1118"/>
      <c r="AN288" s="1118"/>
      <c r="AO288" s="1118"/>
      <c r="AP288" s="1118"/>
      <c r="AQ288" s="1118"/>
      <c r="AR288" s="1118"/>
      <c r="AS288" s="1118"/>
      <c r="AT288" s="1118"/>
      <c r="AU288" s="1118"/>
      <c r="AV288" s="1118"/>
      <c r="AW288" s="1118"/>
      <c r="AX288" s="1118"/>
      <c r="AY288" s="1118"/>
      <c r="AZ288" s="1118"/>
      <c r="BA288" s="1118"/>
      <c r="BB288" s="1118"/>
      <c r="BC288" s="1118"/>
      <c r="BD288" s="1118"/>
      <c r="BE288" s="1118"/>
      <c r="BF288" s="1118"/>
      <c r="BG288" s="1118"/>
      <c r="BH288" s="1118"/>
      <c r="BI288" s="1118"/>
      <c r="BJ288" s="1118"/>
      <c r="BK288" s="1118"/>
      <c r="BL288" s="1118"/>
      <c r="BM288" s="1118"/>
      <c r="BN288" s="1118"/>
      <c r="BO288" s="1118"/>
      <c r="BP288" s="1118"/>
      <c r="BQ288" s="1118"/>
      <c r="BR288" s="1118"/>
      <c r="BS288" s="1118"/>
    </row>
    <row r="289" spans="1:83" x14ac:dyDescent="0.3">
      <c r="A289" s="1115">
        <v>647</v>
      </c>
      <c r="B289" s="1115">
        <v>647</v>
      </c>
      <c r="C289" s="1116" t="s">
        <v>789</v>
      </c>
      <c r="D289" s="1117"/>
      <c r="E289" s="1118">
        <v>0</v>
      </c>
      <c r="F289" s="1118">
        <v>0</v>
      </c>
      <c r="G289" s="1118">
        <v>0</v>
      </c>
      <c r="H289" s="1118">
        <v>0</v>
      </c>
      <c r="I289" s="1118">
        <v>0</v>
      </c>
      <c r="J289" s="1118">
        <v>0</v>
      </c>
      <c r="K289" s="1118">
        <v>0</v>
      </c>
      <c r="L289" s="1118">
        <v>0</v>
      </c>
      <c r="M289" s="1118">
        <v>0</v>
      </c>
      <c r="N289" s="1118">
        <v>0</v>
      </c>
      <c r="O289" s="1118">
        <v>0</v>
      </c>
      <c r="P289" s="1118">
        <v>0</v>
      </c>
      <c r="Q289" s="1118">
        <v>0</v>
      </c>
      <c r="R289" s="1118">
        <v>0</v>
      </c>
      <c r="S289" s="1118">
        <v>0</v>
      </c>
      <c r="T289" s="1118">
        <v>0</v>
      </c>
      <c r="U289" s="1118">
        <v>0</v>
      </c>
      <c r="V289" s="1118">
        <v>0</v>
      </c>
      <c r="W289" s="1118">
        <v>0</v>
      </c>
      <c r="X289" s="1118">
        <v>0</v>
      </c>
      <c r="Y289" s="1118">
        <v>0</v>
      </c>
      <c r="Z289" s="1118">
        <v>0</v>
      </c>
      <c r="AA289" s="1118">
        <v>4258932</v>
      </c>
      <c r="AB289" s="1118">
        <v>0</v>
      </c>
      <c r="AC289" s="1118">
        <v>0</v>
      </c>
      <c r="AD289" s="1118">
        <v>0</v>
      </c>
      <c r="AE289" s="1118">
        <v>0</v>
      </c>
      <c r="AF289" s="1118">
        <v>0</v>
      </c>
      <c r="AG289" s="1118">
        <v>0</v>
      </c>
      <c r="AH289" s="1118">
        <v>0</v>
      </c>
      <c r="AI289" s="1118">
        <v>0</v>
      </c>
      <c r="AJ289" s="1118">
        <v>0</v>
      </c>
      <c r="AK289" s="1118">
        <v>0</v>
      </c>
      <c r="AL289" s="1118">
        <v>0</v>
      </c>
      <c r="AM289" s="1118">
        <v>0</v>
      </c>
      <c r="AN289" s="1118">
        <v>0</v>
      </c>
      <c r="AO289" s="1118">
        <v>0</v>
      </c>
      <c r="AP289" s="1118">
        <v>0</v>
      </c>
      <c r="AQ289" s="1118">
        <v>0</v>
      </c>
      <c r="AR289" s="1118">
        <v>0</v>
      </c>
      <c r="AS289" s="1118">
        <v>0</v>
      </c>
      <c r="AT289" s="1118">
        <v>0</v>
      </c>
      <c r="AU289" s="1118">
        <v>0</v>
      </c>
      <c r="AV289" s="1118">
        <v>28636370</v>
      </c>
      <c r="AW289" s="1118">
        <v>1134799</v>
      </c>
      <c r="AX289" s="1118">
        <v>0</v>
      </c>
      <c r="AY289" s="1118">
        <v>0</v>
      </c>
      <c r="AZ289" s="1118">
        <v>0</v>
      </c>
      <c r="BA289" s="1118">
        <v>0</v>
      </c>
      <c r="BB289" s="1118">
        <v>0</v>
      </c>
      <c r="BC289" s="1118">
        <v>0</v>
      </c>
      <c r="BD289" s="1118">
        <v>0</v>
      </c>
      <c r="BE289" s="1118">
        <v>0</v>
      </c>
      <c r="BF289" s="1118">
        <v>0</v>
      </c>
      <c r="BG289" s="1118">
        <v>0</v>
      </c>
      <c r="BH289" s="1118">
        <v>0</v>
      </c>
      <c r="BI289" s="1118">
        <v>0</v>
      </c>
      <c r="BJ289" s="1118">
        <v>0</v>
      </c>
      <c r="BK289" s="1118">
        <v>0</v>
      </c>
      <c r="BL289" s="1118">
        <v>0</v>
      </c>
      <c r="BM289" s="1118">
        <v>0</v>
      </c>
      <c r="BN289" s="1118">
        <v>0</v>
      </c>
      <c r="BO289" s="1118">
        <v>0</v>
      </c>
      <c r="BP289" s="1118">
        <v>0</v>
      </c>
      <c r="BQ289" s="1118">
        <v>13193040</v>
      </c>
      <c r="BR289" s="1118">
        <v>0</v>
      </c>
      <c r="BS289" s="1118">
        <v>0</v>
      </c>
      <c r="BT289" s="300">
        <v>0</v>
      </c>
      <c r="BU289" s="300">
        <v>0</v>
      </c>
      <c r="BV289" s="300">
        <v>0</v>
      </c>
      <c r="BW289" s="300">
        <v>0</v>
      </c>
      <c r="BX289" s="300">
        <v>0</v>
      </c>
      <c r="BY289" s="300">
        <v>0</v>
      </c>
      <c r="BZ289" s="300">
        <v>0</v>
      </c>
      <c r="CA289" s="300">
        <v>0</v>
      </c>
      <c r="CB289" s="300">
        <v>0</v>
      </c>
      <c r="CC289" s="300">
        <v>0</v>
      </c>
      <c r="CD289" s="300">
        <v>0</v>
      </c>
      <c r="CE289" s="300">
        <v>0</v>
      </c>
    </row>
    <row r="290" spans="1:83" x14ac:dyDescent="0.3">
      <c r="A290" s="1119" t="s">
        <v>790</v>
      </c>
      <c r="B290" s="1120"/>
      <c r="C290" s="1120" t="s">
        <v>793</v>
      </c>
      <c r="D290" s="1120"/>
      <c r="E290" s="130">
        <v>407322</v>
      </c>
      <c r="F290" s="130">
        <v>765932</v>
      </c>
      <c r="G290" s="130">
        <v>408580</v>
      </c>
      <c r="H290" s="130">
        <v>948907</v>
      </c>
      <c r="I290" s="130">
        <v>652161</v>
      </c>
      <c r="J290" s="130">
        <v>176255</v>
      </c>
      <c r="K290" s="130">
        <v>122809</v>
      </c>
      <c r="L290" s="130">
        <v>653169</v>
      </c>
      <c r="M290" s="130">
        <v>2428501</v>
      </c>
      <c r="N290" s="130">
        <v>56500345</v>
      </c>
      <c r="O290" s="130">
        <v>2718252</v>
      </c>
      <c r="P290" s="130">
        <v>4362983</v>
      </c>
      <c r="Q290" s="130">
        <v>116434</v>
      </c>
      <c r="R290" s="130">
        <v>4257971</v>
      </c>
      <c r="S290" s="130">
        <v>128723</v>
      </c>
      <c r="T290" s="130">
        <v>535158</v>
      </c>
      <c r="U290" s="130">
        <v>494097</v>
      </c>
      <c r="V290" s="130">
        <v>999745</v>
      </c>
      <c r="W290" s="130">
        <v>3394179</v>
      </c>
      <c r="X290" s="130">
        <v>1014092</v>
      </c>
      <c r="Y290" s="130">
        <v>427586</v>
      </c>
      <c r="Z290" s="130">
        <v>108832</v>
      </c>
      <c r="AA290" s="130">
        <v>26734777</v>
      </c>
      <c r="AB290" s="130">
        <v>7160511</v>
      </c>
      <c r="AC290" s="130">
        <v>709657</v>
      </c>
      <c r="AD290" s="130">
        <v>24630417</v>
      </c>
      <c r="AE290" s="130">
        <v>461104</v>
      </c>
      <c r="AF290" s="130">
        <v>0</v>
      </c>
      <c r="AG290" s="130">
        <v>22809352</v>
      </c>
      <c r="AH290" s="130">
        <v>852960</v>
      </c>
      <c r="AI290" s="130">
        <v>304734</v>
      </c>
      <c r="AJ290" s="130">
        <v>2170866</v>
      </c>
      <c r="AK290" s="130">
        <v>787511</v>
      </c>
      <c r="AL290" s="130">
        <v>57024</v>
      </c>
      <c r="AM290" s="130">
        <v>0</v>
      </c>
      <c r="AN290" s="130">
        <v>664734</v>
      </c>
      <c r="AO290" s="130">
        <v>8866165</v>
      </c>
      <c r="AP290" s="130">
        <v>48884</v>
      </c>
      <c r="AQ290" s="130">
        <v>2750093</v>
      </c>
      <c r="AR290" s="130">
        <v>1841583</v>
      </c>
      <c r="AS290" s="130">
        <v>195783</v>
      </c>
      <c r="AT290" s="130">
        <v>639049</v>
      </c>
      <c r="AU290" s="130">
        <v>622066</v>
      </c>
      <c r="AV290" s="130">
        <v>65911605</v>
      </c>
      <c r="AW290" s="130">
        <v>16952592</v>
      </c>
      <c r="AX290" s="130">
        <v>629123</v>
      </c>
      <c r="AY290" s="130">
        <v>245685</v>
      </c>
      <c r="AZ290" s="130">
        <v>297114</v>
      </c>
      <c r="BA290" s="130">
        <v>176611</v>
      </c>
      <c r="BB290" s="130">
        <v>0</v>
      </c>
      <c r="BC290" s="130">
        <v>2499355</v>
      </c>
      <c r="BD290" s="130">
        <v>1114779</v>
      </c>
      <c r="BE290" s="130">
        <v>228739</v>
      </c>
      <c r="BF290" s="130">
        <v>123468</v>
      </c>
      <c r="BG290" s="130">
        <v>4609181</v>
      </c>
      <c r="BH290" s="130">
        <v>77739</v>
      </c>
      <c r="BI290" s="130">
        <v>9296758</v>
      </c>
      <c r="BJ290" s="130">
        <v>896562</v>
      </c>
      <c r="BK290" s="130">
        <v>472253</v>
      </c>
      <c r="BL290" s="130">
        <v>477943</v>
      </c>
      <c r="BM290" s="130">
        <v>10827500</v>
      </c>
      <c r="BN290" s="130">
        <v>5182283</v>
      </c>
      <c r="BO290" s="130">
        <v>1739538</v>
      </c>
      <c r="BP290" s="130">
        <v>28652245</v>
      </c>
      <c r="BQ290" s="130">
        <v>28339122</v>
      </c>
      <c r="BR290" s="130">
        <v>230722</v>
      </c>
      <c r="BS290" s="130">
        <v>3742332</v>
      </c>
      <c r="BT290" s="300">
        <v>2641956</v>
      </c>
      <c r="BU290" s="300">
        <v>4579613</v>
      </c>
      <c r="BV290" s="300">
        <v>301442</v>
      </c>
      <c r="BW290" s="300">
        <v>1054697</v>
      </c>
      <c r="BX290" s="300">
        <v>2485688</v>
      </c>
      <c r="BY290" s="300">
        <v>0</v>
      </c>
      <c r="BZ290" s="300">
        <v>13240310</v>
      </c>
      <c r="CA290" s="300">
        <v>134550</v>
      </c>
      <c r="CB290" s="300">
        <v>5784034</v>
      </c>
      <c r="CC290" s="300">
        <v>409585</v>
      </c>
      <c r="CD290" s="300">
        <v>1574865</v>
      </c>
      <c r="CE290" s="300">
        <v>45040667</v>
      </c>
    </row>
    <row r="291" spans="1:83" x14ac:dyDescent="0.3">
      <c r="A291" s="1119" t="s">
        <v>791</v>
      </c>
      <c r="B291" s="1120"/>
      <c r="C291" s="1120" t="s">
        <v>799</v>
      </c>
      <c r="D291" s="1120"/>
      <c r="E291" s="130">
        <v>2652387</v>
      </c>
      <c r="F291" s="130">
        <v>2375429</v>
      </c>
      <c r="G291" s="130">
        <v>371481</v>
      </c>
      <c r="H291" s="130">
        <v>865670</v>
      </c>
      <c r="I291" s="130">
        <v>620042</v>
      </c>
      <c r="J291" s="130">
        <v>408021</v>
      </c>
      <c r="K291" s="130">
        <v>58326</v>
      </c>
      <c r="L291" s="130">
        <v>69683</v>
      </c>
      <c r="M291" s="130">
        <v>4834650</v>
      </c>
      <c r="N291" s="130">
        <v>162037667</v>
      </c>
      <c r="O291" s="130">
        <v>2007267</v>
      </c>
      <c r="P291" s="130">
        <v>7341793</v>
      </c>
      <c r="Q291" s="130">
        <v>140421</v>
      </c>
      <c r="R291" s="130">
        <v>16622793</v>
      </c>
      <c r="S291" s="130">
        <v>68683</v>
      </c>
      <c r="T291" s="130">
        <v>265541</v>
      </c>
      <c r="U291" s="130">
        <v>1848615</v>
      </c>
      <c r="V291" s="130">
        <v>1732473</v>
      </c>
      <c r="W291" s="130">
        <v>4348579</v>
      </c>
      <c r="X291" s="130">
        <v>2117039</v>
      </c>
      <c r="Y291" s="130">
        <v>705208</v>
      </c>
      <c r="Z291" s="130">
        <v>1150373</v>
      </c>
      <c r="AA291" s="130">
        <v>29922382</v>
      </c>
      <c r="AB291" s="130">
        <v>1017117</v>
      </c>
      <c r="AC291" s="130">
        <v>582904</v>
      </c>
      <c r="AD291" s="130">
        <v>36454676</v>
      </c>
      <c r="AE291" s="130">
        <v>717536</v>
      </c>
      <c r="AF291" s="130">
        <v>0</v>
      </c>
      <c r="AG291" s="130">
        <v>64898695</v>
      </c>
      <c r="AH291" s="130">
        <v>121739</v>
      </c>
      <c r="AI291" s="130">
        <v>203586</v>
      </c>
      <c r="AJ291" s="130">
        <v>6662424</v>
      </c>
      <c r="AK291" s="130">
        <v>758061</v>
      </c>
      <c r="AL291" s="130">
        <v>53565</v>
      </c>
      <c r="AM291" s="130">
        <v>0</v>
      </c>
      <c r="AN291" s="130">
        <v>119539</v>
      </c>
      <c r="AO291" s="130">
        <v>12455163</v>
      </c>
      <c r="AP291" s="130">
        <v>65186</v>
      </c>
      <c r="AQ291" s="130">
        <v>4312635</v>
      </c>
      <c r="AR291" s="130">
        <v>2546993</v>
      </c>
      <c r="AS291" s="130">
        <v>54125</v>
      </c>
      <c r="AT291" s="130">
        <v>900974</v>
      </c>
      <c r="AU291" s="130">
        <v>161614</v>
      </c>
      <c r="AV291" s="130">
        <v>285238549</v>
      </c>
      <c r="AW291" s="130">
        <v>83783928</v>
      </c>
      <c r="AX291" s="130">
        <v>1635168</v>
      </c>
      <c r="AY291" s="130">
        <v>281354</v>
      </c>
      <c r="AZ291" s="130">
        <v>296811</v>
      </c>
      <c r="BA291" s="130">
        <v>198124</v>
      </c>
      <c r="BB291" s="130">
        <v>0</v>
      </c>
      <c r="BC291" s="130">
        <v>5227129</v>
      </c>
      <c r="BD291" s="130">
        <v>246781</v>
      </c>
      <c r="BE291" s="130">
        <v>96190</v>
      </c>
      <c r="BF291" s="130">
        <v>47047</v>
      </c>
      <c r="BG291" s="130">
        <v>15267319</v>
      </c>
      <c r="BH291" s="130">
        <v>14981</v>
      </c>
      <c r="BI291" s="130">
        <v>13000336</v>
      </c>
      <c r="BJ291" s="130">
        <v>2365485</v>
      </c>
      <c r="BK291" s="130">
        <v>200146</v>
      </c>
      <c r="BL291" s="130">
        <v>72187</v>
      </c>
      <c r="BM291" s="130">
        <v>15745642</v>
      </c>
      <c r="BN291" s="130">
        <v>15788760</v>
      </c>
      <c r="BO291" s="130">
        <v>1707016</v>
      </c>
      <c r="BP291" s="130">
        <v>53105991</v>
      </c>
      <c r="BQ291" s="130">
        <v>107226937</v>
      </c>
      <c r="BR291" s="130">
        <v>362835</v>
      </c>
      <c r="BS291" s="130">
        <v>6012595</v>
      </c>
      <c r="BT291" s="300">
        <v>1467218</v>
      </c>
      <c r="BU291" s="300">
        <v>9569292</v>
      </c>
      <c r="BV291" s="300">
        <v>146707</v>
      </c>
      <c r="BW291" s="300">
        <v>584691</v>
      </c>
      <c r="BX291" s="300">
        <v>3368887</v>
      </c>
      <c r="BY291" s="300">
        <v>0</v>
      </c>
      <c r="BZ291" s="300">
        <v>47514126</v>
      </c>
      <c r="CA291" s="300">
        <v>267604</v>
      </c>
      <c r="CB291" s="300">
        <v>14008315</v>
      </c>
      <c r="CC291" s="300">
        <v>652066</v>
      </c>
      <c r="CD291" s="300">
        <v>3151991</v>
      </c>
      <c r="CE291" s="300">
        <v>39354415</v>
      </c>
    </row>
    <row r="292" spans="1:83" x14ac:dyDescent="0.3">
      <c r="A292" s="1119" t="s">
        <v>792</v>
      </c>
      <c r="B292" s="1120"/>
      <c r="C292" s="1121" t="s">
        <v>798</v>
      </c>
      <c r="D292" s="1120"/>
      <c r="E292" s="1122">
        <v>0.15356808791477261</v>
      </c>
      <c r="F292" s="1122">
        <v>0.32243944146509956</v>
      </c>
      <c r="G292" s="1122">
        <v>1.0998678263491268</v>
      </c>
      <c r="H292" s="1122">
        <v>1.0961532685665438</v>
      </c>
      <c r="I292" s="1122">
        <v>1.0518013295873505</v>
      </c>
      <c r="J292" s="1122">
        <v>0.43197531499604186</v>
      </c>
      <c r="K292" s="1122">
        <v>2.1055618420601445</v>
      </c>
      <c r="L292" s="1122">
        <v>9.373433979593301</v>
      </c>
      <c r="M292" s="1122">
        <v>0.50231164613777624</v>
      </c>
      <c r="N292" s="1122">
        <v>0.34868648781520656</v>
      </c>
      <c r="O292" s="1122">
        <v>1.3542054943363289</v>
      </c>
      <c r="P292" s="1122">
        <v>0.59426668662546056</v>
      </c>
      <c r="Q292" s="1122">
        <v>0.82917797195576159</v>
      </c>
      <c r="R292" s="1122">
        <v>0.25615256112495655</v>
      </c>
      <c r="S292" s="1122">
        <v>1.8741610005387068</v>
      </c>
      <c r="T292" s="1122">
        <v>2.0153497953235093</v>
      </c>
      <c r="U292" s="1122">
        <v>0.26727955793932212</v>
      </c>
      <c r="V292" s="1122">
        <v>0.57706238423340506</v>
      </c>
      <c r="W292" s="1122">
        <v>0.78052600631148705</v>
      </c>
      <c r="X292" s="1122">
        <v>0.47901432141779154</v>
      </c>
      <c r="Y292" s="1122">
        <v>0.60632607684541295</v>
      </c>
      <c r="Z292" s="1122">
        <v>9.4605836541712993E-2</v>
      </c>
      <c r="AA292" s="1122">
        <v>0.89347088076076298</v>
      </c>
      <c r="AB292" s="1122">
        <v>7.0400071968121658</v>
      </c>
      <c r="AC292" s="1122">
        <v>1.2174509010059975</v>
      </c>
      <c r="AD292" s="1122">
        <v>0.67564492961067601</v>
      </c>
      <c r="AE292" s="1122">
        <v>0.64262141551085938</v>
      </c>
      <c r="AF292" s="1122" t="e">
        <v>#DIV/0!</v>
      </c>
      <c r="AG292" s="1122">
        <v>0.35146087298057382</v>
      </c>
      <c r="AH292" s="1122">
        <v>7.0064646497835534</v>
      </c>
      <c r="AI292" s="1122">
        <v>1.4968318057233798</v>
      </c>
      <c r="AJ292" s="1122">
        <v>0.32583726283406761</v>
      </c>
      <c r="AK292" s="1122">
        <v>1.0388491163639866</v>
      </c>
      <c r="AL292" s="1122">
        <v>1.0645757490898908</v>
      </c>
      <c r="AM292" s="1122" t="e">
        <v>#DIV/0!</v>
      </c>
      <c r="AN292" s="1122">
        <v>5.5608127891315808</v>
      </c>
      <c r="AO292" s="1122">
        <v>0.71184656515534961</v>
      </c>
      <c r="AP292" s="1122">
        <v>0.74991562605467432</v>
      </c>
      <c r="AQ292" s="1122">
        <v>0.63768276239468447</v>
      </c>
      <c r="AR292" s="1122">
        <v>0.72304203427335689</v>
      </c>
      <c r="AS292" s="1122">
        <v>3.6172378752886836</v>
      </c>
      <c r="AT292" s="1122">
        <v>0.70928683846592688</v>
      </c>
      <c r="AU292" s="1122">
        <v>3.8490848565099558</v>
      </c>
      <c r="AV292" s="1122">
        <v>0.23107537614069129</v>
      </c>
      <c r="AW292" s="1122">
        <v>0.20233704010630774</v>
      </c>
      <c r="AX292" s="1122">
        <v>0.38474517603084207</v>
      </c>
      <c r="AY292" s="1122">
        <v>0.87322376792226164</v>
      </c>
      <c r="AZ292" s="1122">
        <v>1.0010208516530721</v>
      </c>
      <c r="BA292" s="1122">
        <v>0.8914164866447275</v>
      </c>
      <c r="BB292" s="1122" t="e">
        <v>#DIV/0!</v>
      </c>
      <c r="BC292" s="1122">
        <v>0.4781506253241502</v>
      </c>
      <c r="BD292" s="1122">
        <v>4.5172805037664974</v>
      </c>
      <c r="BE292" s="1122">
        <v>2.3779914752053228</v>
      </c>
      <c r="BF292" s="1122">
        <v>2.62435436903522</v>
      </c>
      <c r="BG292" s="1122">
        <v>0.30189851931436029</v>
      </c>
      <c r="BH292" s="1122">
        <v>5.1891729524063814</v>
      </c>
      <c r="BI292" s="1122">
        <v>0.71511674775175038</v>
      </c>
      <c r="BJ292" s="1122">
        <v>0.37901825629839125</v>
      </c>
      <c r="BK292" s="1122">
        <v>2.3595425339502163</v>
      </c>
      <c r="BL292" s="1122">
        <v>6.6209012703118288</v>
      </c>
      <c r="BM292" s="1122">
        <v>0.68765058928686429</v>
      </c>
      <c r="BN292" s="1122">
        <v>0.32822609248604706</v>
      </c>
      <c r="BO292" s="1122">
        <v>1.0190519596770036</v>
      </c>
      <c r="BP292" s="1122">
        <v>0.53952942898664669</v>
      </c>
      <c r="BQ292" s="1122">
        <v>0.26429107081553582</v>
      </c>
      <c r="BR292" s="1122">
        <v>0.63588683561398429</v>
      </c>
      <c r="BS292" s="1122">
        <v>0.62241544624242939</v>
      </c>
      <c r="BT292" s="300">
        <v>1.8006567531205315</v>
      </c>
      <c r="BU292" s="300">
        <v>0.47857385896469667</v>
      </c>
      <c r="BV292" s="300">
        <v>2.0547213152746631</v>
      </c>
      <c r="BW292" s="300">
        <v>1.80385365945431</v>
      </c>
      <c r="BX292" s="300">
        <v>0.73783656145189791</v>
      </c>
      <c r="BY292" s="300" t="e">
        <v>#DIV/0!</v>
      </c>
      <c r="BZ292" s="300">
        <v>0.27866049772229839</v>
      </c>
      <c r="CA292" s="300">
        <v>0.50279517496001558</v>
      </c>
      <c r="CB292" s="300">
        <v>0.4129000525759165</v>
      </c>
      <c r="CC292" s="300">
        <v>0.62813426861698052</v>
      </c>
      <c r="CD292" s="300">
        <v>0.49964133780838843</v>
      </c>
      <c r="CE292" s="300">
        <v>1.1444882867652841</v>
      </c>
    </row>
    <row r="293" spans="1:83" x14ac:dyDescent="0.3">
      <c r="A293" s="1119" t="s">
        <v>794</v>
      </c>
      <c r="B293" s="1120"/>
      <c r="C293" s="1123" t="s">
        <v>800</v>
      </c>
      <c r="D293" s="1120"/>
      <c r="E293" s="1124">
        <v>326591</v>
      </c>
      <c r="F293" s="1124">
        <v>182292</v>
      </c>
      <c r="G293" s="1124">
        <v>0</v>
      </c>
      <c r="H293" s="1124">
        <v>25086</v>
      </c>
      <c r="I293" s="1124">
        <v>94244</v>
      </c>
      <c r="J293" s="1124">
        <v>0</v>
      </c>
      <c r="K293" s="1124">
        <v>0</v>
      </c>
      <c r="L293" s="1124">
        <v>51086</v>
      </c>
      <c r="M293" s="1124">
        <v>830545</v>
      </c>
      <c r="N293" s="1124">
        <v>0</v>
      </c>
      <c r="O293" s="1124">
        <v>0</v>
      </c>
      <c r="P293" s="1124">
        <v>0</v>
      </c>
      <c r="Q293" s="1124">
        <v>0</v>
      </c>
      <c r="R293" s="1124">
        <v>95846</v>
      </c>
      <c r="S293" s="1124">
        <v>0</v>
      </c>
      <c r="T293" s="1124">
        <v>0</v>
      </c>
      <c r="U293" s="1124">
        <v>109603</v>
      </c>
      <c r="V293" s="1124">
        <v>95548</v>
      </c>
      <c r="W293" s="1124">
        <v>1035197</v>
      </c>
      <c r="X293" s="1124">
        <v>0</v>
      </c>
      <c r="Y293" s="1124">
        <v>21527</v>
      </c>
      <c r="Z293" s="1124">
        <v>101510</v>
      </c>
      <c r="AA293" s="1124">
        <v>3966990</v>
      </c>
      <c r="AB293" s="1124">
        <v>0</v>
      </c>
      <c r="AC293" s="1124">
        <v>12719</v>
      </c>
      <c r="AD293" s="1124">
        <v>0</v>
      </c>
      <c r="AE293" s="1124">
        <v>0</v>
      </c>
      <c r="AF293" s="1124">
        <v>0</v>
      </c>
      <c r="AG293" s="1124">
        <v>7048410</v>
      </c>
      <c r="AH293" s="1124">
        <v>0</v>
      </c>
      <c r="AI293" s="1124">
        <v>0</v>
      </c>
      <c r="AJ293" s="1124">
        <v>48718</v>
      </c>
      <c r="AK293" s="1124">
        <v>0</v>
      </c>
      <c r="AL293" s="1124">
        <v>0</v>
      </c>
      <c r="AM293" s="1124">
        <v>0</v>
      </c>
      <c r="AN293" s="1124">
        <v>126000</v>
      </c>
      <c r="AO293" s="1124">
        <v>650773</v>
      </c>
      <c r="AP293" s="1124">
        <v>0</v>
      </c>
      <c r="AQ293" s="1124">
        <v>201561</v>
      </c>
      <c r="AR293" s="1124">
        <v>0</v>
      </c>
      <c r="AS293" s="1124">
        <v>0</v>
      </c>
      <c r="AT293" s="1124">
        <v>215020</v>
      </c>
      <c r="AU293" s="1124">
        <v>0</v>
      </c>
      <c r="AV293" s="1124">
        <v>21982105</v>
      </c>
      <c r="AW293" s="1124">
        <v>11443630</v>
      </c>
      <c r="AX293" s="1124">
        <v>49792</v>
      </c>
      <c r="AY293" s="1124">
        <v>28080</v>
      </c>
      <c r="AZ293" s="1124">
        <v>0</v>
      </c>
      <c r="BA293" s="1124">
        <v>0</v>
      </c>
      <c r="BB293" s="1124">
        <v>0</v>
      </c>
      <c r="BC293" s="1124">
        <v>111115</v>
      </c>
      <c r="BD293" s="1124">
        <v>13581</v>
      </c>
      <c r="BE293" s="1124">
        <v>0</v>
      </c>
      <c r="BF293" s="1124">
        <v>36102</v>
      </c>
      <c r="BG293" s="1124">
        <v>1674920</v>
      </c>
      <c r="BH293" s="1124">
        <v>0</v>
      </c>
      <c r="BI293" s="1124">
        <v>1020964</v>
      </c>
      <c r="BJ293" s="1124">
        <v>32908</v>
      </c>
      <c r="BK293" s="1124">
        <v>0</v>
      </c>
      <c r="BL293" s="1124">
        <v>0</v>
      </c>
      <c r="BM293" s="1124">
        <v>2535544</v>
      </c>
      <c r="BN293" s="1124">
        <v>2312996</v>
      </c>
      <c r="BO293" s="1124">
        <v>609240</v>
      </c>
      <c r="BP293" s="1124">
        <v>3432090</v>
      </c>
      <c r="BQ293" s="1124">
        <v>16501856</v>
      </c>
      <c r="BR293" s="1124">
        <v>0</v>
      </c>
      <c r="BS293" s="1124">
        <v>93349</v>
      </c>
      <c r="BT293" s="300">
        <v>0</v>
      </c>
      <c r="BU293" s="300">
        <v>2004103</v>
      </c>
      <c r="BV293" s="300">
        <v>0</v>
      </c>
      <c r="BW293" s="300">
        <v>0</v>
      </c>
      <c r="BX293" s="300">
        <v>753927</v>
      </c>
      <c r="BY293" s="300">
        <v>0</v>
      </c>
      <c r="BZ293" s="300">
        <v>4000380</v>
      </c>
      <c r="CA293" s="300">
        <v>25730</v>
      </c>
      <c r="CB293" s="300">
        <v>0</v>
      </c>
      <c r="CC293" s="300">
        <v>25321</v>
      </c>
      <c r="CD293" s="300">
        <v>0</v>
      </c>
      <c r="CE293" s="300">
        <v>0</v>
      </c>
    </row>
    <row r="294" spans="1:83" x14ac:dyDescent="0.3">
      <c r="A294" s="1119" t="s">
        <v>1775</v>
      </c>
      <c r="B294" s="1120"/>
      <c r="C294" s="1120" t="s">
        <v>795</v>
      </c>
      <c r="D294" s="1120"/>
      <c r="E294" s="1124">
        <v>0</v>
      </c>
      <c r="F294" s="1124">
        <v>0</v>
      </c>
      <c r="G294" s="1124">
        <v>0</v>
      </c>
      <c r="H294" s="1124">
        <v>0</v>
      </c>
      <c r="I294" s="1124">
        <v>0</v>
      </c>
      <c r="J294" s="1124">
        <v>0</v>
      </c>
      <c r="K294" s="1124">
        <v>0</v>
      </c>
      <c r="L294" s="1124">
        <v>0</v>
      </c>
      <c r="M294" s="1124">
        <v>258813</v>
      </c>
      <c r="N294" s="1124">
        <v>0</v>
      </c>
      <c r="O294" s="1124">
        <v>0</v>
      </c>
      <c r="P294" s="1124">
        <v>0</v>
      </c>
      <c r="Q294" s="1124">
        <v>0</v>
      </c>
      <c r="R294" s="1124">
        <v>34949</v>
      </c>
      <c r="S294" s="1124">
        <v>0</v>
      </c>
      <c r="T294" s="1124">
        <v>0</v>
      </c>
      <c r="U294" s="1124">
        <v>0</v>
      </c>
      <c r="V294" s="1124">
        <v>0</v>
      </c>
      <c r="W294" s="1124">
        <v>0</v>
      </c>
      <c r="X294" s="1124">
        <v>0</v>
      </c>
      <c r="Y294" s="1124">
        <v>0</v>
      </c>
      <c r="Z294" s="1124">
        <v>2685</v>
      </c>
      <c r="AA294" s="1124">
        <v>0</v>
      </c>
      <c r="AB294" s="1124">
        <v>0</v>
      </c>
      <c r="AC294" s="1124">
        <v>0</v>
      </c>
      <c r="AD294" s="1124">
        <v>0</v>
      </c>
      <c r="AE294" s="1124">
        <v>0</v>
      </c>
      <c r="AF294" s="1124">
        <v>0</v>
      </c>
      <c r="AG294" s="1124">
        <v>16869</v>
      </c>
      <c r="AH294" s="1124">
        <v>0</v>
      </c>
      <c r="AI294" s="1124">
        <v>0</v>
      </c>
      <c r="AJ294" s="1124">
        <v>0</v>
      </c>
      <c r="AK294" s="1124">
        <v>0</v>
      </c>
      <c r="AL294" s="1124">
        <v>0</v>
      </c>
      <c r="AM294" s="1124">
        <v>0</v>
      </c>
      <c r="AN294" s="1124">
        <v>0</v>
      </c>
      <c r="AO294" s="1124">
        <v>0</v>
      </c>
      <c r="AP294" s="1124">
        <v>0</v>
      </c>
      <c r="AQ294" s="1124">
        <v>0</v>
      </c>
      <c r="AR294" s="1124">
        <v>0</v>
      </c>
      <c r="AS294" s="1124">
        <v>0</v>
      </c>
      <c r="AT294" s="1124">
        <v>0</v>
      </c>
      <c r="AU294" s="1124">
        <v>0</v>
      </c>
      <c r="AV294" s="1124">
        <v>0</v>
      </c>
      <c r="AW294" s="1124">
        <v>3964422</v>
      </c>
      <c r="AX294" s="1124">
        <v>0</v>
      </c>
      <c r="AY294" s="1124">
        <v>0</v>
      </c>
      <c r="AZ294" s="1124">
        <v>0</v>
      </c>
      <c r="BA294" s="1124">
        <v>0</v>
      </c>
      <c r="BB294" s="1124">
        <v>0</v>
      </c>
      <c r="BC294" s="1124">
        <v>0</v>
      </c>
      <c r="BD294" s="1124">
        <v>0</v>
      </c>
      <c r="BE294" s="1124">
        <v>0</v>
      </c>
      <c r="BF294" s="1124">
        <v>0</v>
      </c>
      <c r="BG294" s="1124">
        <v>0</v>
      </c>
      <c r="BH294" s="1124">
        <v>0</v>
      </c>
      <c r="BI294" s="1124">
        <v>0</v>
      </c>
      <c r="BJ294" s="1124">
        <v>0</v>
      </c>
      <c r="BK294" s="1124">
        <v>0</v>
      </c>
      <c r="BL294" s="1124">
        <v>0</v>
      </c>
      <c r="BM294" s="1124">
        <v>0</v>
      </c>
      <c r="BN294" s="1124">
        <v>0</v>
      </c>
      <c r="BO294" s="1124">
        <v>19223</v>
      </c>
      <c r="BP294" s="1124">
        <v>0</v>
      </c>
      <c r="BQ294" s="1124">
        <v>0</v>
      </c>
      <c r="BR294" s="1124">
        <v>0</v>
      </c>
      <c r="BS294" s="1124">
        <v>314680</v>
      </c>
      <c r="BT294" s="300">
        <v>0</v>
      </c>
      <c r="BU294" s="300">
        <v>0</v>
      </c>
      <c r="BV294" s="300">
        <v>0</v>
      </c>
      <c r="BW294" s="300">
        <v>0</v>
      </c>
      <c r="BX294" s="300">
        <v>0</v>
      </c>
      <c r="BY294" s="300">
        <v>0</v>
      </c>
      <c r="BZ294" s="300">
        <v>0</v>
      </c>
      <c r="CA294" s="300">
        <v>2788</v>
      </c>
      <c r="CB294" s="300">
        <v>0</v>
      </c>
      <c r="CC294" s="300">
        <v>0</v>
      </c>
      <c r="CD294" s="300">
        <v>0</v>
      </c>
      <c r="CE294" s="300">
        <v>0</v>
      </c>
    </row>
    <row r="295" spans="1:83" x14ac:dyDescent="0.3">
      <c r="A295" s="1119" t="s">
        <v>797</v>
      </c>
      <c r="B295" s="271"/>
      <c r="C295" s="1120" t="s">
        <v>796</v>
      </c>
      <c r="D295" s="271"/>
      <c r="E295" s="1125">
        <v>201742</v>
      </c>
      <c r="F295" s="1125">
        <v>332542</v>
      </c>
      <c r="G295" s="1125">
        <v>0</v>
      </c>
      <c r="H295" s="1125">
        <v>930722</v>
      </c>
      <c r="I295" s="1125">
        <v>408219</v>
      </c>
      <c r="J295" s="1125">
        <v>128361</v>
      </c>
      <c r="K295" s="1125">
        <v>0</v>
      </c>
      <c r="L295" s="1125">
        <v>442770</v>
      </c>
      <c r="M295" s="1125">
        <v>3908414</v>
      </c>
      <c r="N295" s="1125">
        <v>0</v>
      </c>
      <c r="O295" s="1125">
        <v>0</v>
      </c>
      <c r="P295" s="1125">
        <v>0</v>
      </c>
      <c r="Q295" s="1125">
        <v>133110</v>
      </c>
      <c r="R295" s="1125">
        <v>5974041</v>
      </c>
      <c r="S295" s="1125">
        <v>0</v>
      </c>
      <c r="T295" s="1125">
        <v>223054</v>
      </c>
      <c r="U295" s="1125">
        <v>1045579</v>
      </c>
      <c r="V295" s="1125">
        <v>837288</v>
      </c>
      <c r="W295" s="1125">
        <v>5559060</v>
      </c>
      <c r="X295" s="1125">
        <v>0</v>
      </c>
      <c r="Y295" s="1125">
        <v>423831</v>
      </c>
      <c r="Z295" s="1125">
        <v>218459</v>
      </c>
      <c r="AA295" s="1125">
        <v>20166041</v>
      </c>
      <c r="AB295" s="1125">
        <v>15647</v>
      </c>
      <c r="AC295" s="1125">
        <v>509165</v>
      </c>
      <c r="AD295" s="1125">
        <v>0</v>
      </c>
      <c r="AE295" s="1125">
        <v>0</v>
      </c>
      <c r="AF295" s="1125">
        <v>0</v>
      </c>
      <c r="AG295" s="1125">
        <v>27648082</v>
      </c>
      <c r="AH295" s="1125">
        <v>704</v>
      </c>
      <c r="AI295" s="1125">
        <v>245601</v>
      </c>
      <c r="AJ295" s="1125">
        <v>2136489</v>
      </c>
      <c r="AK295" s="1125">
        <v>94641</v>
      </c>
      <c r="AL295" s="1125">
        <v>92405</v>
      </c>
      <c r="AM295" s="1125">
        <v>0</v>
      </c>
      <c r="AN295" s="1125">
        <v>328411</v>
      </c>
      <c r="AO295" s="1125">
        <v>11716758</v>
      </c>
      <c r="AP295" s="1125">
        <v>0</v>
      </c>
      <c r="AQ295" s="1125">
        <v>2613955</v>
      </c>
      <c r="AR295" s="1125">
        <v>0</v>
      </c>
      <c r="AS295" s="1125">
        <v>0</v>
      </c>
      <c r="AT295" s="1125">
        <v>1964864</v>
      </c>
      <c r="AU295" s="1125">
        <v>398004</v>
      </c>
      <c r="AV295" s="1125">
        <v>61248783</v>
      </c>
      <c r="AW295" s="1125">
        <v>20692686</v>
      </c>
      <c r="AX295" s="1125">
        <v>649725</v>
      </c>
      <c r="AY295" s="1125">
        <v>153111</v>
      </c>
      <c r="AZ295" s="1125">
        <v>216930</v>
      </c>
      <c r="BA295" s="1125">
        <v>82524</v>
      </c>
      <c r="BB295" s="1125">
        <v>0</v>
      </c>
      <c r="BC295" s="1125">
        <v>3743814</v>
      </c>
      <c r="BD295" s="1125">
        <v>530891</v>
      </c>
      <c r="BE295" s="1125">
        <v>0</v>
      </c>
      <c r="BF295" s="1125">
        <v>163731</v>
      </c>
      <c r="BG295" s="1125">
        <v>9862465</v>
      </c>
      <c r="BH295" s="1125">
        <v>0</v>
      </c>
      <c r="BI295" s="1125">
        <v>9651920</v>
      </c>
      <c r="BJ295" s="1125">
        <v>965677</v>
      </c>
      <c r="BK295" s="1125">
        <v>0</v>
      </c>
      <c r="BL295" s="1125">
        <v>0</v>
      </c>
      <c r="BM295" s="1125">
        <v>28771249</v>
      </c>
      <c r="BN295" s="1125">
        <v>16602424</v>
      </c>
      <c r="BO295" s="1125">
        <v>747350</v>
      </c>
      <c r="BP295" s="1125">
        <v>39177925</v>
      </c>
      <c r="BQ295" s="1125">
        <v>63863266</v>
      </c>
      <c r="BR295" s="1125">
        <v>181502</v>
      </c>
      <c r="BS295" s="1125">
        <v>2018078</v>
      </c>
      <c r="BT295" s="300">
        <v>0</v>
      </c>
      <c r="BU295" s="300">
        <v>19696769</v>
      </c>
      <c r="BV295" s="300">
        <v>290885</v>
      </c>
      <c r="BW295" s="300">
        <v>0</v>
      </c>
      <c r="BX295" s="300">
        <v>3216578</v>
      </c>
      <c r="BY295" s="300">
        <v>0</v>
      </c>
      <c r="BZ295" s="300">
        <v>38704475</v>
      </c>
      <c r="CA295" s="300">
        <v>455208</v>
      </c>
      <c r="CB295" s="300">
        <v>0</v>
      </c>
      <c r="CC295" s="300">
        <v>152840</v>
      </c>
      <c r="CD295" s="300">
        <v>0</v>
      </c>
      <c r="CE295" s="300">
        <v>0</v>
      </c>
    </row>
    <row r="296" spans="1:83" x14ac:dyDescent="0.3">
      <c r="A296" s="1119" t="s">
        <v>801</v>
      </c>
      <c r="B296" s="271"/>
      <c r="C296" s="1120" t="s">
        <v>803</v>
      </c>
      <c r="D296" s="271"/>
      <c r="E296" s="1126">
        <v>23.180479558699229</v>
      </c>
      <c r="F296" s="1126">
        <v>29.864593580537221</v>
      </c>
      <c r="G296" s="1126" t="e">
        <v>#DIV/0!</v>
      </c>
      <c r="H296" s="1126">
        <v>53.185078196746026</v>
      </c>
      <c r="I296" s="1126">
        <v>54.433442252488852</v>
      </c>
      <c r="J296" s="1126">
        <v>36.111458985597999</v>
      </c>
      <c r="K296" s="1126" t="e">
        <v>#DIV/0!</v>
      </c>
      <c r="L296" s="1126">
        <v>34.191273887907499</v>
      </c>
      <c r="M296" s="1126">
        <v>66.158250110905016</v>
      </c>
      <c r="N296" s="1126" t="e">
        <v>#DIV/0!</v>
      </c>
      <c r="O296" s="1126" t="e">
        <v>#DIV/0!</v>
      </c>
      <c r="P296" s="1126" t="e">
        <v>#DIV/0!</v>
      </c>
      <c r="Q296" s="1126">
        <v>148.49956396015972</v>
      </c>
      <c r="R296" s="1126">
        <v>45.913388826133946</v>
      </c>
      <c r="S296" s="1126" t="e">
        <v>#DIV/0!</v>
      </c>
      <c r="T296" s="1126">
        <v>32.5462718138551</v>
      </c>
      <c r="U296" s="1126">
        <v>33.588230655751126</v>
      </c>
      <c r="V296" s="1126">
        <v>44.1561756723627</v>
      </c>
      <c r="W296" s="1126">
        <v>49.430677228870813</v>
      </c>
      <c r="X296" s="1126" t="e">
        <v>#DIV/0!</v>
      </c>
      <c r="Y296" s="1126">
        <v>34.545509858965808</v>
      </c>
      <c r="Z296" s="1126">
        <v>50.128351667616251</v>
      </c>
      <c r="AA296" s="1126">
        <v>39.3930434974272</v>
      </c>
      <c r="AB296" s="1126">
        <v>74.776214833759596</v>
      </c>
      <c r="AC296" s="1126">
        <v>34.883452886937121</v>
      </c>
      <c r="AD296" s="1126" t="e">
        <v>#DIV/0!</v>
      </c>
      <c r="AE296" s="1126" t="e">
        <v>#DIV/0!</v>
      </c>
      <c r="AF296" s="1126" t="e">
        <v>#DIV/0!</v>
      </c>
      <c r="AG296" s="1126">
        <v>59.441043823922641</v>
      </c>
      <c r="AH296" s="1126" t="e">
        <v>#DIV/0!</v>
      </c>
      <c r="AI296" s="1126">
        <v>75.640398966575745</v>
      </c>
      <c r="AJ296" s="1126">
        <v>31.318783787495576</v>
      </c>
      <c r="AK296" s="1126">
        <v>145.66811622850366</v>
      </c>
      <c r="AL296" s="1126">
        <v>15.039994618461124</v>
      </c>
      <c r="AM296" s="1126" t="e">
        <v>#DIV/0!</v>
      </c>
      <c r="AN296" s="1126">
        <v>0</v>
      </c>
      <c r="AO296" s="1126">
        <v>64.786147044851162</v>
      </c>
      <c r="AP296" s="1126" t="e">
        <v>#DIV/0!</v>
      </c>
      <c r="AQ296" s="1126">
        <v>103.37524821463818</v>
      </c>
      <c r="AR296" s="1126" t="e">
        <v>#DIV/0!</v>
      </c>
      <c r="AS296" s="1126" t="e">
        <v>#DIV/0!</v>
      </c>
      <c r="AT296" s="1126">
        <v>55.363185883490452</v>
      </c>
      <c r="AU296" s="1126">
        <v>40.195129220094451</v>
      </c>
      <c r="AV296" s="1126">
        <v>54.632747864468179</v>
      </c>
      <c r="AW296" s="1126">
        <v>49.313687386383876</v>
      </c>
      <c r="AX296" s="1126">
        <v>42.500519629124085</v>
      </c>
      <c r="AY296" s="1126">
        <v>24.668275488256636</v>
      </c>
      <c r="AZ296" s="1126">
        <v>34.948084985864348</v>
      </c>
      <c r="BA296" s="1126">
        <v>58.401178631253913</v>
      </c>
      <c r="BB296" s="1126" t="e">
        <v>#DIV/0!</v>
      </c>
      <c r="BC296" s="1126">
        <v>38.148720710457155</v>
      </c>
      <c r="BD296" s="1126">
        <v>37.783866349078579</v>
      </c>
      <c r="BE296" s="1126" t="e">
        <v>#DIV/0!</v>
      </c>
      <c r="BF296" s="1126">
        <v>38.127798816132945</v>
      </c>
      <c r="BG296" s="1126">
        <v>65.624407390463148</v>
      </c>
      <c r="BH296" s="1126" t="e">
        <v>#DIV/0!</v>
      </c>
      <c r="BI296" s="1126">
        <v>48.811703894171096</v>
      </c>
      <c r="BJ296" s="1126">
        <v>22.559601234883942</v>
      </c>
      <c r="BK296" s="1126" t="e">
        <v>#DIV/0!</v>
      </c>
      <c r="BL296" s="1126" t="e">
        <v>#DIV/0!</v>
      </c>
      <c r="BM296" s="1126">
        <v>28.56344424576389</v>
      </c>
      <c r="BN296" s="1126">
        <v>55.128725927974457</v>
      </c>
      <c r="BO296" s="1126">
        <v>60.177335853600759</v>
      </c>
      <c r="BP296" s="1126">
        <v>45.081768264077716</v>
      </c>
      <c r="BQ296" s="1126">
        <v>39.535801183573547</v>
      </c>
      <c r="BR296" s="1126">
        <v>30.172124116307273</v>
      </c>
      <c r="BS296" s="1126">
        <v>55.927392079593247</v>
      </c>
      <c r="BT296" s="300" t="e">
        <v>#DIV/0!</v>
      </c>
      <c r="BU296" s="300">
        <v>59.524520468987248</v>
      </c>
      <c r="BV296" s="300">
        <v>77.865652900978475</v>
      </c>
      <c r="BW296" s="300" t="e">
        <v>#DIV/0!</v>
      </c>
      <c r="BX296" s="300">
        <v>46.146239910937936</v>
      </c>
      <c r="BY296" s="300" t="e">
        <v>#DIV/0!</v>
      </c>
      <c r="BZ296" s="300">
        <v>50.470450700348607</v>
      </c>
      <c r="CA296" s="300">
        <v>78.603781993497478</v>
      </c>
      <c r="CB296" s="300" t="e">
        <v>#DIV/0!</v>
      </c>
      <c r="CC296" s="300">
        <v>28.801145324821629</v>
      </c>
      <c r="CD296" s="300" t="e">
        <v>#DIV/0!</v>
      </c>
      <c r="CE296" s="300" t="e">
        <v>#DIV/0!</v>
      </c>
    </row>
    <row r="297" spans="1:83" x14ac:dyDescent="0.3">
      <c r="A297" s="1119" t="s">
        <v>802</v>
      </c>
      <c r="B297" s="271"/>
      <c r="C297" s="1120" t="s">
        <v>804</v>
      </c>
      <c r="D297" s="271"/>
      <c r="E297" s="1126" t="e">
        <v>#DIV/0!</v>
      </c>
      <c r="F297" s="1126" t="e">
        <v>#DIV/0!</v>
      </c>
      <c r="G297" s="1126" t="e">
        <v>#DIV/0!</v>
      </c>
      <c r="H297" s="1126" t="e">
        <v>#DIV/0!</v>
      </c>
      <c r="I297" s="1126" t="e">
        <v>#DIV/0!</v>
      </c>
      <c r="J297" s="1126" t="e">
        <v>#DIV/0!</v>
      </c>
      <c r="K297" s="1126" t="e">
        <v>#DIV/0!</v>
      </c>
      <c r="L297" s="1126" t="e">
        <v>#DIV/0!</v>
      </c>
      <c r="M297" s="1126">
        <v>52.885611311829209</v>
      </c>
      <c r="N297" s="1126" t="e">
        <v>#DIV/0!</v>
      </c>
      <c r="O297" s="1126" t="e">
        <v>#DIV/0!</v>
      </c>
      <c r="P297" s="1126" t="e">
        <v>#DIV/0!</v>
      </c>
      <c r="Q297" s="1126" t="e">
        <v>#DIV/0!</v>
      </c>
      <c r="R297" s="1126">
        <v>57.155478869293546</v>
      </c>
      <c r="S297" s="1126" t="e">
        <v>#DIV/0!</v>
      </c>
      <c r="T297" s="1126">
        <v>34.851597175066672</v>
      </c>
      <c r="U297" s="1126" t="e">
        <v>#DIV/0!</v>
      </c>
      <c r="V297" s="1126" t="e">
        <v>#DIV/0!</v>
      </c>
      <c r="W297" s="1126" t="e">
        <v>#DIV/0!</v>
      </c>
      <c r="X297" s="1126" t="e">
        <v>#DIV/0!</v>
      </c>
      <c r="Y297" s="1126" t="e">
        <v>#DIV/0!</v>
      </c>
      <c r="Z297" s="1126">
        <v>49.829633259206211</v>
      </c>
      <c r="AA297" s="1126" t="e">
        <v>#DIV/0!</v>
      </c>
      <c r="AB297" s="1126" t="e">
        <v>#DIV/0!</v>
      </c>
      <c r="AC297" s="1126" t="e">
        <v>#DIV/0!</v>
      </c>
      <c r="AD297" s="1126" t="e">
        <v>#DIV/0!</v>
      </c>
      <c r="AE297" s="1126" t="e">
        <v>#DIV/0!</v>
      </c>
      <c r="AF297" s="1126" t="e">
        <v>#DIV/0!</v>
      </c>
      <c r="AG297" s="1126">
        <v>48.55172385821686</v>
      </c>
      <c r="AH297" s="1126" t="e">
        <v>#DIV/0!</v>
      </c>
      <c r="AI297" s="1126" t="e">
        <v>#DIV/0!</v>
      </c>
      <c r="AJ297" s="1126" t="e">
        <v>#DIV/0!</v>
      </c>
      <c r="AK297" s="1126" t="e">
        <v>#DIV/0!</v>
      </c>
      <c r="AL297" s="1126" t="e">
        <v>#DIV/0!</v>
      </c>
      <c r="AM297" s="1126" t="e">
        <v>#DIV/0!</v>
      </c>
      <c r="AN297" s="1126" t="e">
        <v>#DIV/0!</v>
      </c>
      <c r="AO297" s="1126" t="e">
        <v>#DIV/0!</v>
      </c>
      <c r="AP297" s="1126" t="e">
        <v>#DIV/0!</v>
      </c>
      <c r="AQ297" s="1126">
        <v>49.745380089733189</v>
      </c>
      <c r="AR297" s="1126" t="e">
        <v>#DIV/0!</v>
      </c>
      <c r="AS297" s="1126" t="e">
        <v>#DIV/0!</v>
      </c>
      <c r="AT297" s="1126" t="e">
        <v>#DIV/0!</v>
      </c>
      <c r="AU297" s="1126" t="e">
        <v>#DIV/0!</v>
      </c>
      <c r="AV297" s="1126" t="e">
        <v>#DIV/0!</v>
      </c>
      <c r="AW297" s="1126">
        <v>43.973635970404494</v>
      </c>
      <c r="AX297" s="1126" t="e">
        <v>#DIV/0!</v>
      </c>
      <c r="AY297" s="1126" t="e">
        <v>#DIV/0!</v>
      </c>
      <c r="AZ297" s="1126" t="e">
        <v>#DIV/0!</v>
      </c>
      <c r="BA297" s="1126" t="e">
        <v>#DIV/0!</v>
      </c>
      <c r="BB297" s="1126" t="e">
        <v>#DIV/0!</v>
      </c>
      <c r="BC297" s="1126" t="e">
        <v>#DIV/0!</v>
      </c>
      <c r="BD297" s="1126" t="e">
        <v>#DIV/0!</v>
      </c>
      <c r="BE297" s="1126" t="e">
        <v>#DIV/0!</v>
      </c>
      <c r="BF297" s="1126" t="e">
        <v>#DIV/0!</v>
      </c>
      <c r="BG297" s="1126" t="e">
        <v>#DIV/0!</v>
      </c>
      <c r="BH297" s="1126" t="e">
        <v>#DIV/0!</v>
      </c>
      <c r="BI297" s="1126" t="e">
        <v>#DIV/0!</v>
      </c>
      <c r="BJ297" s="1126" t="e">
        <v>#DIV/0!</v>
      </c>
      <c r="BK297" s="1126" t="e">
        <v>#DIV/0!</v>
      </c>
      <c r="BL297" s="1126" t="e">
        <v>#DIV/0!</v>
      </c>
      <c r="BM297" s="1126" t="e">
        <v>#DIV/0!</v>
      </c>
      <c r="BN297" s="1126" t="e">
        <v>#DIV/0!</v>
      </c>
      <c r="BO297" s="1126">
        <v>45.225888039514643</v>
      </c>
      <c r="BP297" s="1126" t="e">
        <v>#DIV/0!</v>
      </c>
      <c r="BQ297" s="1126">
        <v>43.988111408563597</v>
      </c>
      <c r="BR297" s="1126" t="e">
        <v>#DIV/0!</v>
      </c>
      <c r="BS297" s="1126">
        <v>42.324170260470972</v>
      </c>
      <c r="BT297" s="300" t="e">
        <v>#DIV/0!</v>
      </c>
      <c r="BU297" s="300" t="e">
        <v>#DIV/0!</v>
      </c>
      <c r="BV297" s="300">
        <v>27.432213246950486</v>
      </c>
      <c r="BW297" s="300" t="e">
        <v>#DIV/0!</v>
      </c>
      <c r="BX297" s="300" t="e">
        <v>#DIV/0!</v>
      </c>
      <c r="BY297" s="300" t="e">
        <v>#DIV/0!</v>
      </c>
      <c r="BZ297" s="300" t="e">
        <v>#DIV/0!</v>
      </c>
      <c r="CA297" s="300">
        <v>37.474977027889253</v>
      </c>
      <c r="CB297" s="300" t="e">
        <v>#DIV/0!</v>
      </c>
      <c r="CC297" s="300" t="e">
        <v>#DIV/0!</v>
      </c>
      <c r="CD297" s="300" t="e">
        <v>#DIV/0!</v>
      </c>
      <c r="CE297" s="300">
        <v>43.040554727946578</v>
      </c>
    </row>
    <row r="298" spans="1:83" x14ac:dyDescent="0.3">
      <c r="A298" s="301" t="s">
        <v>872</v>
      </c>
      <c r="C298" s="301" t="s">
        <v>875</v>
      </c>
      <c r="E298" s="415">
        <f>+E290-E8</f>
        <v>407322</v>
      </c>
      <c r="F298" s="415">
        <f t="shared" ref="F298:BQ298" si="0">+F290-F8</f>
        <v>697697</v>
      </c>
      <c r="G298" s="415">
        <f t="shared" si="0"/>
        <v>408580</v>
      </c>
      <c r="H298" s="415">
        <f t="shared" si="0"/>
        <v>930789</v>
      </c>
      <c r="I298" s="415">
        <f t="shared" si="0"/>
        <v>487161</v>
      </c>
      <c r="J298" s="415">
        <f t="shared" si="0"/>
        <v>166426</v>
      </c>
      <c r="K298" s="415">
        <f t="shared" si="0"/>
        <v>97492</v>
      </c>
      <c r="L298" s="415">
        <f t="shared" si="0"/>
        <v>450485</v>
      </c>
      <c r="M298" s="415">
        <f t="shared" si="0"/>
        <v>1912660</v>
      </c>
      <c r="N298" s="415">
        <f t="shared" si="0"/>
        <v>56500345</v>
      </c>
      <c r="O298" s="415">
        <f t="shared" si="0"/>
        <v>2718252</v>
      </c>
      <c r="P298" s="415">
        <f t="shared" si="0"/>
        <v>3797757</v>
      </c>
      <c r="Q298" s="415">
        <f t="shared" si="0"/>
        <v>98216</v>
      </c>
      <c r="R298" s="415">
        <f t="shared" si="0"/>
        <v>3902672</v>
      </c>
      <c r="S298" s="415">
        <f t="shared" si="0"/>
        <v>125495</v>
      </c>
      <c r="T298" s="415">
        <f t="shared" si="0"/>
        <v>476091</v>
      </c>
      <c r="U298" s="415">
        <f t="shared" si="0"/>
        <v>494097</v>
      </c>
      <c r="V298" s="415">
        <f t="shared" si="0"/>
        <v>876745</v>
      </c>
      <c r="W298" s="415">
        <f t="shared" si="0"/>
        <v>2748542</v>
      </c>
      <c r="X298" s="415">
        <f t="shared" si="0"/>
        <v>993303</v>
      </c>
      <c r="Y298" s="415">
        <f t="shared" si="0"/>
        <v>413912</v>
      </c>
      <c r="Z298" s="415">
        <f t="shared" si="0"/>
        <v>27414</v>
      </c>
      <c r="AA298" s="415">
        <f t="shared" si="0"/>
        <v>24979683</v>
      </c>
      <c r="AB298" s="415">
        <f t="shared" si="0"/>
        <v>7160511</v>
      </c>
      <c r="AC298" s="415">
        <f t="shared" si="0"/>
        <v>692767</v>
      </c>
      <c r="AD298" s="415">
        <f t="shared" si="0"/>
        <v>24512640</v>
      </c>
      <c r="AE298" s="415">
        <f t="shared" si="0"/>
        <v>453581</v>
      </c>
      <c r="AF298" s="415">
        <f t="shared" si="0"/>
        <v>0</v>
      </c>
      <c r="AG298" s="415">
        <f t="shared" si="0"/>
        <v>21272296</v>
      </c>
      <c r="AH298" s="415">
        <f t="shared" si="0"/>
        <v>811460</v>
      </c>
      <c r="AI298" s="415">
        <f t="shared" si="0"/>
        <v>274387</v>
      </c>
      <c r="AJ298" s="415">
        <f t="shared" si="0"/>
        <v>2077394</v>
      </c>
      <c r="AK298" s="415">
        <f t="shared" si="0"/>
        <v>733015</v>
      </c>
      <c r="AL298" s="415">
        <f t="shared" si="0"/>
        <v>36577</v>
      </c>
      <c r="AM298" s="415">
        <f t="shared" si="0"/>
        <v>0</v>
      </c>
      <c r="AN298" s="415">
        <f t="shared" si="0"/>
        <v>559285</v>
      </c>
      <c r="AO298" s="415">
        <f t="shared" si="0"/>
        <v>8866165</v>
      </c>
      <c r="AP298" s="415">
        <f t="shared" si="0"/>
        <v>48884</v>
      </c>
      <c r="AQ298" s="415">
        <f t="shared" si="0"/>
        <v>2750093</v>
      </c>
      <c r="AR298" s="415">
        <f t="shared" si="0"/>
        <v>1789206</v>
      </c>
      <c r="AS298" s="415">
        <f t="shared" si="0"/>
        <v>195783</v>
      </c>
      <c r="AT298" s="415">
        <f t="shared" si="0"/>
        <v>492215</v>
      </c>
      <c r="AU298" s="415">
        <f t="shared" si="0"/>
        <v>449970</v>
      </c>
      <c r="AV298" s="415">
        <f t="shared" si="0"/>
        <v>65911605</v>
      </c>
      <c r="AW298" s="415">
        <f t="shared" si="0"/>
        <v>16250296</v>
      </c>
      <c r="AX298" s="415">
        <f t="shared" si="0"/>
        <v>629123</v>
      </c>
      <c r="AY298" s="415">
        <f t="shared" si="0"/>
        <v>231794</v>
      </c>
      <c r="AZ298" s="415">
        <f t="shared" si="0"/>
        <v>266752</v>
      </c>
      <c r="BA298" s="415">
        <f t="shared" si="0"/>
        <v>152938</v>
      </c>
      <c r="BB298" s="415">
        <f t="shared" si="0"/>
        <v>0</v>
      </c>
      <c r="BC298" s="415">
        <f t="shared" si="0"/>
        <v>2454924</v>
      </c>
      <c r="BD298" s="415">
        <f t="shared" si="0"/>
        <v>1114779</v>
      </c>
      <c r="BE298" s="415">
        <f t="shared" si="0"/>
        <v>191160</v>
      </c>
      <c r="BF298" s="415">
        <f t="shared" si="0"/>
        <v>109814</v>
      </c>
      <c r="BG298" s="415">
        <f t="shared" si="0"/>
        <v>4452320</v>
      </c>
      <c r="BH298" s="415">
        <f t="shared" si="0"/>
        <v>57369</v>
      </c>
      <c r="BI298" s="415">
        <f t="shared" si="0"/>
        <v>8511081</v>
      </c>
      <c r="BJ298" s="415">
        <f t="shared" si="0"/>
        <v>462609</v>
      </c>
      <c r="BK298" s="415">
        <f t="shared" si="0"/>
        <v>388190</v>
      </c>
      <c r="BL298" s="415">
        <f t="shared" si="0"/>
        <v>477943</v>
      </c>
      <c r="BM298" s="415">
        <f t="shared" si="0"/>
        <v>9790878</v>
      </c>
      <c r="BN298" s="415">
        <f t="shared" si="0"/>
        <v>5182283</v>
      </c>
      <c r="BO298" s="415">
        <f t="shared" si="0"/>
        <v>1481571</v>
      </c>
      <c r="BP298" s="415">
        <f t="shared" si="0"/>
        <v>28652245</v>
      </c>
      <c r="BQ298" s="415">
        <f t="shared" si="0"/>
        <v>28339122</v>
      </c>
      <c r="BR298" s="415">
        <f t="shared" ref="BR298:BS298" si="1">+BR290-BR8</f>
        <v>224339</v>
      </c>
      <c r="BS298" s="415">
        <f t="shared" si="1"/>
        <v>3630187</v>
      </c>
    </row>
    <row r="299" spans="1:83" x14ac:dyDescent="0.3">
      <c r="A299" s="301" t="s">
        <v>873</v>
      </c>
      <c r="C299" s="300" t="s">
        <v>874</v>
      </c>
      <c r="E299" s="416">
        <f>E298/E291</f>
        <v>0.15356808791477261</v>
      </c>
      <c r="F299" s="416">
        <f t="shared" ref="F299:BQ299" si="2">F298/F291</f>
        <v>0.29371410385239888</v>
      </c>
      <c r="G299" s="416">
        <f t="shared" si="2"/>
        <v>1.0998678263491268</v>
      </c>
      <c r="H299" s="416">
        <f t="shared" si="2"/>
        <v>1.0752238150796494</v>
      </c>
      <c r="I299" s="416">
        <f t="shared" si="2"/>
        <v>0.78569032420384421</v>
      </c>
      <c r="J299" s="416">
        <f t="shared" si="2"/>
        <v>0.40788586861950732</v>
      </c>
      <c r="K299" s="416">
        <f t="shared" si="2"/>
        <v>1.6715015601961389</v>
      </c>
      <c r="L299" s="416">
        <f t="shared" si="2"/>
        <v>6.4647762007950291</v>
      </c>
      <c r="M299" s="416">
        <f t="shared" si="2"/>
        <v>0.39561498764129771</v>
      </c>
      <c r="N299" s="416">
        <f t="shared" si="2"/>
        <v>0.34868648781520656</v>
      </c>
      <c r="O299" s="416">
        <f t="shared" si="2"/>
        <v>1.3542054943363289</v>
      </c>
      <c r="P299" s="416">
        <f t="shared" si="2"/>
        <v>0.51727922593295672</v>
      </c>
      <c r="Q299" s="416">
        <f t="shared" si="2"/>
        <v>0.69943954251856921</v>
      </c>
      <c r="R299" s="416">
        <f t="shared" si="2"/>
        <v>0.23477835523789534</v>
      </c>
      <c r="S299" s="416">
        <f t="shared" si="2"/>
        <v>1.8271624710627083</v>
      </c>
      <c r="T299" s="416">
        <f t="shared" si="2"/>
        <v>1.7929095695203376</v>
      </c>
      <c r="U299" s="416">
        <f t="shared" si="2"/>
        <v>0.26727955793932212</v>
      </c>
      <c r="V299" s="416">
        <f t="shared" si="2"/>
        <v>0.50606560679444934</v>
      </c>
      <c r="W299" s="416">
        <f t="shared" si="2"/>
        <v>0.63205520699980389</v>
      </c>
      <c r="X299" s="416">
        <f t="shared" si="2"/>
        <v>0.46919447397993141</v>
      </c>
      <c r="Y299" s="416">
        <f t="shared" si="2"/>
        <v>0.58693605290921258</v>
      </c>
      <c r="Z299" s="416">
        <f t="shared" si="2"/>
        <v>2.383053148848243E-2</v>
      </c>
      <c r="AA299" s="416">
        <f t="shared" si="2"/>
        <v>0.83481599158783548</v>
      </c>
      <c r="AB299" s="416">
        <f t="shared" si="2"/>
        <v>7.0400071968121658</v>
      </c>
      <c r="AC299" s="416">
        <f t="shared" si="2"/>
        <v>1.1884752892414532</v>
      </c>
      <c r="AD299" s="416">
        <f t="shared" si="2"/>
        <v>0.67241415065655774</v>
      </c>
      <c r="AE299" s="416">
        <f t="shared" si="2"/>
        <v>0.63213692414039158</v>
      </c>
      <c r="AF299" s="416" t="e">
        <f t="shared" si="2"/>
        <v>#DIV/0!</v>
      </c>
      <c r="AG299" s="416">
        <f t="shared" si="2"/>
        <v>0.32777694528372259</v>
      </c>
      <c r="AH299" s="416">
        <f t="shared" si="2"/>
        <v>6.6655714273979578</v>
      </c>
      <c r="AI299" s="416">
        <f t="shared" si="2"/>
        <v>1.3477694929906772</v>
      </c>
      <c r="AJ299" s="416">
        <f t="shared" si="2"/>
        <v>0.31180753431483799</v>
      </c>
      <c r="AK299" s="416">
        <f t="shared" si="2"/>
        <v>0.96696044249737156</v>
      </c>
      <c r="AL299" s="416">
        <f t="shared" si="2"/>
        <v>0.6828526089797442</v>
      </c>
      <c r="AM299" s="416" t="e">
        <f t="shared" si="2"/>
        <v>#DIV/0!</v>
      </c>
      <c r="AN299" s="416">
        <f t="shared" si="2"/>
        <v>4.6786822710579807</v>
      </c>
      <c r="AO299" s="416">
        <f t="shared" si="2"/>
        <v>0.71184656515534961</v>
      </c>
      <c r="AP299" s="416">
        <f t="shared" si="2"/>
        <v>0.74991562605467432</v>
      </c>
      <c r="AQ299" s="416">
        <f t="shared" si="2"/>
        <v>0.63768276239468447</v>
      </c>
      <c r="AR299" s="416">
        <f t="shared" si="2"/>
        <v>0.70247778458755084</v>
      </c>
      <c r="AS299" s="416">
        <f t="shared" si="2"/>
        <v>3.6172378752886836</v>
      </c>
      <c r="AT299" s="416">
        <f t="shared" si="2"/>
        <v>0.54631432205590835</v>
      </c>
      <c r="AU299" s="416">
        <f t="shared" si="2"/>
        <v>2.7842266140309628</v>
      </c>
      <c r="AV299" s="416">
        <f t="shared" si="2"/>
        <v>0.23107537614069129</v>
      </c>
      <c r="AW299" s="416">
        <f t="shared" si="2"/>
        <v>0.19395481195391079</v>
      </c>
      <c r="AX299" s="416">
        <f t="shared" si="2"/>
        <v>0.38474517603084207</v>
      </c>
      <c r="AY299" s="416">
        <f t="shared" si="2"/>
        <v>0.82385180235575117</v>
      </c>
      <c r="AZ299" s="416">
        <f t="shared" si="2"/>
        <v>0.89872679920892418</v>
      </c>
      <c r="BA299" s="416">
        <f t="shared" si="2"/>
        <v>0.77193071006036629</v>
      </c>
      <c r="BB299" s="416" t="e">
        <f t="shared" si="2"/>
        <v>#DIV/0!</v>
      </c>
      <c r="BC299" s="416">
        <f t="shared" si="2"/>
        <v>0.46965054813072338</v>
      </c>
      <c r="BD299" s="416">
        <f t="shared" si="2"/>
        <v>4.5172805037664974</v>
      </c>
      <c r="BE299" s="416">
        <f t="shared" si="2"/>
        <v>1.9873167688948956</v>
      </c>
      <c r="BF299" s="416">
        <f t="shared" si="2"/>
        <v>2.3341339511552279</v>
      </c>
      <c r="BG299" s="416">
        <f t="shared" si="2"/>
        <v>0.29162422033626206</v>
      </c>
      <c r="BH299" s="416">
        <f t="shared" si="2"/>
        <v>3.8294506374741339</v>
      </c>
      <c r="BI299" s="416">
        <f t="shared" si="2"/>
        <v>0.6546816174597333</v>
      </c>
      <c r="BJ299" s="416">
        <f t="shared" si="2"/>
        <v>0.19556623694506622</v>
      </c>
      <c r="BK299" s="416">
        <f t="shared" si="2"/>
        <v>1.9395341400777433</v>
      </c>
      <c r="BL299" s="416">
        <f t="shared" si="2"/>
        <v>6.6209012703118288</v>
      </c>
      <c r="BM299" s="416">
        <f t="shared" si="2"/>
        <v>0.62181510287100394</v>
      </c>
      <c r="BN299" s="416">
        <f t="shared" si="2"/>
        <v>0.32822609248604706</v>
      </c>
      <c r="BO299" s="416">
        <f t="shared" si="2"/>
        <v>0.86793035331830515</v>
      </c>
      <c r="BP299" s="416">
        <f t="shared" si="2"/>
        <v>0.53952942898664669</v>
      </c>
      <c r="BQ299" s="416">
        <f t="shared" si="2"/>
        <v>0.26429107081553582</v>
      </c>
      <c r="BR299" s="416">
        <f t="shared" ref="BR299:BS299" si="3">BR298/BR291</f>
        <v>0.61829481720341206</v>
      </c>
      <c r="BS299" s="416">
        <f t="shared" si="3"/>
        <v>0.60376376589475922</v>
      </c>
    </row>
    <row r="300" spans="1:83" x14ac:dyDescent="0.3">
      <c r="A300" s="301" t="s">
        <v>1095</v>
      </c>
      <c r="C300" s="314" t="s">
        <v>1097</v>
      </c>
      <c r="E300" s="404">
        <f>E295/E32</f>
        <v>4.1016976720544882</v>
      </c>
      <c r="F300" s="404">
        <f t="shared" ref="F300:BQ300" si="4">F295/F32</f>
        <v>1.8943296913629477</v>
      </c>
      <c r="G300" s="404" t="e">
        <f t="shared" si="4"/>
        <v>#DIV/0!</v>
      </c>
      <c r="H300" s="404">
        <f t="shared" si="4"/>
        <v>24.817929710415445</v>
      </c>
      <c r="I300" s="404">
        <f t="shared" si="4"/>
        <v>8.0217532276130399</v>
      </c>
      <c r="J300" s="404">
        <f t="shared" si="4"/>
        <v>5.6854763697568318</v>
      </c>
      <c r="K300" s="404" t="e">
        <f t="shared" si="4"/>
        <v>#DIV/0!</v>
      </c>
      <c r="L300" s="404">
        <f t="shared" si="4"/>
        <v>1.8769393810936839</v>
      </c>
      <c r="M300" s="404">
        <f t="shared" si="4"/>
        <v>3.5574372417308355</v>
      </c>
      <c r="N300" s="404" t="e">
        <f t="shared" si="4"/>
        <v>#DIV/0!</v>
      </c>
      <c r="O300" s="404" t="e">
        <f t="shared" si="4"/>
        <v>#DIV/0!</v>
      </c>
      <c r="P300" s="404" t="e">
        <f t="shared" si="4"/>
        <v>#DIV/0!</v>
      </c>
      <c r="Q300" s="404">
        <f t="shared" si="4"/>
        <v>1.1043173823587973</v>
      </c>
      <c r="R300" s="404">
        <f t="shared" si="4"/>
        <v>13.647838383653776</v>
      </c>
      <c r="S300" s="404" t="e">
        <f t="shared" si="4"/>
        <v>#DIV/0!</v>
      </c>
      <c r="T300" s="404">
        <f t="shared" si="4"/>
        <v>6.6529662659945714</v>
      </c>
      <c r="U300" s="404">
        <f t="shared" si="4"/>
        <v>9.7890573068316939</v>
      </c>
      <c r="V300" s="404">
        <f t="shared" si="4"/>
        <v>33.286475312077599</v>
      </c>
      <c r="W300" s="404">
        <f t="shared" si="4"/>
        <v>5.8479671196100975</v>
      </c>
      <c r="X300" s="404" t="e">
        <f t="shared" si="4"/>
        <v>#DIV/0!</v>
      </c>
      <c r="Y300" s="404">
        <f t="shared" si="4"/>
        <v>9.0719193475887749</v>
      </c>
      <c r="Z300" s="404">
        <f t="shared" si="4"/>
        <v>0.56585627402426519</v>
      </c>
      <c r="AA300" s="404">
        <f t="shared" si="4"/>
        <v>5.4935138203843108</v>
      </c>
      <c r="AB300" s="404" t="e">
        <f t="shared" si="4"/>
        <v>#DIV/0!</v>
      </c>
      <c r="AC300" s="404">
        <f t="shared" si="4"/>
        <v>28.38471401494035</v>
      </c>
      <c r="AD300" s="404" t="e">
        <f t="shared" si="4"/>
        <v>#DIV/0!</v>
      </c>
      <c r="AE300" s="404" t="e">
        <f t="shared" si="4"/>
        <v>#DIV/0!</v>
      </c>
      <c r="AF300" s="404" t="e">
        <f t="shared" si="4"/>
        <v>#DIV/0!</v>
      </c>
      <c r="AG300" s="404">
        <f t="shared" si="4"/>
        <v>4.0882432745950767</v>
      </c>
      <c r="AH300" s="404" t="e">
        <f t="shared" si="4"/>
        <v>#DIV/0!</v>
      </c>
      <c r="AI300" s="404">
        <f t="shared" si="4"/>
        <v>8.2083152301059457</v>
      </c>
      <c r="AJ300" s="404">
        <f t="shared" si="4"/>
        <v>24.309499698476454</v>
      </c>
      <c r="AK300" s="404">
        <f t="shared" si="4"/>
        <v>200.93630573248407</v>
      </c>
      <c r="AL300" s="404">
        <f t="shared" si="4"/>
        <v>1.0527005320179086</v>
      </c>
      <c r="AM300" s="404" t="e">
        <f t="shared" si="4"/>
        <v>#DIV/0!</v>
      </c>
      <c r="AN300" s="404">
        <f t="shared" si="4"/>
        <v>2.8855568832812004</v>
      </c>
      <c r="AO300" s="404">
        <f t="shared" si="4"/>
        <v>17.286861300945436</v>
      </c>
      <c r="AP300" s="404" t="e">
        <f t="shared" si="4"/>
        <v>#DIV/0!</v>
      </c>
      <c r="AQ300" s="404">
        <f t="shared" si="4"/>
        <v>11.230741138560687</v>
      </c>
      <c r="AR300" s="404" t="e">
        <f t="shared" si="4"/>
        <v>#DIV/0!</v>
      </c>
      <c r="AS300" s="404" t="e">
        <f t="shared" si="4"/>
        <v>#DIV/0!</v>
      </c>
      <c r="AT300" s="404">
        <f t="shared" si="4"/>
        <v>3.9377925992432501</v>
      </c>
      <c r="AU300" s="404">
        <f t="shared" si="4"/>
        <v>1.7286859078767347</v>
      </c>
      <c r="AV300" s="404">
        <f t="shared" si="4"/>
        <v>2.3623496315297752</v>
      </c>
      <c r="AW300" s="404">
        <f t="shared" si="4"/>
        <v>2.5239707676985876</v>
      </c>
      <c r="AX300" s="404">
        <f>AX295/AX32</f>
        <v>4.7508061508763459</v>
      </c>
      <c r="AY300" s="404">
        <f t="shared" si="4"/>
        <v>4.1482254131671636</v>
      </c>
      <c r="AZ300" s="404">
        <f t="shared" si="4"/>
        <v>12.601951899616591</v>
      </c>
      <c r="BA300" s="404">
        <f t="shared" si="4"/>
        <v>5.7117940199335546</v>
      </c>
      <c r="BB300" s="404" t="e">
        <f t="shared" si="4"/>
        <v>#DIV/0!</v>
      </c>
      <c r="BC300" s="404">
        <f t="shared" si="4"/>
        <v>14.362219042394436</v>
      </c>
      <c r="BD300" s="404">
        <f t="shared" si="4"/>
        <v>38.40913037187093</v>
      </c>
      <c r="BE300" s="404" t="e">
        <f t="shared" si="4"/>
        <v>#DIV/0!</v>
      </c>
      <c r="BF300" s="404">
        <f t="shared" si="4"/>
        <v>4.0331806089269877</v>
      </c>
      <c r="BG300" s="404">
        <f t="shared" si="4"/>
        <v>5.175810236936182</v>
      </c>
      <c r="BH300" s="404" t="e">
        <f t="shared" si="4"/>
        <v>#DIV/0!</v>
      </c>
      <c r="BI300" s="404">
        <f t="shared" si="4"/>
        <v>15.838736303859452</v>
      </c>
      <c r="BJ300" s="404">
        <f t="shared" si="4"/>
        <v>12.207379971177913</v>
      </c>
      <c r="BK300" s="404" t="e">
        <f t="shared" si="4"/>
        <v>#DIV/0!</v>
      </c>
      <c r="BL300" s="404" t="e">
        <f t="shared" si="4"/>
        <v>#DIV/0!</v>
      </c>
      <c r="BM300" s="404">
        <f t="shared" si="4"/>
        <v>10.643931372744875</v>
      </c>
      <c r="BN300" s="404">
        <f t="shared" si="4"/>
        <v>3.481429182237322</v>
      </c>
      <c r="BO300" s="404">
        <f t="shared" si="4"/>
        <v>1.6911852892790145</v>
      </c>
      <c r="BP300" s="404">
        <f t="shared" si="4"/>
        <v>8.9867870259522711</v>
      </c>
      <c r="BQ300" s="404">
        <f t="shared" si="4"/>
        <v>4.7360524418678551</v>
      </c>
      <c r="BR300" s="404">
        <f t="shared" ref="BR300:BS300" si="5">BR295/BR32</f>
        <v>10.262467488408911</v>
      </c>
      <c r="BS300" s="404">
        <f t="shared" si="5"/>
        <v>4.8984853633671541</v>
      </c>
    </row>
    <row r="301" spans="1:83" ht="33" customHeight="1" x14ac:dyDescent="0.3">
      <c r="A301" s="417" t="s">
        <v>1104</v>
      </c>
      <c r="B301" s="418"/>
      <c r="C301" s="419" t="s">
        <v>1271</v>
      </c>
      <c r="E301" s="414">
        <f>+E48-E49+E36-E97</f>
        <v>-422196</v>
      </c>
      <c r="F301" s="414">
        <f t="shared" ref="F301:BQ301" si="6">+F48-F49+F36-F97</f>
        <v>-44511</v>
      </c>
      <c r="G301" s="414">
        <f t="shared" si="6"/>
        <v>0</v>
      </c>
      <c r="H301" s="414">
        <f t="shared" si="6"/>
        <v>35328</v>
      </c>
      <c r="I301" s="414">
        <f t="shared" si="6"/>
        <v>72910</v>
      </c>
      <c r="J301" s="414">
        <f t="shared" si="6"/>
        <v>16088</v>
      </c>
      <c r="K301" s="414">
        <f t="shared" si="6"/>
        <v>0</v>
      </c>
      <c r="L301" s="414">
        <f t="shared" si="6"/>
        <v>-30130</v>
      </c>
      <c r="M301" s="414">
        <f t="shared" si="6"/>
        <v>793795</v>
      </c>
      <c r="N301" s="414">
        <f t="shared" si="6"/>
        <v>0</v>
      </c>
      <c r="O301" s="414">
        <f t="shared" si="6"/>
        <v>0</v>
      </c>
      <c r="P301" s="414">
        <f t="shared" si="6"/>
        <v>0</v>
      </c>
      <c r="Q301" s="414">
        <f t="shared" si="6"/>
        <v>13705</v>
      </c>
      <c r="R301" s="414">
        <f t="shared" si="6"/>
        <v>1651598</v>
      </c>
      <c r="S301" s="414">
        <f t="shared" si="6"/>
        <v>0</v>
      </c>
      <c r="T301" s="414">
        <f t="shared" si="6"/>
        <v>8311</v>
      </c>
      <c r="U301" s="414">
        <f t="shared" si="6"/>
        <v>60863</v>
      </c>
      <c r="V301" s="414">
        <f t="shared" si="6"/>
        <v>69818</v>
      </c>
      <c r="W301" s="414">
        <f t="shared" si="6"/>
        <v>766286</v>
      </c>
      <c r="X301" s="414">
        <f t="shared" si="6"/>
        <v>0</v>
      </c>
      <c r="Y301" s="414">
        <f t="shared" si="6"/>
        <v>-40481</v>
      </c>
      <c r="Z301" s="414">
        <f t="shared" si="6"/>
        <v>-220572</v>
      </c>
      <c r="AA301" s="414">
        <f t="shared" si="6"/>
        <v>2508562</v>
      </c>
      <c r="AB301" s="414">
        <f t="shared" si="6"/>
        <v>-9459</v>
      </c>
      <c r="AC301" s="414">
        <f t="shared" si="6"/>
        <v>58624</v>
      </c>
      <c r="AD301" s="414">
        <f t="shared" si="6"/>
        <v>0</v>
      </c>
      <c r="AE301" s="414">
        <f t="shared" si="6"/>
        <v>0</v>
      </c>
      <c r="AF301" s="414">
        <f t="shared" si="6"/>
        <v>0</v>
      </c>
      <c r="AG301" s="414">
        <f t="shared" si="6"/>
        <v>4514369</v>
      </c>
      <c r="AH301" s="414">
        <f t="shared" si="6"/>
        <v>-263</v>
      </c>
      <c r="AI301" s="414">
        <f t="shared" si="6"/>
        <v>-41926</v>
      </c>
      <c r="AJ301" s="414">
        <f t="shared" si="6"/>
        <v>196388</v>
      </c>
      <c r="AK301" s="414">
        <f t="shared" si="6"/>
        <v>-6320</v>
      </c>
      <c r="AL301" s="414">
        <f t="shared" si="6"/>
        <v>824</v>
      </c>
      <c r="AM301" s="414">
        <f t="shared" si="6"/>
        <v>0</v>
      </c>
      <c r="AN301" s="414">
        <f t="shared" si="6"/>
        <v>-12962</v>
      </c>
      <c r="AO301" s="414">
        <f t="shared" si="6"/>
        <v>1359919</v>
      </c>
      <c r="AP301" s="414">
        <f t="shared" si="6"/>
        <v>0</v>
      </c>
      <c r="AQ301" s="414">
        <f t="shared" si="6"/>
        <v>-18027</v>
      </c>
      <c r="AR301" s="414">
        <f t="shared" si="6"/>
        <v>0</v>
      </c>
      <c r="AS301" s="414">
        <f t="shared" si="6"/>
        <v>0</v>
      </c>
      <c r="AT301" s="414">
        <f t="shared" si="6"/>
        <v>67453</v>
      </c>
      <c r="AU301" s="414">
        <f t="shared" si="6"/>
        <v>-42245</v>
      </c>
      <c r="AV301" s="414">
        <f t="shared" si="6"/>
        <v>34923021</v>
      </c>
      <c r="AW301" s="414">
        <f t="shared" si="6"/>
        <v>8893025</v>
      </c>
      <c r="AX301" s="414">
        <f t="shared" si="6"/>
        <v>-8862</v>
      </c>
      <c r="AY301" s="414">
        <f t="shared" si="6"/>
        <v>-1021</v>
      </c>
      <c r="AZ301" s="414">
        <f t="shared" si="6"/>
        <v>-20016</v>
      </c>
      <c r="BA301" s="414">
        <f t="shared" si="6"/>
        <v>-21770</v>
      </c>
      <c r="BB301" s="414">
        <f t="shared" si="6"/>
        <v>0</v>
      </c>
      <c r="BC301" s="414">
        <f t="shared" si="6"/>
        <v>533580</v>
      </c>
      <c r="BD301" s="414">
        <f t="shared" si="6"/>
        <v>21689</v>
      </c>
      <c r="BE301" s="414">
        <f t="shared" si="6"/>
        <v>0</v>
      </c>
      <c r="BF301" s="414">
        <f t="shared" si="6"/>
        <v>39528</v>
      </c>
      <c r="BG301" s="414">
        <f t="shared" si="6"/>
        <v>1034730</v>
      </c>
      <c r="BH301" s="414">
        <f t="shared" si="6"/>
        <v>0</v>
      </c>
      <c r="BI301" s="414">
        <f t="shared" si="6"/>
        <v>1085591</v>
      </c>
      <c r="BJ301" s="414">
        <f t="shared" si="6"/>
        <v>-228514</v>
      </c>
      <c r="BK301" s="414">
        <f t="shared" si="6"/>
        <v>0</v>
      </c>
      <c r="BL301" s="414">
        <f t="shared" si="6"/>
        <v>0</v>
      </c>
      <c r="BM301" s="414">
        <f t="shared" si="6"/>
        <v>3788057</v>
      </c>
      <c r="BN301" s="414">
        <f t="shared" si="6"/>
        <v>1636513</v>
      </c>
      <c r="BO301" s="414">
        <f t="shared" si="6"/>
        <v>77812</v>
      </c>
      <c r="BP301" s="414">
        <f t="shared" si="6"/>
        <v>7041101</v>
      </c>
      <c r="BQ301" s="414">
        <f t="shared" si="6"/>
        <v>13644371</v>
      </c>
      <c r="BR301" s="414">
        <f t="shared" ref="BR301:BS301" si="7">+BR48-BR49+BR36-BR97</f>
        <v>-4552</v>
      </c>
      <c r="BS301" s="414">
        <f t="shared" si="7"/>
        <v>269105</v>
      </c>
    </row>
    <row r="302" spans="1:83" ht="39" customHeight="1" x14ac:dyDescent="0.3">
      <c r="A302" s="420" t="s">
        <v>1103</v>
      </c>
      <c r="B302" s="418"/>
      <c r="C302" s="419" t="s">
        <v>1105</v>
      </c>
      <c r="E302" s="421">
        <f>+E44/(E49+E115+E97-E36)</f>
        <v>0.23368397912167241</v>
      </c>
      <c r="F302" s="421">
        <f t="shared" ref="F302:BQ302" si="8">+F44/(F49+F115+F97-F36)</f>
        <v>8.8487318696365169E-2</v>
      </c>
      <c r="G302" s="421" t="e">
        <f t="shared" si="8"/>
        <v>#DIV/0!</v>
      </c>
      <c r="H302" s="421">
        <f t="shared" si="8"/>
        <v>1.449228686826167</v>
      </c>
      <c r="I302" s="421">
        <f t="shared" si="8"/>
        <v>1.091210684262748</v>
      </c>
      <c r="J302" s="421">
        <f t="shared" si="8"/>
        <v>0.77768883415435142</v>
      </c>
      <c r="K302" s="421" t="e">
        <f t="shared" si="8"/>
        <v>#DIV/0!</v>
      </c>
      <c r="L302" s="421">
        <f t="shared" si="8"/>
        <v>0.58545975834527952</v>
      </c>
      <c r="M302" s="421">
        <f t="shared" si="8"/>
        <v>0.8031284915055571</v>
      </c>
      <c r="N302" s="421" t="e">
        <f t="shared" si="8"/>
        <v>#DIV/0!</v>
      </c>
      <c r="O302" s="421" t="e">
        <f t="shared" si="8"/>
        <v>#DIV/0!</v>
      </c>
      <c r="P302" s="421" t="e">
        <f t="shared" si="8"/>
        <v>#DIV/0!</v>
      </c>
      <c r="Q302" s="421">
        <f t="shared" si="8"/>
        <v>2.5870402897485123E-4</v>
      </c>
      <c r="R302" s="421">
        <f t="shared" si="8"/>
        <v>1.4090075892208473</v>
      </c>
      <c r="S302" s="421" t="e">
        <f t="shared" si="8"/>
        <v>#DIV/0!</v>
      </c>
      <c r="T302" s="421">
        <f t="shared" si="8"/>
        <v>0.73857262491858189</v>
      </c>
      <c r="U302" s="421">
        <f t="shared" si="8"/>
        <v>0.86110486340594128</v>
      </c>
      <c r="V302" s="421">
        <f t="shared" si="8"/>
        <v>3.0869965503936676</v>
      </c>
      <c r="W302" s="421">
        <f t="shared" si="8"/>
        <v>0.84758441593184475</v>
      </c>
      <c r="X302" s="421" t="e">
        <f t="shared" si="8"/>
        <v>#DIV/0!</v>
      </c>
      <c r="Y302" s="421">
        <f t="shared" si="8"/>
        <v>0.62739052492989278</v>
      </c>
      <c r="Z302" s="421">
        <f t="shared" si="8"/>
        <v>3.0864909018927873E-2</v>
      </c>
      <c r="AA302" s="421">
        <f t="shared" si="8"/>
        <v>1.7105142606278532</v>
      </c>
      <c r="AB302" s="421">
        <f t="shared" si="8"/>
        <v>1.7822526110151025E-2</v>
      </c>
      <c r="AC302" s="421">
        <f t="shared" si="8"/>
        <v>1.8272804858849752</v>
      </c>
      <c r="AD302" s="421" t="e">
        <f t="shared" si="8"/>
        <v>#DIV/0!</v>
      </c>
      <c r="AE302" s="421" t="e">
        <f t="shared" si="8"/>
        <v>#DIV/0!</v>
      </c>
      <c r="AF302" s="421" t="e">
        <f t="shared" si="8"/>
        <v>#DIV/0!</v>
      </c>
      <c r="AG302" s="421">
        <f t="shared" si="8"/>
        <v>0.58308477090241984</v>
      </c>
      <c r="AH302" s="421">
        <f t="shared" si="8"/>
        <v>1.209125475285171</v>
      </c>
      <c r="AI302" s="421">
        <f t="shared" si="8"/>
        <v>1.3492490964030075</v>
      </c>
      <c r="AJ302" s="421">
        <f t="shared" si="8"/>
        <v>0.51674418818636447</v>
      </c>
      <c r="AK302" s="421">
        <f t="shared" si="8"/>
        <v>5.5117410877235677</v>
      </c>
      <c r="AL302" s="421">
        <f t="shared" si="8"/>
        <v>1.1000654830300109</v>
      </c>
      <c r="AM302" s="421" t="e">
        <f t="shared" si="8"/>
        <v>#DIV/0!</v>
      </c>
      <c r="AN302" s="421">
        <f t="shared" si="8"/>
        <v>1.1908289499318137</v>
      </c>
      <c r="AO302" s="421">
        <f t="shared" si="8"/>
        <v>1.7037754068919813</v>
      </c>
      <c r="AP302" s="421" t="e">
        <f t="shared" si="8"/>
        <v>#DIV/0!</v>
      </c>
      <c r="AQ302" s="421">
        <f t="shared" si="8"/>
        <v>0.89400860222864242</v>
      </c>
      <c r="AR302" s="421" t="e">
        <f t="shared" si="8"/>
        <v>#DIV/0!</v>
      </c>
      <c r="AS302" s="421" t="e">
        <f t="shared" si="8"/>
        <v>#DIV/0!</v>
      </c>
      <c r="AT302" s="421">
        <f t="shared" si="8"/>
        <v>1.288065834379494</v>
      </c>
      <c r="AU302" s="421">
        <f t="shared" si="8"/>
        <v>0.38262329771022002</v>
      </c>
      <c r="AV302" s="421">
        <f t="shared" si="8"/>
        <v>0.45956017399201243</v>
      </c>
      <c r="AW302" s="421">
        <f t="shared" si="8"/>
        <v>0.35420911930423876</v>
      </c>
      <c r="AX302" s="421">
        <f t="shared" si="8"/>
        <v>0.35293869233224484</v>
      </c>
      <c r="AY302" s="421">
        <f t="shared" si="8"/>
        <v>0.38346374543557643</v>
      </c>
      <c r="AZ302" s="421">
        <f t="shared" si="8"/>
        <v>0.37620199305788826</v>
      </c>
      <c r="BA302" s="421">
        <f t="shared" si="8"/>
        <v>0.34468392237863593</v>
      </c>
      <c r="BB302" s="421" t="e">
        <f t="shared" si="8"/>
        <v>#DIV/0!</v>
      </c>
      <c r="BC302" s="421">
        <f t="shared" si="8"/>
        <v>1.2824286390800943</v>
      </c>
      <c r="BD302" s="421">
        <f t="shared" si="8"/>
        <v>3.5053456423627103</v>
      </c>
      <c r="BE302" s="421" t="e">
        <f t="shared" si="8"/>
        <v>#DIV/0!</v>
      </c>
      <c r="BF302" s="421">
        <f t="shared" si="8"/>
        <v>1.2228283092625003</v>
      </c>
      <c r="BG302" s="421">
        <f t="shared" si="8"/>
        <v>1.0656802916420558</v>
      </c>
      <c r="BH302" s="421" t="e">
        <f t="shared" si="8"/>
        <v>#DIV/0!</v>
      </c>
      <c r="BI302" s="421">
        <f t="shared" si="8"/>
        <v>1.5649468871040519</v>
      </c>
      <c r="BJ302" s="421">
        <f t="shared" si="8"/>
        <v>0.44585996458964788</v>
      </c>
      <c r="BK302" s="421" t="e">
        <f t="shared" si="8"/>
        <v>#DIV/0!</v>
      </c>
      <c r="BL302" s="421" t="e">
        <f t="shared" si="8"/>
        <v>#DIV/0!</v>
      </c>
      <c r="BM302" s="421">
        <f t="shared" si="8"/>
        <v>1.7446533756390987</v>
      </c>
      <c r="BN302" s="421">
        <f t="shared" si="8"/>
        <v>0.9582067874664667</v>
      </c>
      <c r="BO302" s="421">
        <f t="shared" si="8"/>
        <v>0.37769888011668445</v>
      </c>
      <c r="BP302" s="421">
        <f t="shared" si="8"/>
        <v>1.6857241445914053</v>
      </c>
      <c r="BQ302" s="421">
        <f t="shared" si="8"/>
        <v>1.2109995916749219</v>
      </c>
      <c r="BR302" s="421">
        <f t="shared" ref="BR302:BS302" si="9">+BR44/(BR49+BR115+BR97-BR36)</f>
        <v>0.47699424496074017</v>
      </c>
      <c r="BS302" s="421">
        <f t="shared" si="9"/>
        <v>0.83616246429910135</v>
      </c>
    </row>
    <row r="303" spans="1:83" x14ac:dyDescent="0.3">
      <c r="A303" s="422" t="s">
        <v>1101</v>
      </c>
      <c r="C303" s="419" t="s">
        <v>1110</v>
      </c>
      <c r="E303" s="300" t="e">
        <f>+(E34-E161)/E35</f>
        <v>#DIV/0!</v>
      </c>
      <c r="F303" s="300" t="e">
        <f t="shared" ref="F303:BQ303" si="10">+(F34-F161)/F35</f>
        <v>#DIV/0!</v>
      </c>
      <c r="G303" s="300" t="e">
        <f t="shared" si="10"/>
        <v>#DIV/0!</v>
      </c>
      <c r="H303" s="300" t="e">
        <f t="shared" si="10"/>
        <v>#DIV/0!</v>
      </c>
      <c r="I303" s="300" t="e">
        <f t="shared" si="10"/>
        <v>#DIV/0!</v>
      </c>
      <c r="J303" s="300" t="e">
        <f t="shared" si="10"/>
        <v>#DIV/0!</v>
      </c>
      <c r="K303" s="300" t="e">
        <f t="shared" si="10"/>
        <v>#DIV/0!</v>
      </c>
      <c r="L303" s="300" t="e">
        <f t="shared" si="10"/>
        <v>#DIV/0!</v>
      </c>
      <c r="M303" s="300">
        <f t="shared" si="10"/>
        <v>2.6898901439203873</v>
      </c>
      <c r="N303" s="300" t="e">
        <f t="shared" si="10"/>
        <v>#DIV/0!</v>
      </c>
      <c r="O303" s="300" t="e">
        <f t="shared" si="10"/>
        <v>#DIV/0!</v>
      </c>
      <c r="P303" s="300" t="e">
        <f t="shared" si="10"/>
        <v>#DIV/0!</v>
      </c>
      <c r="Q303" s="300" t="e">
        <f t="shared" si="10"/>
        <v>#DIV/0!</v>
      </c>
      <c r="R303" s="300">
        <f t="shared" si="10"/>
        <v>44.758573193329212</v>
      </c>
      <c r="S303" s="300" t="e">
        <f t="shared" si="10"/>
        <v>#DIV/0!</v>
      </c>
      <c r="T303" s="300">
        <f t="shared" si="10"/>
        <v>10.682864910035224</v>
      </c>
      <c r="U303" s="300" t="e">
        <f t="shared" si="10"/>
        <v>#DIV/0!</v>
      </c>
      <c r="V303" s="300" t="e">
        <f t="shared" si="10"/>
        <v>#DIV/0!</v>
      </c>
      <c r="W303" s="300" t="e">
        <f t="shared" si="10"/>
        <v>#DIV/0!</v>
      </c>
      <c r="X303" s="300" t="e">
        <f t="shared" si="10"/>
        <v>#DIV/0!</v>
      </c>
      <c r="Y303" s="300" t="e">
        <f t="shared" si="10"/>
        <v>#DIV/0!</v>
      </c>
      <c r="Z303" s="300">
        <f t="shared" si="10"/>
        <v>31.430478796169631</v>
      </c>
      <c r="AA303" s="300" t="e">
        <f t="shared" si="10"/>
        <v>#DIV/0!</v>
      </c>
      <c r="AB303" s="300" t="e">
        <f t="shared" si="10"/>
        <v>#DIV/0!</v>
      </c>
      <c r="AC303" s="300" t="e">
        <f t="shared" si="10"/>
        <v>#DIV/0!</v>
      </c>
      <c r="AD303" s="300" t="e">
        <f t="shared" si="10"/>
        <v>#DIV/0!</v>
      </c>
      <c r="AE303" s="300" t="e">
        <f t="shared" si="10"/>
        <v>#DIV/0!</v>
      </c>
      <c r="AF303" s="300" t="e">
        <f t="shared" si="10"/>
        <v>#DIV/0!</v>
      </c>
      <c r="AG303" s="300">
        <f t="shared" si="10"/>
        <v>4.9169494024955807</v>
      </c>
      <c r="AH303" s="300" t="e">
        <f t="shared" si="10"/>
        <v>#DIV/0!</v>
      </c>
      <c r="AI303" s="300" t="e">
        <f t="shared" si="10"/>
        <v>#DIV/0!</v>
      </c>
      <c r="AJ303" s="300" t="e">
        <f t="shared" si="10"/>
        <v>#DIV/0!</v>
      </c>
      <c r="AK303" s="300" t="e">
        <f t="shared" si="10"/>
        <v>#DIV/0!</v>
      </c>
      <c r="AL303" s="300" t="e">
        <f t="shared" si="10"/>
        <v>#DIV/0!</v>
      </c>
      <c r="AM303" s="300" t="e">
        <f t="shared" si="10"/>
        <v>#DIV/0!</v>
      </c>
      <c r="AN303" s="300" t="e">
        <f t="shared" si="10"/>
        <v>#DIV/0!</v>
      </c>
      <c r="AO303" s="300" t="e">
        <f t="shared" si="10"/>
        <v>#DIV/0!</v>
      </c>
      <c r="AP303" s="300" t="e">
        <f t="shared" si="10"/>
        <v>#DIV/0!</v>
      </c>
      <c r="AQ303" s="300">
        <f t="shared" si="10"/>
        <v>6.9856038700527465</v>
      </c>
      <c r="AR303" s="300" t="e">
        <f t="shared" si="10"/>
        <v>#DIV/0!</v>
      </c>
      <c r="AS303" s="300" t="e">
        <f t="shared" si="10"/>
        <v>#DIV/0!</v>
      </c>
      <c r="AT303" s="300" t="e">
        <f t="shared" si="10"/>
        <v>#DIV/0!</v>
      </c>
      <c r="AU303" s="300" t="e">
        <f t="shared" si="10"/>
        <v>#DIV/0!</v>
      </c>
      <c r="AV303" s="300" t="e">
        <f t="shared" si="10"/>
        <v>#DIV/0!</v>
      </c>
      <c r="AW303" s="300">
        <f t="shared" si="10"/>
        <v>3.8395043943654699</v>
      </c>
      <c r="AX303" s="300" t="e">
        <f t="shared" si="10"/>
        <v>#DIV/0!</v>
      </c>
      <c r="AY303" s="300" t="e">
        <f t="shared" si="10"/>
        <v>#DIV/0!</v>
      </c>
      <c r="AZ303" s="300" t="e">
        <f t="shared" si="10"/>
        <v>#DIV/0!</v>
      </c>
      <c r="BA303" s="300" t="e">
        <f t="shared" si="10"/>
        <v>#DIV/0!</v>
      </c>
      <c r="BB303" s="300" t="e">
        <f t="shared" si="10"/>
        <v>#DIV/0!</v>
      </c>
      <c r="BC303" s="300" t="e">
        <f t="shared" si="10"/>
        <v>#DIV/0!</v>
      </c>
      <c r="BD303" s="300" t="e">
        <f t="shared" si="10"/>
        <v>#DIV/0!</v>
      </c>
      <c r="BE303" s="300" t="e">
        <f t="shared" si="10"/>
        <v>#DIV/0!</v>
      </c>
      <c r="BF303" s="300" t="e">
        <f t="shared" si="10"/>
        <v>#DIV/0!</v>
      </c>
      <c r="BG303" s="300" t="e">
        <f t="shared" si="10"/>
        <v>#DIV/0!</v>
      </c>
      <c r="BH303" s="300" t="e">
        <f t="shared" si="10"/>
        <v>#DIV/0!</v>
      </c>
      <c r="BI303" s="300" t="e">
        <f t="shared" si="10"/>
        <v>#DIV/0!</v>
      </c>
      <c r="BJ303" s="300" t="e">
        <f t="shared" si="10"/>
        <v>#DIV/0!</v>
      </c>
      <c r="BK303" s="300" t="e">
        <f t="shared" si="10"/>
        <v>#DIV/0!</v>
      </c>
      <c r="BL303" s="300" t="e">
        <f t="shared" si="10"/>
        <v>#DIV/0!</v>
      </c>
      <c r="BM303" s="300" t="e">
        <f t="shared" si="10"/>
        <v>#DIV/0!</v>
      </c>
      <c r="BN303" s="300" t="e">
        <f t="shared" si="10"/>
        <v>#DIV/0!</v>
      </c>
      <c r="BO303" s="300">
        <f t="shared" si="10"/>
        <v>6.8228190885313627</v>
      </c>
      <c r="BP303" s="300" t="e">
        <f t="shared" si="10"/>
        <v>#DIV/0!</v>
      </c>
      <c r="BQ303" s="300">
        <f t="shared" si="10"/>
        <v>7.4749835677310701</v>
      </c>
      <c r="BR303" s="300" t="e">
        <f t="shared" ref="BR303:BS303" si="11">+(BR34-BR161)/BR35</f>
        <v>#DIV/0!</v>
      </c>
      <c r="BS303" s="300">
        <f t="shared" si="11"/>
        <v>12.384086000412756</v>
      </c>
    </row>
    <row r="304" spans="1:83" x14ac:dyDescent="0.3">
      <c r="A304" s="423" t="s">
        <v>1096</v>
      </c>
      <c r="C304" s="419" t="s">
        <v>1272</v>
      </c>
      <c r="E304" s="414">
        <f>+E55-E56+E39-E60</f>
        <v>0</v>
      </c>
      <c r="F304" s="414">
        <f t="shared" ref="F304:BQ304" si="12">+F55-F56+F39-F60</f>
        <v>0</v>
      </c>
      <c r="G304" s="414">
        <f t="shared" si="12"/>
        <v>0</v>
      </c>
      <c r="H304" s="414">
        <f t="shared" si="12"/>
        <v>0</v>
      </c>
      <c r="I304" s="414">
        <f t="shared" si="12"/>
        <v>0</v>
      </c>
      <c r="J304" s="414">
        <f t="shared" si="12"/>
        <v>0</v>
      </c>
      <c r="K304" s="414">
        <f t="shared" si="12"/>
        <v>0</v>
      </c>
      <c r="L304" s="414">
        <f t="shared" si="12"/>
        <v>0</v>
      </c>
      <c r="M304" s="414">
        <f t="shared" si="12"/>
        <v>216426</v>
      </c>
      <c r="N304" s="414">
        <f t="shared" si="12"/>
        <v>0</v>
      </c>
      <c r="O304" s="414">
        <f t="shared" si="12"/>
        <v>0</v>
      </c>
      <c r="P304" s="414">
        <f t="shared" si="12"/>
        <v>0</v>
      </c>
      <c r="Q304" s="414">
        <f t="shared" si="12"/>
        <v>0</v>
      </c>
      <c r="R304" s="414">
        <f t="shared" si="12"/>
        <v>3908882</v>
      </c>
      <c r="S304" s="414">
        <f t="shared" si="12"/>
        <v>0</v>
      </c>
      <c r="T304" s="414">
        <f t="shared" si="12"/>
        <v>-18480</v>
      </c>
      <c r="U304" s="414">
        <f t="shared" si="12"/>
        <v>0</v>
      </c>
      <c r="V304" s="414">
        <f t="shared" si="12"/>
        <v>0</v>
      </c>
      <c r="W304" s="414">
        <f t="shared" si="12"/>
        <v>0</v>
      </c>
      <c r="X304" s="414">
        <f t="shared" si="12"/>
        <v>0</v>
      </c>
      <c r="Y304" s="414">
        <f t="shared" si="12"/>
        <v>0</v>
      </c>
      <c r="Z304" s="414">
        <f t="shared" si="12"/>
        <v>-45991</v>
      </c>
      <c r="AA304" s="414">
        <f t="shared" si="12"/>
        <v>0</v>
      </c>
      <c r="AB304" s="414">
        <f t="shared" si="12"/>
        <v>0</v>
      </c>
      <c r="AC304" s="414">
        <f t="shared" si="12"/>
        <v>0</v>
      </c>
      <c r="AD304" s="414">
        <f t="shared" si="12"/>
        <v>0</v>
      </c>
      <c r="AE304" s="414">
        <f t="shared" si="12"/>
        <v>0</v>
      </c>
      <c r="AF304" s="414">
        <f t="shared" si="12"/>
        <v>0</v>
      </c>
      <c r="AG304" s="414">
        <f t="shared" si="12"/>
        <v>11269969</v>
      </c>
      <c r="AH304" s="414">
        <f t="shared" si="12"/>
        <v>0</v>
      </c>
      <c r="AI304" s="414">
        <f t="shared" si="12"/>
        <v>0</v>
      </c>
      <c r="AJ304" s="414">
        <f t="shared" si="12"/>
        <v>0</v>
      </c>
      <c r="AK304" s="414">
        <f t="shared" si="12"/>
        <v>0</v>
      </c>
      <c r="AL304" s="414">
        <f t="shared" si="12"/>
        <v>0</v>
      </c>
      <c r="AM304" s="414">
        <f t="shared" si="12"/>
        <v>0</v>
      </c>
      <c r="AN304" s="414">
        <f t="shared" si="12"/>
        <v>0</v>
      </c>
      <c r="AO304" s="414">
        <f t="shared" si="12"/>
        <v>0</v>
      </c>
      <c r="AP304" s="414">
        <f t="shared" si="12"/>
        <v>0</v>
      </c>
      <c r="AQ304" s="414">
        <f t="shared" si="12"/>
        <v>715030</v>
      </c>
      <c r="AR304" s="414">
        <f t="shared" si="12"/>
        <v>0</v>
      </c>
      <c r="AS304" s="414">
        <f t="shared" si="12"/>
        <v>0</v>
      </c>
      <c r="AT304" s="414">
        <f t="shared" si="12"/>
        <v>0</v>
      </c>
      <c r="AU304" s="414">
        <f t="shared" si="12"/>
        <v>0</v>
      </c>
      <c r="AV304" s="414">
        <f t="shared" si="12"/>
        <v>0</v>
      </c>
      <c r="AW304" s="414">
        <f t="shared" si="12"/>
        <v>18670518</v>
      </c>
      <c r="AX304" s="414">
        <f t="shared" si="12"/>
        <v>0</v>
      </c>
      <c r="AY304" s="414">
        <f t="shared" si="12"/>
        <v>0</v>
      </c>
      <c r="AZ304" s="414">
        <f t="shared" si="12"/>
        <v>0</v>
      </c>
      <c r="BA304" s="414">
        <f t="shared" si="12"/>
        <v>0</v>
      </c>
      <c r="BB304" s="414">
        <f t="shared" si="12"/>
        <v>0</v>
      </c>
      <c r="BC304" s="414">
        <f t="shared" si="12"/>
        <v>0</v>
      </c>
      <c r="BD304" s="414">
        <f t="shared" si="12"/>
        <v>0</v>
      </c>
      <c r="BE304" s="414">
        <f t="shared" si="12"/>
        <v>0</v>
      </c>
      <c r="BF304" s="414">
        <f t="shared" si="12"/>
        <v>0</v>
      </c>
      <c r="BG304" s="414">
        <f t="shared" si="12"/>
        <v>0</v>
      </c>
      <c r="BH304" s="414">
        <f t="shared" si="12"/>
        <v>0</v>
      </c>
      <c r="BI304" s="414">
        <f t="shared" si="12"/>
        <v>0</v>
      </c>
      <c r="BJ304" s="414">
        <f t="shared" si="12"/>
        <v>0</v>
      </c>
      <c r="BK304" s="414">
        <f t="shared" si="12"/>
        <v>0</v>
      </c>
      <c r="BL304" s="414">
        <f t="shared" si="12"/>
        <v>0</v>
      </c>
      <c r="BM304" s="414">
        <f t="shared" si="12"/>
        <v>0</v>
      </c>
      <c r="BN304" s="414">
        <f t="shared" si="12"/>
        <v>0</v>
      </c>
      <c r="BO304" s="414">
        <f t="shared" si="12"/>
        <v>308999</v>
      </c>
      <c r="BP304" s="414">
        <f t="shared" si="12"/>
        <v>0</v>
      </c>
      <c r="BQ304" s="414">
        <f t="shared" si="12"/>
        <v>14415708</v>
      </c>
      <c r="BR304" s="414">
        <f t="shared" ref="BR304:BS304" si="13">+BR55-BR56+BR39-BR60</f>
        <v>0</v>
      </c>
      <c r="BS304" s="414">
        <f t="shared" si="13"/>
        <v>1230063</v>
      </c>
    </row>
    <row r="305" spans="1:71" x14ac:dyDescent="0.3">
      <c r="A305" s="423" t="s">
        <v>1098</v>
      </c>
      <c r="C305" s="419" t="s">
        <v>1111</v>
      </c>
      <c r="E305" s="300" t="e">
        <f>+E52/(E125+E56-E39+E60)</f>
        <v>#DIV/0!</v>
      </c>
      <c r="F305" s="300" t="e">
        <f t="shared" ref="F305:BQ305" si="14">+F52/(F125+F56-F39+F60)</f>
        <v>#DIV/0!</v>
      </c>
      <c r="G305" s="300" t="e">
        <f t="shared" si="14"/>
        <v>#DIV/0!</v>
      </c>
      <c r="H305" s="300" t="e">
        <f t="shared" si="14"/>
        <v>#DIV/0!</v>
      </c>
      <c r="I305" s="300" t="e">
        <f t="shared" si="14"/>
        <v>#DIV/0!</v>
      </c>
      <c r="J305" s="300" t="e">
        <f t="shared" si="14"/>
        <v>#DIV/0!</v>
      </c>
      <c r="K305" s="300" t="e">
        <f t="shared" si="14"/>
        <v>#DIV/0!</v>
      </c>
      <c r="L305" s="300" t="e">
        <f t="shared" si="14"/>
        <v>#DIV/0!</v>
      </c>
      <c r="M305" s="300">
        <f t="shared" si="14"/>
        <v>0.13441456006880825</v>
      </c>
      <c r="N305" s="300" t="e">
        <f t="shared" si="14"/>
        <v>#DIV/0!</v>
      </c>
      <c r="O305" s="300" t="e">
        <f t="shared" si="14"/>
        <v>#DIV/0!</v>
      </c>
      <c r="P305" s="300" t="e">
        <f t="shared" si="14"/>
        <v>#DIV/0!</v>
      </c>
      <c r="Q305" s="300" t="e">
        <f t="shared" si="14"/>
        <v>#DIV/0!</v>
      </c>
      <c r="R305" s="300">
        <f t="shared" si="14"/>
        <v>0.68000738014872852</v>
      </c>
      <c r="S305" s="300" t="e">
        <f t="shared" si="14"/>
        <v>#DIV/0!</v>
      </c>
      <c r="T305" s="300">
        <f t="shared" si="14"/>
        <v>1.4098511755896501</v>
      </c>
      <c r="U305" s="300" t="e">
        <f t="shared" si="14"/>
        <v>#DIV/0!</v>
      </c>
      <c r="V305" s="300" t="e">
        <f t="shared" si="14"/>
        <v>#DIV/0!</v>
      </c>
      <c r="W305" s="300" t="e">
        <f t="shared" si="14"/>
        <v>#DIV/0!</v>
      </c>
      <c r="X305" s="300" t="e">
        <f t="shared" si="14"/>
        <v>#DIV/0!</v>
      </c>
      <c r="Y305" s="300" t="e">
        <f t="shared" si="14"/>
        <v>#DIV/0!</v>
      </c>
      <c r="Z305" s="300">
        <f t="shared" si="14"/>
        <v>7.7377150228288935E-2</v>
      </c>
      <c r="AA305" s="300" t="e">
        <f t="shared" si="14"/>
        <v>#DIV/0!</v>
      </c>
      <c r="AB305" s="300" t="e">
        <f t="shared" si="14"/>
        <v>#DIV/0!</v>
      </c>
      <c r="AC305" s="300" t="e">
        <f t="shared" si="14"/>
        <v>#DIV/0!</v>
      </c>
      <c r="AD305" s="300" t="e">
        <f t="shared" si="14"/>
        <v>#DIV/0!</v>
      </c>
      <c r="AE305" s="300" t="e">
        <f t="shared" si="14"/>
        <v>#DIV/0!</v>
      </c>
      <c r="AF305" s="300" t="e">
        <f t="shared" si="14"/>
        <v>#DIV/0!</v>
      </c>
      <c r="AG305" s="300">
        <f t="shared" si="14"/>
        <v>0.29806222600383553</v>
      </c>
      <c r="AH305" s="300" t="e">
        <f t="shared" si="14"/>
        <v>#DIV/0!</v>
      </c>
      <c r="AI305" s="300" t="e">
        <f t="shared" si="14"/>
        <v>#DIV/0!</v>
      </c>
      <c r="AJ305" s="300" t="e">
        <f t="shared" si="14"/>
        <v>#DIV/0!</v>
      </c>
      <c r="AK305" s="300" t="e">
        <f t="shared" si="14"/>
        <v>#DIV/0!</v>
      </c>
      <c r="AL305" s="300" t="e">
        <f t="shared" si="14"/>
        <v>#DIV/0!</v>
      </c>
      <c r="AM305" s="300" t="e">
        <f t="shared" si="14"/>
        <v>#DIV/0!</v>
      </c>
      <c r="AN305" s="300" t="e">
        <f t="shared" si="14"/>
        <v>#DIV/0!</v>
      </c>
      <c r="AO305" s="300" t="e">
        <f t="shared" si="14"/>
        <v>#DIV/0!</v>
      </c>
      <c r="AP305" s="300" t="e">
        <f t="shared" si="14"/>
        <v>#DIV/0!</v>
      </c>
      <c r="AQ305" s="300">
        <f t="shared" si="14"/>
        <v>0.53177686871246843</v>
      </c>
      <c r="AR305" s="300" t="e">
        <f t="shared" si="14"/>
        <v>#DIV/0!</v>
      </c>
      <c r="AS305" s="300" t="e">
        <f t="shared" si="14"/>
        <v>#DIV/0!</v>
      </c>
      <c r="AT305" s="300" t="e">
        <f t="shared" si="14"/>
        <v>#DIV/0!</v>
      </c>
      <c r="AU305" s="300" t="e">
        <f t="shared" si="14"/>
        <v>#DIV/0!</v>
      </c>
      <c r="AV305" s="300" t="e">
        <f t="shared" si="14"/>
        <v>#DIV/0!</v>
      </c>
      <c r="AW305" s="300">
        <f t="shared" si="14"/>
        <v>0.28105862814294369</v>
      </c>
      <c r="AX305" s="300" t="e">
        <f t="shared" si="14"/>
        <v>#DIV/0!</v>
      </c>
      <c r="AY305" s="300" t="e">
        <f t="shared" si="14"/>
        <v>#DIV/0!</v>
      </c>
      <c r="AZ305" s="300" t="e">
        <f t="shared" si="14"/>
        <v>#DIV/0!</v>
      </c>
      <c r="BA305" s="300" t="e">
        <f t="shared" si="14"/>
        <v>#DIV/0!</v>
      </c>
      <c r="BB305" s="300" t="e">
        <f t="shared" si="14"/>
        <v>#DIV/0!</v>
      </c>
      <c r="BC305" s="300" t="e">
        <f t="shared" si="14"/>
        <v>#DIV/0!</v>
      </c>
      <c r="BD305" s="300" t="e">
        <f t="shared" si="14"/>
        <v>#DIV/0!</v>
      </c>
      <c r="BE305" s="300" t="e">
        <f t="shared" si="14"/>
        <v>#DIV/0!</v>
      </c>
      <c r="BF305" s="300" t="e">
        <f t="shared" si="14"/>
        <v>#DIV/0!</v>
      </c>
      <c r="BG305" s="300" t="e">
        <f t="shared" si="14"/>
        <v>#DIV/0!</v>
      </c>
      <c r="BH305" s="300" t="e">
        <f t="shared" si="14"/>
        <v>#DIV/0!</v>
      </c>
      <c r="BI305" s="300" t="e">
        <f t="shared" si="14"/>
        <v>#DIV/0!</v>
      </c>
      <c r="BJ305" s="300" t="e">
        <f t="shared" si="14"/>
        <v>#DIV/0!</v>
      </c>
      <c r="BK305" s="300" t="e">
        <f t="shared" si="14"/>
        <v>#DIV/0!</v>
      </c>
      <c r="BL305" s="300" t="e">
        <f t="shared" si="14"/>
        <v>#DIV/0!</v>
      </c>
      <c r="BM305" s="300" t="e">
        <f t="shared" si="14"/>
        <v>#DIV/0!</v>
      </c>
      <c r="BN305" s="300" t="e">
        <f t="shared" si="14"/>
        <v>#DIV/0!</v>
      </c>
      <c r="BO305" s="300">
        <f t="shared" si="14"/>
        <v>0.28683043064795299</v>
      </c>
      <c r="BP305" s="300" t="e">
        <f t="shared" si="14"/>
        <v>#DIV/0!</v>
      </c>
      <c r="BQ305" s="300">
        <f t="shared" si="14"/>
        <v>0.58006346432882194</v>
      </c>
      <c r="BR305" s="300" t="e">
        <f t="shared" ref="BR305:BS305" si="15">+BR52/(BR125+BR56-BR39+BR60)</f>
        <v>#DIV/0!</v>
      </c>
      <c r="BS305" s="300">
        <f t="shared" si="15"/>
        <v>0.87336025826443109</v>
      </c>
    </row>
  </sheetData>
  <sheetProtection algorithmName="SHA-512" hashValue="9KHlrMgqBwR6YA3ejSiNe09qWHeAh7aLZcau5jgdS0xYjBVqop71P0j2LQV7m8cYXm37QxH75m9hYo4/KwhThQ==" saltValue="i4RhpF9yAch7bK2fYUrfwA=="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C8" sqref="C8"/>
    </sheetView>
  </sheetViews>
  <sheetFormatPr defaultColWidth="9.109375" defaultRowHeight="14.4" x14ac:dyDescent="0.3"/>
  <cols>
    <col min="1" max="1" width="31.5546875" style="303" customWidth="1"/>
    <col min="2" max="2" width="8" style="303" customWidth="1"/>
    <col min="3" max="3" width="14.88671875" style="303" customWidth="1"/>
    <col min="4" max="4" width="16" style="303" customWidth="1"/>
    <col min="5" max="7" width="9.109375" style="303"/>
    <col min="8" max="8" width="21.33203125" style="303" customWidth="1"/>
    <col min="9" max="16384" width="9.109375" style="303"/>
  </cols>
  <sheetData>
    <row r="1" spans="1:11" ht="15.75" customHeight="1" x14ac:dyDescent="0.3">
      <c r="A1" s="1302" t="s">
        <v>1043</v>
      </c>
      <c r="B1" s="1302"/>
      <c r="C1" s="1302"/>
      <c r="D1" s="1302"/>
    </row>
    <row r="2" spans="1:11" ht="15.75" customHeight="1" x14ac:dyDescent="0.3">
      <c r="A2" s="1304" t="s">
        <v>1143</v>
      </c>
      <c r="B2" s="1304"/>
      <c r="C2" s="1304"/>
      <c r="D2" s="1304"/>
    </row>
    <row r="3" spans="1:11" ht="21.9" customHeight="1" x14ac:dyDescent="0.3">
      <c r="A3" s="1302" t="s">
        <v>1144</v>
      </c>
      <c r="B3" s="1302"/>
      <c r="C3" s="1302"/>
      <c r="D3" s="1302"/>
    </row>
    <row r="4" spans="1:11" ht="21" customHeight="1" x14ac:dyDescent="0.3">
      <c r="A4" s="716"/>
      <c r="B4" s="716"/>
      <c r="C4" s="715" t="s">
        <v>1145</v>
      </c>
      <c r="D4" s="715" t="s">
        <v>1146</v>
      </c>
      <c r="I4" s="716"/>
      <c r="J4" s="715"/>
      <c r="K4" s="715"/>
    </row>
    <row r="5" spans="1:11" ht="15.75" customHeight="1" x14ac:dyDescent="0.3">
      <c r="A5" s="716"/>
      <c r="B5" s="711" t="s">
        <v>1147</v>
      </c>
      <c r="C5" s="715" t="s">
        <v>1148</v>
      </c>
      <c r="D5" s="715" t="s">
        <v>1149</v>
      </c>
      <c r="I5" s="711"/>
      <c r="J5" s="715"/>
      <c r="K5" s="715"/>
    </row>
    <row r="6" spans="1:11" ht="21" customHeight="1" x14ac:dyDescent="0.3">
      <c r="A6" s="695" t="s">
        <v>1150</v>
      </c>
      <c r="B6" s="711" t="s">
        <v>1151</v>
      </c>
      <c r="C6" s="715" t="s">
        <v>1152</v>
      </c>
      <c r="D6" s="715" t="s">
        <v>1152</v>
      </c>
      <c r="I6" s="711"/>
      <c r="J6" s="715"/>
      <c r="K6" s="715"/>
    </row>
    <row r="7" spans="1:11" ht="21.9" customHeight="1" x14ac:dyDescent="0.3">
      <c r="A7" s="695" t="s">
        <v>1153</v>
      </c>
      <c r="B7" s="700">
        <v>0.59699999999999998</v>
      </c>
      <c r="C7" s="696">
        <v>2015</v>
      </c>
      <c r="D7" s="696">
        <v>2021</v>
      </c>
      <c r="H7" s="702"/>
      <c r="I7" s="698"/>
      <c r="J7" s="709"/>
      <c r="K7" s="709"/>
    </row>
    <row r="8" spans="1:11" ht="15.75" customHeight="1" x14ac:dyDescent="0.3">
      <c r="A8" s="695" t="s">
        <v>1154</v>
      </c>
      <c r="B8" s="700">
        <v>0.52900000000000003</v>
      </c>
      <c r="C8" s="696">
        <v>2017</v>
      </c>
      <c r="D8" s="696">
        <v>2021</v>
      </c>
      <c r="H8" s="702"/>
      <c r="I8" s="698"/>
      <c r="J8" s="709"/>
      <c r="K8" s="709"/>
    </row>
    <row r="9" spans="1:11" ht="15.75" customHeight="1" x14ac:dyDescent="0.3">
      <c r="A9" s="695" t="s">
        <v>1155</v>
      </c>
      <c r="B9" s="700">
        <v>0.63</v>
      </c>
      <c r="C9" s="696">
        <v>2013</v>
      </c>
      <c r="D9" s="696">
        <v>2021</v>
      </c>
      <c r="H9" s="702"/>
      <c r="I9" s="698"/>
      <c r="J9" s="709"/>
      <c r="K9" s="709"/>
    </row>
    <row r="10" spans="1:11" ht="15.75" customHeight="1" x14ac:dyDescent="0.3">
      <c r="A10" s="695" t="s">
        <v>1156</v>
      </c>
      <c r="B10" s="700">
        <v>0.73499999999999999</v>
      </c>
      <c r="C10" s="696">
        <v>2016</v>
      </c>
      <c r="D10" s="696">
        <v>2021</v>
      </c>
      <c r="H10" s="702"/>
      <c r="I10" s="698"/>
      <c r="J10" s="709"/>
      <c r="K10" s="709"/>
    </row>
    <row r="11" spans="1:11" ht="21.9" customHeight="1" x14ac:dyDescent="0.3">
      <c r="A11" s="695" t="s">
        <v>1157</v>
      </c>
      <c r="B11" s="700">
        <v>0.67</v>
      </c>
      <c r="C11" s="696">
        <v>2017</v>
      </c>
      <c r="D11" s="696">
        <v>2021</v>
      </c>
      <c r="H11" s="702"/>
      <c r="I11" s="698"/>
      <c r="J11" s="709"/>
      <c r="K11" s="709"/>
    </row>
    <row r="12" spans="1:11" ht="21" customHeight="1" x14ac:dyDescent="0.3">
      <c r="A12" s="695" t="s">
        <v>1158</v>
      </c>
      <c r="B12" s="700">
        <v>0.72</v>
      </c>
      <c r="C12" s="696">
        <v>2016</v>
      </c>
      <c r="D12" s="696">
        <v>2021</v>
      </c>
      <c r="H12" s="702"/>
      <c r="I12" s="698"/>
      <c r="J12" s="709"/>
      <c r="K12" s="709"/>
    </row>
    <row r="13" spans="1:11" ht="15.75" customHeight="1" x14ac:dyDescent="0.3">
      <c r="A13" s="695" t="s">
        <v>1159</v>
      </c>
      <c r="B13" s="700">
        <v>0.80500000000000005</v>
      </c>
      <c r="C13" s="696">
        <v>2013</v>
      </c>
      <c r="D13" s="696">
        <v>2021</v>
      </c>
      <c r="H13" s="702"/>
      <c r="I13" s="698"/>
      <c r="J13" s="709"/>
      <c r="K13" s="709"/>
    </row>
    <row r="14" spans="1:11" ht="15.75" customHeight="1" x14ac:dyDescent="0.3">
      <c r="A14" s="695" t="s">
        <v>1160</v>
      </c>
      <c r="B14" s="700">
        <v>0.48</v>
      </c>
      <c r="C14" s="696">
        <v>2013</v>
      </c>
      <c r="D14" s="696">
        <v>2021</v>
      </c>
      <c r="H14" s="702"/>
      <c r="I14" s="698"/>
      <c r="J14" s="709"/>
      <c r="K14" s="709"/>
    </row>
    <row r="15" spans="1:11" ht="15.75" customHeight="1" x14ac:dyDescent="0.3">
      <c r="A15" s="695" t="s">
        <v>1161</v>
      </c>
      <c r="B15" s="700">
        <v>0.54</v>
      </c>
      <c r="C15" s="696">
        <v>2015</v>
      </c>
      <c r="D15" s="696">
        <v>2021</v>
      </c>
      <c r="H15" s="702"/>
      <c r="I15" s="698"/>
      <c r="J15" s="709"/>
      <c r="K15" s="701"/>
    </row>
    <row r="16" spans="1:11" ht="21" customHeight="1" x14ac:dyDescent="0.3">
      <c r="A16" s="695" t="s">
        <v>1162</v>
      </c>
      <c r="B16" s="700">
        <v>0.73799999999999999</v>
      </c>
      <c r="C16" s="696">
        <v>2017</v>
      </c>
      <c r="D16" s="696">
        <v>2021</v>
      </c>
      <c r="H16" s="702"/>
      <c r="I16" s="698"/>
      <c r="J16" s="709"/>
      <c r="K16" s="701"/>
    </row>
    <row r="17" spans="1:11" ht="21.9" customHeight="1" x14ac:dyDescent="0.3">
      <c r="A17" s="695" t="s">
        <v>1163</v>
      </c>
      <c r="B17" s="700">
        <v>0.74350000000000005</v>
      </c>
      <c r="C17" s="696">
        <v>2017</v>
      </c>
      <c r="D17" s="696">
        <v>2021</v>
      </c>
      <c r="H17" s="702"/>
      <c r="I17" s="698"/>
      <c r="J17" s="709"/>
      <c r="K17" s="701"/>
    </row>
    <row r="18" spans="1:11" ht="15.75" customHeight="1" x14ac:dyDescent="0.3">
      <c r="A18" s="695" t="s">
        <v>1164</v>
      </c>
      <c r="B18" s="700">
        <v>0.78600000000000003</v>
      </c>
      <c r="C18" s="696">
        <v>2013</v>
      </c>
      <c r="D18" s="696">
        <v>2021</v>
      </c>
      <c r="H18" s="702"/>
      <c r="I18" s="698"/>
      <c r="J18" s="709"/>
      <c r="K18" s="701"/>
    </row>
    <row r="19" spans="1:11" ht="15.75" customHeight="1" x14ac:dyDescent="0.3">
      <c r="A19" s="695" t="s">
        <v>1165</v>
      </c>
      <c r="B19" s="700">
        <v>0.58499999999999996</v>
      </c>
      <c r="C19" s="696">
        <v>2017</v>
      </c>
      <c r="D19" s="696">
        <v>2021</v>
      </c>
      <c r="H19" s="702"/>
      <c r="I19" s="698"/>
      <c r="J19" s="709"/>
      <c r="K19" s="701"/>
    </row>
    <row r="20" spans="1:11" ht="15.75" customHeight="1" x14ac:dyDescent="0.3">
      <c r="A20" s="695" t="s">
        <v>1166</v>
      </c>
      <c r="B20" s="700">
        <v>0.38</v>
      </c>
      <c r="C20" s="696">
        <v>2016</v>
      </c>
      <c r="D20" s="696">
        <v>2021</v>
      </c>
    </row>
    <row r="21" spans="1:11" ht="21.9" customHeight="1" x14ac:dyDescent="0.3">
      <c r="A21" s="704" t="s">
        <v>1167</v>
      </c>
      <c r="B21" s="700">
        <v>0.55500000000000005</v>
      </c>
      <c r="C21" s="696">
        <v>2017</v>
      </c>
      <c r="D21" s="714">
        <v>2021</v>
      </c>
    </row>
    <row r="22" spans="1:11" ht="21" customHeight="1" x14ac:dyDescent="0.3">
      <c r="A22" s="704" t="s">
        <v>1168</v>
      </c>
      <c r="B22" s="700">
        <v>0.8679</v>
      </c>
      <c r="C22" s="696">
        <v>2017</v>
      </c>
      <c r="D22" s="714">
        <v>2021</v>
      </c>
    </row>
    <row r="23" spans="1:11" ht="15.75" customHeight="1" x14ac:dyDescent="0.3">
      <c r="A23" s="704" t="s">
        <v>1169</v>
      </c>
      <c r="B23" s="700">
        <v>0.72</v>
      </c>
      <c r="C23" s="696">
        <v>2013</v>
      </c>
      <c r="D23" s="714">
        <v>2021</v>
      </c>
    </row>
    <row r="24" spans="1:11" ht="15.75" customHeight="1" x14ac:dyDescent="0.3">
      <c r="A24" s="704" t="s">
        <v>1170</v>
      </c>
      <c r="B24" s="700">
        <v>0.5494</v>
      </c>
      <c r="C24" s="696">
        <v>2017</v>
      </c>
      <c r="D24" s="714">
        <v>2021</v>
      </c>
    </row>
    <row r="25" spans="1:11" ht="15.75" customHeight="1" x14ac:dyDescent="0.3">
      <c r="A25" s="704" t="s">
        <v>1171</v>
      </c>
      <c r="B25" s="700">
        <v>0.67</v>
      </c>
      <c r="C25" s="696">
        <v>2017</v>
      </c>
      <c r="D25" s="714">
        <v>2021</v>
      </c>
    </row>
    <row r="26" spans="1:11" ht="21.9" customHeight="1" x14ac:dyDescent="0.3">
      <c r="A26" s="704" t="s">
        <v>1172</v>
      </c>
      <c r="B26" s="700">
        <v>0.66</v>
      </c>
      <c r="C26" s="696">
        <v>2017</v>
      </c>
      <c r="D26" s="714">
        <v>2021</v>
      </c>
    </row>
    <row r="27" spans="1:11" ht="21.9" customHeight="1" x14ac:dyDescent="0.3">
      <c r="A27" s="704" t="s">
        <v>1173</v>
      </c>
      <c r="B27" s="700">
        <v>0.58199999999999996</v>
      </c>
      <c r="C27" s="696">
        <v>2016</v>
      </c>
      <c r="D27" s="714">
        <v>2021</v>
      </c>
    </row>
    <row r="28" spans="1:11" ht="15.75" customHeight="1" x14ac:dyDescent="0.3">
      <c r="A28" s="704" t="s">
        <v>1174</v>
      </c>
      <c r="B28" s="700">
        <v>0.36</v>
      </c>
      <c r="C28" s="696">
        <v>2013</v>
      </c>
      <c r="D28" s="714">
        <v>2021</v>
      </c>
    </row>
    <row r="29" spans="1:11" ht="15.75" customHeight="1" x14ac:dyDescent="0.3">
      <c r="A29" s="704" t="s">
        <v>1175</v>
      </c>
      <c r="B29" s="700">
        <v>0.63600000000000001</v>
      </c>
      <c r="C29" s="696">
        <v>2016</v>
      </c>
      <c r="D29" s="714">
        <v>2021</v>
      </c>
    </row>
    <row r="30" spans="1:11" ht="15.75" customHeight="1" x14ac:dyDescent="0.3">
      <c r="A30" s="704" t="s">
        <v>1176</v>
      </c>
      <c r="B30" s="700">
        <v>0.73089999999999999</v>
      </c>
      <c r="C30" s="696">
        <v>2015</v>
      </c>
      <c r="D30" s="714">
        <v>2021</v>
      </c>
    </row>
    <row r="31" spans="1:11" ht="21" customHeight="1" x14ac:dyDescent="0.3">
      <c r="A31" s="704" t="s">
        <v>1177</v>
      </c>
      <c r="B31" s="700">
        <v>0.85499999999999998</v>
      </c>
      <c r="C31" s="696">
        <v>2013</v>
      </c>
      <c r="D31" s="714">
        <v>2021</v>
      </c>
    </row>
    <row r="32" spans="1:11" ht="21.9" customHeight="1" x14ac:dyDescent="0.3">
      <c r="A32" s="717" t="s">
        <v>1178</v>
      </c>
      <c r="B32" s="694">
        <v>0.55000000000000004</v>
      </c>
      <c r="C32" s="713">
        <v>2018</v>
      </c>
      <c r="D32" s="713">
        <v>2022</v>
      </c>
    </row>
    <row r="33" spans="1:4" ht="15.75" customHeight="1" x14ac:dyDescent="0.3">
      <c r="A33" s="717" t="s">
        <v>1179</v>
      </c>
      <c r="B33" s="694">
        <v>0.82</v>
      </c>
      <c r="C33" s="713">
        <v>2015</v>
      </c>
      <c r="D33" s="713">
        <v>2022</v>
      </c>
    </row>
    <row r="34" spans="1:4" ht="15.75" customHeight="1" x14ac:dyDescent="0.3">
      <c r="A34" s="717" t="s">
        <v>1180</v>
      </c>
      <c r="B34" s="694">
        <v>0.755</v>
      </c>
      <c r="C34" s="713">
        <v>2014</v>
      </c>
      <c r="D34" s="713">
        <v>2022</v>
      </c>
    </row>
    <row r="35" spans="1:4" ht="15.75" customHeight="1" x14ac:dyDescent="0.3">
      <c r="A35" s="717" t="s">
        <v>1181</v>
      </c>
      <c r="B35" s="694">
        <v>0.5494</v>
      </c>
      <c r="C35" s="713">
        <v>2016</v>
      </c>
      <c r="D35" s="713">
        <v>2022</v>
      </c>
    </row>
    <row r="36" spans="1:4" ht="21.9" customHeight="1" x14ac:dyDescent="0.3">
      <c r="A36" s="717" t="s">
        <v>1182</v>
      </c>
      <c r="B36" s="694">
        <v>0.73499999999999999</v>
      </c>
      <c r="C36" s="713">
        <v>2017</v>
      </c>
      <c r="D36" s="713">
        <v>2022</v>
      </c>
    </row>
    <row r="37" spans="1:4" ht="21" customHeight="1" x14ac:dyDescent="0.3">
      <c r="A37" s="717" t="s">
        <v>1183</v>
      </c>
      <c r="B37" s="694">
        <v>0.73050000000000004</v>
      </c>
      <c r="C37" s="713">
        <v>2017</v>
      </c>
      <c r="D37" s="713">
        <v>2022</v>
      </c>
    </row>
    <row r="38" spans="1:4" ht="15.75" customHeight="1" x14ac:dyDescent="0.3">
      <c r="A38" s="717" t="s">
        <v>1184</v>
      </c>
      <c r="B38" s="694">
        <v>0.75</v>
      </c>
      <c r="C38" s="713">
        <v>2017</v>
      </c>
      <c r="D38" s="713">
        <v>2022</v>
      </c>
    </row>
    <row r="39" spans="1:4" ht="15.75" customHeight="1" x14ac:dyDescent="0.3">
      <c r="A39" s="717" t="s">
        <v>1185</v>
      </c>
      <c r="B39" s="694">
        <v>0.75</v>
      </c>
      <c r="C39" s="713">
        <v>2014</v>
      </c>
      <c r="D39" s="713">
        <v>2022</v>
      </c>
    </row>
    <row r="40" spans="1:4" ht="15.75" customHeight="1" x14ac:dyDescent="0.3">
      <c r="A40" s="718" t="s">
        <v>1186</v>
      </c>
      <c r="B40" s="694">
        <v>0.77</v>
      </c>
      <c r="C40" s="713">
        <v>2014</v>
      </c>
      <c r="D40" s="699">
        <v>2022</v>
      </c>
    </row>
    <row r="41" spans="1:4" ht="21" customHeight="1" x14ac:dyDescent="0.3">
      <c r="A41" s="718" t="s">
        <v>1187</v>
      </c>
      <c r="B41" s="694">
        <v>0.57999999999999996</v>
      </c>
      <c r="C41" s="713">
        <v>2018</v>
      </c>
      <c r="D41" s="699">
        <v>2022</v>
      </c>
    </row>
    <row r="42" spans="1:4" ht="21.9" customHeight="1" x14ac:dyDescent="0.3">
      <c r="A42" s="718" t="s">
        <v>1188</v>
      </c>
      <c r="B42" s="694">
        <v>0.70499999999999996</v>
      </c>
      <c r="C42" s="713">
        <v>2018</v>
      </c>
      <c r="D42" s="699">
        <v>2022</v>
      </c>
    </row>
    <row r="43" spans="1:4" ht="15.75" customHeight="1" x14ac:dyDescent="0.3">
      <c r="A43" s="718" t="s">
        <v>1189</v>
      </c>
      <c r="B43" s="694">
        <v>0.77</v>
      </c>
      <c r="C43" s="713">
        <v>2014</v>
      </c>
      <c r="D43" s="699">
        <v>2022</v>
      </c>
    </row>
    <row r="44" spans="1:4" ht="15.75" customHeight="1" x14ac:dyDescent="0.3">
      <c r="A44" s="718" t="s">
        <v>1190</v>
      </c>
      <c r="B44" s="694">
        <v>0.40300000000000002</v>
      </c>
      <c r="C44" s="713">
        <v>2014</v>
      </c>
      <c r="D44" s="699">
        <v>2022</v>
      </c>
    </row>
    <row r="45" spans="1:4" ht="15.75" customHeight="1" x14ac:dyDescent="0.3">
      <c r="A45" s="695" t="s">
        <v>1191</v>
      </c>
      <c r="B45" s="700">
        <v>0.79</v>
      </c>
      <c r="C45" s="696">
        <v>2015</v>
      </c>
      <c r="D45" s="696">
        <v>2023</v>
      </c>
    </row>
    <row r="46" spans="1:4" ht="21.9" customHeight="1" x14ac:dyDescent="0.3">
      <c r="A46" s="695" t="s">
        <v>1192</v>
      </c>
      <c r="B46" s="700">
        <v>0.443</v>
      </c>
      <c r="C46" s="696">
        <v>2019</v>
      </c>
      <c r="D46" s="696">
        <v>2023</v>
      </c>
    </row>
    <row r="47" spans="1:4" ht="21" customHeight="1" x14ac:dyDescent="0.3">
      <c r="A47" s="695" t="s">
        <v>1193</v>
      </c>
      <c r="B47" s="700">
        <v>0.48499999999999999</v>
      </c>
      <c r="C47" s="696">
        <v>2019</v>
      </c>
      <c r="D47" s="696">
        <v>2023</v>
      </c>
    </row>
    <row r="48" spans="1:4" ht="15.75" customHeight="1" x14ac:dyDescent="0.3">
      <c r="A48" s="695" t="s">
        <v>1194</v>
      </c>
      <c r="B48" s="700">
        <v>0.74</v>
      </c>
      <c r="C48" s="696">
        <v>2015</v>
      </c>
      <c r="D48" s="696">
        <v>2023</v>
      </c>
    </row>
    <row r="49" spans="1:4" ht="15.75" customHeight="1" x14ac:dyDescent="0.3">
      <c r="A49" s="695" t="s">
        <v>1195</v>
      </c>
      <c r="B49" s="700">
        <v>0.57499999999999996</v>
      </c>
      <c r="C49" s="696">
        <v>2019</v>
      </c>
      <c r="D49" s="696">
        <v>2023</v>
      </c>
    </row>
    <row r="50" spans="1:4" ht="15.75" customHeight="1" x14ac:dyDescent="0.3">
      <c r="A50" s="695" t="s">
        <v>1196</v>
      </c>
      <c r="B50" s="700">
        <v>0.71220000000000006</v>
      </c>
      <c r="C50" s="696">
        <v>2019</v>
      </c>
      <c r="D50" s="696">
        <v>2023</v>
      </c>
    </row>
    <row r="51" spans="1:4" ht="21.9" customHeight="1" x14ac:dyDescent="0.3">
      <c r="A51" s="695" t="s">
        <v>1197</v>
      </c>
      <c r="B51" s="700">
        <v>0.83</v>
      </c>
      <c r="C51" s="696">
        <v>2019</v>
      </c>
      <c r="D51" s="696">
        <v>2023</v>
      </c>
    </row>
    <row r="52" spans="1:4" ht="21.9" customHeight="1" x14ac:dyDescent="0.3">
      <c r="A52" s="695" t="s">
        <v>1198</v>
      </c>
      <c r="B52" s="700">
        <v>0.65</v>
      </c>
      <c r="C52" s="696">
        <v>2019</v>
      </c>
      <c r="D52" s="696">
        <v>2023</v>
      </c>
    </row>
    <row r="53" spans="1:4" ht="15.75" customHeight="1" x14ac:dyDescent="0.3">
      <c r="A53" s="695" t="s">
        <v>1199</v>
      </c>
      <c r="B53" s="700">
        <v>0.56100000000000005</v>
      </c>
      <c r="C53" s="696">
        <v>2019</v>
      </c>
      <c r="D53" s="696">
        <v>2023</v>
      </c>
    </row>
    <row r="54" spans="1:4" ht="15.75" customHeight="1" x14ac:dyDescent="0.3">
      <c r="A54" s="695" t="s">
        <v>1200</v>
      </c>
      <c r="B54" s="700">
        <v>0.77</v>
      </c>
      <c r="C54" s="696">
        <v>2017</v>
      </c>
      <c r="D54" s="696">
        <v>2023</v>
      </c>
    </row>
    <row r="55" spans="1:4" ht="15.75" customHeight="1" x14ac:dyDescent="0.3">
      <c r="A55" s="695" t="s">
        <v>1201</v>
      </c>
      <c r="B55" s="700">
        <v>0.53749999999999998</v>
      </c>
      <c r="C55" s="696">
        <v>2019</v>
      </c>
      <c r="D55" s="696">
        <v>2023</v>
      </c>
    </row>
    <row r="56" spans="1:4" ht="36" customHeight="1" x14ac:dyDescent="0.3">
      <c r="A56" s="704" t="s">
        <v>1202</v>
      </c>
      <c r="B56" s="700">
        <v>0.77500000000000002</v>
      </c>
      <c r="C56" s="696">
        <v>2019</v>
      </c>
      <c r="D56" s="714">
        <v>2023</v>
      </c>
    </row>
    <row r="57" spans="1:4" ht="36" customHeight="1" x14ac:dyDescent="0.3">
      <c r="A57" s="704" t="s">
        <v>1203</v>
      </c>
      <c r="B57" s="700">
        <v>0.59899999999999998</v>
      </c>
      <c r="C57" s="696">
        <v>2019</v>
      </c>
      <c r="D57" s="714">
        <v>2023</v>
      </c>
    </row>
    <row r="58" spans="1:4" ht="36" customHeight="1" x14ac:dyDescent="0.3">
      <c r="A58" s="704" t="s">
        <v>1204</v>
      </c>
      <c r="B58" s="700">
        <v>0.37469999999999998</v>
      </c>
      <c r="C58" s="696">
        <v>2019</v>
      </c>
      <c r="D58" s="714">
        <v>2023</v>
      </c>
    </row>
    <row r="59" spans="1:4" ht="36" customHeight="1" x14ac:dyDescent="0.3">
      <c r="A59" s="704" t="s">
        <v>1205</v>
      </c>
      <c r="B59" s="700">
        <v>0.58750000000000002</v>
      </c>
      <c r="C59" s="696">
        <v>2019</v>
      </c>
      <c r="D59" s="714">
        <v>2023</v>
      </c>
    </row>
    <row r="60" spans="1:4" ht="36" customHeight="1" x14ac:dyDescent="0.3">
      <c r="A60" s="704" t="s">
        <v>1206</v>
      </c>
      <c r="B60" s="700">
        <v>0.6169</v>
      </c>
      <c r="C60" s="696">
        <v>2019</v>
      </c>
      <c r="D60" s="714">
        <v>2023</v>
      </c>
    </row>
    <row r="61" spans="1:4" ht="36" customHeight="1" x14ac:dyDescent="0.3">
      <c r="A61" s="704" t="s">
        <v>1207</v>
      </c>
      <c r="B61" s="700">
        <v>0.51</v>
      </c>
      <c r="C61" s="696">
        <v>2019</v>
      </c>
      <c r="D61" s="714">
        <v>2023</v>
      </c>
    </row>
    <row r="62" spans="1:4" ht="36" customHeight="1" x14ac:dyDescent="0.3">
      <c r="A62" s="704" t="s">
        <v>1208</v>
      </c>
      <c r="B62" s="700">
        <v>0.91</v>
      </c>
      <c r="C62" s="696">
        <v>2015</v>
      </c>
      <c r="D62" s="714">
        <v>2023</v>
      </c>
    </row>
    <row r="63" spans="1:4" ht="36" customHeight="1" x14ac:dyDescent="0.3">
      <c r="A63" s="704" t="s">
        <v>1209</v>
      </c>
      <c r="B63" s="700">
        <v>0.65749999999999997</v>
      </c>
      <c r="C63" s="696">
        <v>2019</v>
      </c>
      <c r="D63" s="714">
        <v>2023</v>
      </c>
    </row>
    <row r="64" spans="1:4" ht="36" customHeight="1" x14ac:dyDescent="0.3">
      <c r="A64" s="704" t="s">
        <v>1210</v>
      </c>
      <c r="B64" s="700">
        <v>0.59699999999999998</v>
      </c>
      <c r="C64" s="696">
        <v>2019</v>
      </c>
      <c r="D64" s="714">
        <v>2023</v>
      </c>
    </row>
    <row r="65" spans="1:4" ht="36" customHeight="1" x14ac:dyDescent="0.3">
      <c r="A65" s="704" t="s">
        <v>1211</v>
      </c>
      <c r="B65" s="700">
        <v>0.66</v>
      </c>
      <c r="C65" s="696">
        <v>2019</v>
      </c>
      <c r="D65" s="714">
        <v>2023</v>
      </c>
    </row>
    <row r="66" spans="1:4" ht="36" customHeight="1" x14ac:dyDescent="0.3">
      <c r="A66" s="704" t="s">
        <v>1212</v>
      </c>
      <c r="B66" s="700">
        <v>0.66</v>
      </c>
      <c r="C66" s="696">
        <v>2017</v>
      </c>
      <c r="D66" s="714">
        <v>2023</v>
      </c>
    </row>
    <row r="67" spans="1:4" ht="36" customHeight="1" x14ac:dyDescent="0.3">
      <c r="A67" s="695" t="s">
        <v>1213</v>
      </c>
      <c r="B67" s="700">
        <v>0.74</v>
      </c>
      <c r="C67" s="696">
        <v>2020</v>
      </c>
      <c r="D67" s="696">
        <v>2024</v>
      </c>
    </row>
    <row r="68" spans="1:4" ht="36" customHeight="1" x14ac:dyDescent="0.3">
      <c r="A68" s="695" t="s">
        <v>1214</v>
      </c>
      <c r="B68" s="700">
        <v>0.33</v>
      </c>
      <c r="C68" s="696">
        <v>2020</v>
      </c>
      <c r="D68" s="696">
        <v>2024</v>
      </c>
    </row>
    <row r="69" spans="1:4" ht="36" customHeight="1" x14ac:dyDescent="0.3">
      <c r="A69" s="695" t="s">
        <v>1215</v>
      </c>
      <c r="B69" s="700">
        <v>0.80500000000000005</v>
      </c>
      <c r="C69" s="696">
        <v>2018</v>
      </c>
      <c r="D69" s="696">
        <v>2024</v>
      </c>
    </row>
    <row r="70" spans="1:4" ht="36" customHeight="1" x14ac:dyDescent="0.3">
      <c r="A70" s="695" t="s">
        <v>1216</v>
      </c>
      <c r="B70" s="700">
        <v>0.76</v>
      </c>
      <c r="C70" s="696">
        <v>2020</v>
      </c>
      <c r="D70" s="696">
        <v>2024</v>
      </c>
    </row>
    <row r="71" spans="1:4" ht="36" customHeight="1" x14ac:dyDescent="0.3">
      <c r="A71" s="704" t="s">
        <v>1217</v>
      </c>
      <c r="B71" s="700">
        <v>0.59</v>
      </c>
      <c r="C71" s="696">
        <v>2016</v>
      </c>
      <c r="D71" s="714">
        <v>2024</v>
      </c>
    </row>
    <row r="72" spans="1:4" ht="36" customHeight="1" x14ac:dyDescent="0.3">
      <c r="A72" s="704" t="s">
        <v>1218</v>
      </c>
      <c r="B72" s="700">
        <v>0.67969999999999997</v>
      </c>
      <c r="C72" s="696">
        <v>2020</v>
      </c>
      <c r="D72" s="714">
        <v>2024</v>
      </c>
    </row>
    <row r="73" spans="1:4" ht="36" customHeight="1" x14ac:dyDescent="0.3">
      <c r="A73" s="704" t="s">
        <v>1219</v>
      </c>
      <c r="B73" s="700">
        <v>0.83</v>
      </c>
      <c r="C73" s="696">
        <v>2016</v>
      </c>
      <c r="D73" s="714">
        <v>2024</v>
      </c>
    </row>
    <row r="74" spans="1:4" ht="36" customHeight="1" x14ac:dyDescent="0.3">
      <c r="A74" s="704" t="s">
        <v>1220</v>
      </c>
      <c r="B74" s="700">
        <v>0.77</v>
      </c>
      <c r="C74" s="696">
        <v>2018</v>
      </c>
      <c r="D74" s="714">
        <v>2024</v>
      </c>
    </row>
    <row r="75" spans="1:4" ht="36" customHeight="1" x14ac:dyDescent="0.3">
      <c r="A75" s="704" t="s">
        <v>1221</v>
      </c>
      <c r="B75" s="700">
        <v>0.89</v>
      </c>
      <c r="C75" s="696">
        <v>2016</v>
      </c>
      <c r="D75" s="714">
        <v>2024</v>
      </c>
    </row>
    <row r="76" spans="1:4" ht="36" customHeight="1" x14ac:dyDescent="0.3">
      <c r="A76" s="704" t="s">
        <v>1222</v>
      </c>
      <c r="B76" s="700">
        <v>0.6</v>
      </c>
      <c r="C76" s="696">
        <v>2020</v>
      </c>
      <c r="D76" s="714">
        <v>2024</v>
      </c>
    </row>
    <row r="77" spans="1:4" ht="36" customHeight="1" x14ac:dyDescent="0.3">
      <c r="A77" s="704" t="s">
        <v>1223</v>
      </c>
      <c r="B77" s="700">
        <v>0.73</v>
      </c>
      <c r="C77" s="696">
        <v>2016</v>
      </c>
      <c r="D77" s="714">
        <v>2024</v>
      </c>
    </row>
    <row r="78" spans="1:4" ht="36" customHeight="1" x14ac:dyDescent="0.3">
      <c r="A78" s="704" t="s">
        <v>1224</v>
      </c>
      <c r="B78" s="700">
        <v>0.6</v>
      </c>
      <c r="C78" s="696">
        <v>2016</v>
      </c>
      <c r="D78" s="714">
        <v>2024</v>
      </c>
    </row>
    <row r="79" spans="1:4" ht="36" customHeight="1" x14ac:dyDescent="0.3">
      <c r="A79" s="695" t="s">
        <v>1225</v>
      </c>
      <c r="B79" s="700">
        <v>0.67</v>
      </c>
      <c r="C79" s="696">
        <v>2017</v>
      </c>
      <c r="D79" s="696">
        <v>2025</v>
      </c>
    </row>
    <row r="80" spans="1:4" ht="36" customHeight="1" x14ac:dyDescent="0.3">
      <c r="A80" s="695" t="s">
        <v>1226</v>
      </c>
      <c r="B80" s="700">
        <v>0.69499999999999995</v>
      </c>
      <c r="C80" s="696">
        <v>2019</v>
      </c>
      <c r="D80" s="696">
        <v>2025</v>
      </c>
    </row>
    <row r="81" spans="1:4" ht="36" customHeight="1" x14ac:dyDescent="0.3">
      <c r="A81" s="695" t="s">
        <v>1227</v>
      </c>
      <c r="B81" s="700">
        <v>0.79900000000000004</v>
      </c>
      <c r="C81" s="696">
        <v>2017</v>
      </c>
      <c r="D81" s="696">
        <v>2025</v>
      </c>
    </row>
    <row r="82" spans="1:4" ht="36" customHeight="1" x14ac:dyDescent="0.3">
      <c r="A82" s="695" t="s">
        <v>1228</v>
      </c>
      <c r="B82" s="700">
        <v>0.40050000000000002</v>
      </c>
      <c r="C82" s="696">
        <v>2020</v>
      </c>
      <c r="D82" s="696">
        <v>2025</v>
      </c>
    </row>
    <row r="83" spans="1:4" ht="36" customHeight="1" x14ac:dyDescent="0.3">
      <c r="A83" s="695" t="s">
        <v>1229</v>
      </c>
      <c r="B83" s="700">
        <v>0.95</v>
      </c>
      <c r="C83" s="696">
        <v>2017</v>
      </c>
      <c r="D83" s="696">
        <v>2025</v>
      </c>
    </row>
    <row r="84" spans="1:4" ht="36" customHeight="1" x14ac:dyDescent="0.3">
      <c r="A84" s="695" t="s">
        <v>1230</v>
      </c>
      <c r="B84" s="700">
        <v>0.79</v>
      </c>
      <c r="C84" s="696">
        <v>2017</v>
      </c>
      <c r="D84" s="696">
        <v>2025</v>
      </c>
    </row>
    <row r="85" spans="1:4" ht="36" customHeight="1" x14ac:dyDescent="0.3">
      <c r="A85" s="704" t="s">
        <v>1231</v>
      </c>
      <c r="B85" s="700">
        <v>0.76</v>
      </c>
      <c r="C85" s="696">
        <v>2019</v>
      </c>
      <c r="D85" s="714">
        <v>2025</v>
      </c>
    </row>
    <row r="86" spans="1:4" ht="36" customHeight="1" x14ac:dyDescent="0.3">
      <c r="A86" s="704" t="s">
        <v>1232</v>
      </c>
      <c r="B86" s="700">
        <v>0.84499999999999997</v>
      </c>
      <c r="C86" s="696">
        <v>2017</v>
      </c>
      <c r="D86" s="714">
        <v>2025</v>
      </c>
    </row>
    <row r="87" spans="1:4" ht="36" customHeight="1" x14ac:dyDescent="0.3">
      <c r="A87" s="704" t="s">
        <v>1233</v>
      </c>
      <c r="B87" s="700">
        <v>0.81</v>
      </c>
      <c r="C87" s="696">
        <v>2017</v>
      </c>
      <c r="D87" s="714">
        <v>2025</v>
      </c>
    </row>
    <row r="88" spans="1:4" ht="36" customHeight="1" x14ac:dyDescent="0.3">
      <c r="A88" s="704" t="s">
        <v>1234</v>
      </c>
      <c r="B88" s="700">
        <v>0.67</v>
      </c>
      <c r="C88" s="696">
        <v>2017</v>
      </c>
      <c r="D88" s="714">
        <v>2025</v>
      </c>
    </row>
    <row r="89" spans="1:4" ht="36" customHeight="1" x14ac:dyDescent="0.3">
      <c r="A89" s="704" t="s">
        <v>1235</v>
      </c>
      <c r="B89" s="700">
        <v>0.63270000000000004</v>
      </c>
      <c r="C89" s="696">
        <v>2019</v>
      </c>
      <c r="D89" s="714">
        <v>2025</v>
      </c>
    </row>
    <row r="90" spans="1:4" ht="36" customHeight="1" x14ac:dyDescent="0.3">
      <c r="A90" s="704" t="s">
        <v>1236</v>
      </c>
      <c r="B90" s="700">
        <v>0.94</v>
      </c>
      <c r="C90" s="696">
        <v>2017</v>
      </c>
      <c r="D90" s="714">
        <v>2025</v>
      </c>
    </row>
    <row r="91" spans="1:4" ht="36" customHeight="1" x14ac:dyDescent="0.3">
      <c r="A91" s="704" t="s">
        <v>1237</v>
      </c>
      <c r="B91" s="700">
        <v>0.81</v>
      </c>
      <c r="C91" s="696">
        <v>2017</v>
      </c>
      <c r="D91" s="714">
        <v>2025</v>
      </c>
    </row>
    <row r="92" spans="1:4" ht="36" customHeight="1" x14ac:dyDescent="0.3">
      <c r="A92" s="695" t="s">
        <v>1238</v>
      </c>
      <c r="B92" s="700">
        <v>0.77700000000000002</v>
      </c>
      <c r="C92" s="696">
        <v>2018</v>
      </c>
      <c r="D92" s="696">
        <v>2026</v>
      </c>
    </row>
    <row r="93" spans="1:4" ht="36" customHeight="1" x14ac:dyDescent="0.3">
      <c r="A93" s="695" t="s">
        <v>1239</v>
      </c>
      <c r="B93" s="700">
        <v>0.63500000000000001</v>
      </c>
      <c r="C93" s="696">
        <v>2018</v>
      </c>
      <c r="D93" s="696">
        <v>2026</v>
      </c>
    </row>
    <row r="94" spans="1:4" ht="36" customHeight="1" x14ac:dyDescent="0.3">
      <c r="A94" s="695" t="s">
        <v>1240</v>
      </c>
      <c r="B94" s="700">
        <v>0.43</v>
      </c>
      <c r="C94" s="696">
        <v>2018</v>
      </c>
      <c r="D94" s="696">
        <v>2026</v>
      </c>
    </row>
    <row r="95" spans="1:4" ht="36" customHeight="1" x14ac:dyDescent="0.3">
      <c r="A95" s="695" t="s">
        <v>1241</v>
      </c>
      <c r="B95" s="700">
        <v>0.84</v>
      </c>
      <c r="C95" s="696">
        <v>2018</v>
      </c>
      <c r="D95" s="696">
        <v>2026</v>
      </c>
    </row>
    <row r="96" spans="1:4" ht="36" customHeight="1" x14ac:dyDescent="0.3">
      <c r="A96" s="695" t="s">
        <v>1242</v>
      </c>
      <c r="B96" s="700">
        <v>0.84</v>
      </c>
      <c r="C96" s="696">
        <v>2019</v>
      </c>
      <c r="D96" s="696">
        <v>2027</v>
      </c>
    </row>
    <row r="97" spans="1:4" ht="36" customHeight="1" x14ac:dyDescent="0.3">
      <c r="A97" s="704" t="s">
        <v>1243</v>
      </c>
      <c r="B97" s="700">
        <v>0.64500000000000002</v>
      </c>
      <c r="C97" s="696">
        <v>2019</v>
      </c>
      <c r="D97" s="714">
        <v>2027</v>
      </c>
    </row>
    <row r="98" spans="1:4" ht="36" customHeight="1" x14ac:dyDescent="0.3">
      <c r="A98" s="704" t="s">
        <v>1244</v>
      </c>
      <c r="B98" s="700">
        <v>0.69499999999999995</v>
      </c>
      <c r="C98" s="696">
        <v>2019</v>
      </c>
      <c r="D98" s="714">
        <v>2027</v>
      </c>
    </row>
    <row r="99" spans="1:4" ht="36" customHeight="1" x14ac:dyDescent="0.3">
      <c r="A99" s="704" t="s">
        <v>1245</v>
      </c>
      <c r="B99" s="700">
        <v>0.82499999999999996</v>
      </c>
      <c r="C99" s="696">
        <v>2019</v>
      </c>
      <c r="D99" s="714">
        <v>2027</v>
      </c>
    </row>
    <row r="100" spans="1:4" ht="36" customHeight="1" x14ac:dyDescent="0.3">
      <c r="A100" s="704" t="s">
        <v>1246</v>
      </c>
      <c r="B100" s="700">
        <v>1</v>
      </c>
      <c r="C100" s="696">
        <v>2019</v>
      </c>
      <c r="D100" s="714">
        <v>2027</v>
      </c>
    </row>
    <row r="101" spans="1:4" ht="36" customHeight="1" x14ac:dyDescent="0.3">
      <c r="A101" s="704" t="s">
        <v>1247</v>
      </c>
      <c r="B101" s="700">
        <v>0.66349999999999998</v>
      </c>
      <c r="C101" s="696">
        <v>2019</v>
      </c>
      <c r="D101" s="714">
        <v>2027</v>
      </c>
    </row>
    <row r="102" spans="1:4" ht="36" customHeight="1" x14ac:dyDescent="0.3">
      <c r="A102" s="695" t="s">
        <v>1248</v>
      </c>
      <c r="B102" s="700">
        <v>0.86499999999999999</v>
      </c>
      <c r="C102" s="696">
        <v>2020</v>
      </c>
      <c r="D102" s="696">
        <v>2028</v>
      </c>
    </row>
    <row r="103" spans="1:4" ht="36" customHeight="1" x14ac:dyDescent="0.3">
      <c r="A103" s="695" t="s">
        <v>1249</v>
      </c>
      <c r="B103" s="700">
        <v>0.46</v>
      </c>
      <c r="C103" s="696">
        <v>2020</v>
      </c>
      <c r="D103" s="696">
        <v>2028</v>
      </c>
    </row>
    <row r="104" spans="1:4" ht="36" customHeight="1" x14ac:dyDescent="0.3">
      <c r="A104" s="704" t="s">
        <v>1250</v>
      </c>
      <c r="B104" s="700">
        <v>0.5</v>
      </c>
      <c r="C104" s="696">
        <v>2020</v>
      </c>
      <c r="D104" s="714">
        <v>2028</v>
      </c>
    </row>
    <row r="105" spans="1:4" ht="36" customHeight="1" x14ac:dyDescent="0.3">
      <c r="A105" s="704" t="s">
        <v>1251</v>
      </c>
      <c r="B105" s="700">
        <v>0.62</v>
      </c>
      <c r="C105" s="696">
        <v>2020</v>
      </c>
      <c r="D105" s="714">
        <v>2028</v>
      </c>
    </row>
    <row r="106" spans="1:4" ht="36" customHeight="1" x14ac:dyDescent="0.3">
      <c r="A106" s="704" t="s">
        <v>1252</v>
      </c>
      <c r="B106" s="700">
        <v>0.625</v>
      </c>
      <c r="C106" s="696">
        <v>2020</v>
      </c>
      <c r="D106" s="714">
        <v>2028</v>
      </c>
    </row>
    <row r="107" spans="1:4" ht="36" customHeight="1" x14ac:dyDescent="0.3">
      <c r="A107" s="695"/>
      <c r="B107" s="700"/>
      <c r="C107" s="696"/>
      <c r="D107" s="696"/>
    </row>
    <row r="108" spans="1:4" ht="36" customHeight="1" x14ac:dyDescent="0.3">
      <c r="A108" s="695"/>
      <c r="B108" s="700"/>
      <c r="C108" s="696"/>
      <c r="D108" s="696"/>
    </row>
    <row r="109" spans="1:4" ht="36" customHeight="1" x14ac:dyDescent="0.3">
      <c r="A109" s="695"/>
      <c r="B109" s="700"/>
      <c r="C109" s="696"/>
      <c r="D109" s="696"/>
    </row>
    <row r="110" spans="1:4" ht="36" customHeight="1" x14ac:dyDescent="0.3">
      <c r="A110" s="695"/>
      <c r="B110" s="700"/>
      <c r="C110" s="696"/>
      <c r="D110" s="696"/>
    </row>
    <row r="111" spans="1:4" ht="36" customHeight="1" x14ac:dyDescent="0.3">
      <c r="A111" s="695"/>
      <c r="B111" s="700"/>
      <c r="C111" s="696"/>
      <c r="D111" s="696"/>
    </row>
    <row r="112" spans="1:4" ht="36" customHeight="1" x14ac:dyDescent="0.3">
      <c r="A112" s="1305" t="s">
        <v>1253</v>
      </c>
      <c r="B112" s="1305"/>
      <c r="C112" s="1305"/>
      <c r="D112" s="1305"/>
    </row>
    <row r="113" spans="1:4" ht="15.75" customHeight="1" x14ac:dyDescent="0.3">
      <c r="A113" s="1300" t="s">
        <v>1254</v>
      </c>
      <c r="B113" s="1300"/>
      <c r="C113" s="1300"/>
      <c r="D113" s="1300"/>
    </row>
    <row r="114" spans="1:4" ht="15.75" customHeight="1" x14ac:dyDescent="0.3">
      <c r="A114" s="1303" t="s">
        <v>1255</v>
      </c>
      <c r="B114" s="1303"/>
      <c r="C114" s="1303"/>
      <c r="D114" s="1303"/>
    </row>
    <row r="115" spans="1:4" ht="15.75" customHeight="1" x14ac:dyDescent="0.3">
      <c r="A115" s="1300" t="s">
        <v>1256</v>
      </c>
      <c r="B115" s="1300"/>
      <c r="C115" s="1300"/>
      <c r="D115" s="1300"/>
    </row>
    <row r="116" spans="1:4" ht="21.9" customHeight="1" x14ac:dyDescent="0.3">
      <c r="A116" s="1301" t="s">
        <v>1257</v>
      </c>
      <c r="B116" s="1301"/>
      <c r="C116" s="1301"/>
      <c r="D116" s="1301"/>
    </row>
    <row r="117" spans="1:4" ht="21" customHeight="1" x14ac:dyDescent="0.3">
      <c r="A117" s="1302" t="s">
        <v>1258</v>
      </c>
      <c r="B117" s="1302"/>
      <c r="C117" s="1302"/>
      <c r="D117" s="1302"/>
    </row>
    <row r="118" spans="1:4" ht="15.75" customHeight="1" x14ac:dyDescent="0.3">
      <c r="A118" s="1302" t="s">
        <v>1259</v>
      </c>
      <c r="B118" s="1302"/>
      <c r="C118" s="1302"/>
      <c r="D118" s="1302"/>
    </row>
    <row r="119" spans="1:4" ht="15.75" customHeight="1" x14ac:dyDescent="0.3">
      <c r="A119" s="1302" t="s">
        <v>1260</v>
      </c>
      <c r="B119" s="1302"/>
      <c r="C119" s="1302"/>
      <c r="D119" s="1302"/>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4:D114"/>
    <mergeCell ref="A1:D1"/>
    <mergeCell ref="A2:D2"/>
    <mergeCell ref="A3:D3"/>
    <mergeCell ref="A112:D112"/>
    <mergeCell ref="A113:D113"/>
    <mergeCell ref="A115:D115"/>
    <mergeCell ref="A116:D116"/>
    <mergeCell ref="A117:D117"/>
    <mergeCell ref="A118:D118"/>
    <mergeCell ref="A119:D11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U80"/>
  <sheetViews>
    <sheetView workbookViewId="0">
      <selection activeCell="Y74" sqref="Y74"/>
    </sheetView>
  </sheetViews>
  <sheetFormatPr defaultColWidth="9.109375" defaultRowHeight="14.4" x14ac:dyDescent="0.3"/>
  <cols>
    <col min="1" max="1" width="28.5546875" style="722" customWidth="1"/>
    <col min="2" max="16384" width="9.109375" style="722"/>
  </cols>
  <sheetData>
    <row r="1" spans="1:21" x14ac:dyDescent="0.3">
      <c r="A1" s="722" t="s">
        <v>1589</v>
      </c>
      <c r="M1" s="271" t="s">
        <v>1792</v>
      </c>
      <c r="N1" s="271"/>
      <c r="O1" s="271"/>
      <c r="P1" s="271"/>
      <c r="Q1" s="271"/>
      <c r="R1" s="271" t="s">
        <v>1793</v>
      </c>
      <c r="S1" s="271"/>
      <c r="T1" s="271"/>
      <c r="U1" s="271"/>
    </row>
    <row r="2" spans="1:21" ht="15" thickBot="1" x14ac:dyDescent="0.35">
      <c r="A2" s="712" t="s">
        <v>957</v>
      </c>
      <c r="B2" s="171">
        <v>50129</v>
      </c>
      <c r="C2" s="708"/>
      <c r="D2" s="56"/>
      <c r="E2" s="56"/>
      <c r="G2" s="722">
        <v>100</v>
      </c>
      <c r="I2" s="722" t="s">
        <v>613</v>
      </c>
      <c r="M2" s="405" t="s">
        <v>957</v>
      </c>
      <c r="N2" s="405">
        <v>50129</v>
      </c>
      <c r="O2" s="271" t="b">
        <f>EXACT(A2,M2)</f>
        <v>1</v>
      </c>
      <c r="P2" s="271" t="b">
        <f>EXACT(B2,N2)</f>
        <v>1</v>
      </c>
      <c r="Q2" s="271"/>
      <c r="R2" s="271" t="s">
        <v>957</v>
      </c>
      <c r="S2" s="271">
        <v>50129</v>
      </c>
      <c r="T2" s="271" t="b">
        <f>EXACT(M2,R2)</f>
        <v>1</v>
      </c>
      <c r="U2" s="271" t="b">
        <f>EXACT(N2,S2)</f>
        <v>1</v>
      </c>
    </row>
    <row r="3" spans="1:21" ht="15" customHeight="1" thickBot="1" x14ac:dyDescent="0.35">
      <c r="A3" s="721" t="s">
        <v>958</v>
      </c>
      <c r="B3" s="171">
        <v>50130</v>
      </c>
      <c r="C3" s="708"/>
      <c r="D3" s="55"/>
      <c r="E3" s="56"/>
      <c r="G3" s="722">
        <v>200</v>
      </c>
      <c r="I3" s="722" t="s">
        <v>614</v>
      </c>
      <c r="M3" s="405" t="s">
        <v>958</v>
      </c>
      <c r="N3" s="405">
        <v>50130</v>
      </c>
      <c r="O3" s="271" t="b">
        <f t="shared" ref="O3:O66" si="0">EXACT(A3,M3)</f>
        <v>1</v>
      </c>
      <c r="P3" s="271" t="b">
        <f t="shared" ref="P3:P66" si="1">EXACT(B3,N3)</f>
        <v>1</v>
      </c>
      <c r="R3" s="271" t="s">
        <v>958</v>
      </c>
      <c r="S3" s="271">
        <v>50130</v>
      </c>
      <c r="T3" s="271" t="b">
        <f t="shared" ref="T3:T66" si="2">EXACT(M3,R3)</f>
        <v>1</v>
      </c>
      <c r="U3" s="271" t="b">
        <f t="shared" ref="U3:U66" si="3">EXACT(N3,S3)</f>
        <v>1</v>
      </c>
    </row>
    <row r="4" spans="1:21" ht="15" customHeight="1" thickBot="1" x14ac:dyDescent="0.35">
      <c r="A4" s="721" t="s">
        <v>1701</v>
      </c>
      <c r="B4" s="171">
        <v>50560</v>
      </c>
      <c r="C4" s="708"/>
      <c r="D4" s="55"/>
      <c r="E4" s="56"/>
      <c r="G4" s="722">
        <v>300</v>
      </c>
      <c r="I4" s="722" t="s">
        <v>615</v>
      </c>
      <c r="M4" s="405" t="s">
        <v>1701</v>
      </c>
      <c r="N4" s="405">
        <v>50560</v>
      </c>
      <c r="O4" s="271" t="b">
        <f t="shared" si="0"/>
        <v>1</v>
      </c>
      <c r="P4" s="271" t="b">
        <f t="shared" si="1"/>
        <v>1</v>
      </c>
      <c r="R4" s="271" t="s">
        <v>1701</v>
      </c>
      <c r="S4" s="271">
        <v>50560</v>
      </c>
      <c r="T4" s="271" t="b">
        <f t="shared" si="2"/>
        <v>1</v>
      </c>
      <c r="U4" s="271" t="b">
        <f t="shared" si="3"/>
        <v>1</v>
      </c>
    </row>
    <row r="5" spans="1:21" ht="15" thickBot="1" x14ac:dyDescent="0.35">
      <c r="A5" s="721" t="s">
        <v>1702</v>
      </c>
      <c r="B5" s="171">
        <v>50131</v>
      </c>
      <c r="C5" s="708"/>
      <c r="D5" s="55"/>
      <c r="E5" s="56"/>
      <c r="G5" s="722">
        <v>400</v>
      </c>
      <c r="M5" s="405" t="s">
        <v>1702</v>
      </c>
      <c r="N5" s="405">
        <v>50131</v>
      </c>
      <c r="O5" s="271" t="b">
        <f t="shared" si="0"/>
        <v>1</v>
      </c>
      <c r="P5" s="271" t="b">
        <f t="shared" si="1"/>
        <v>1</v>
      </c>
      <c r="R5" s="271" t="s">
        <v>1702</v>
      </c>
      <c r="S5" s="271">
        <v>50131</v>
      </c>
      <c r="T5" s="271" t="b">
        <f t="shared" si="2"/>
        <v>1</v>
      </c>
      <c r="U5" s="271" t="b">
        <f t="shared" si="3"/>
        <v>1</v>
      </c>
    </row>
    <row r="6" spans="1:21" ht="15" thickBot="1" x14ac:dyDescent="0.35">
      <c r="A6" s="721" t="s">
        <v>1703</v>
      </c>
      <c r="B6" s="171">
        <v>50132</v>
      </c>
      <c r="C6" s="708"/>
      <c r="D6" s="55"/>
      <c r="E6" s="56"/>
      <c r="G6" s="722">
        <v>500</v>
      </c>
      <c r="M6" s="405" t="s">
        <v>1703</v>
      </c>
      <c r="N6" s="405">
        <v>50132</v>
      </c>
      <c r="O6" s="271" t="b">
        <f t="shared" si="0"/>
        <v>1</v>
      </c>
      <c r="P6" s="271" t="b">
        <f t="shared" si="1"/>
        <v>1</v>
      </c>
      <c r="R6" s="271" t="s">
        <v>1703</v>
      </c>
      <c r="S6" s="271">
        <v>50132</v>
      </c>
      <c r="T6" s="271" t="b">
        <f t="shared" si="2"/>
        <v>1</v>
      </c>
      <c r="U6" s="271" t="b">
        <f t="shared" si="3"/>
        <v>1</v>
      </c>
    </row>
    <row r="7" spans="1:21" ht="15" thickBot="1" x14ac:dyDescent="0.35">
      <c r="A7" s="721" t="s">
        <v>1704</v>
      </c>
      <c r="B7" s="171">
        <v>50133</v>
      </c>
      <c r="C7" s="708"/>
      <c r="D7" s="55"/>
      <c r="E7" s="56"/>
      <c r="M7" s="405" t="s">
        <v>1704</v>
      </c>
      <c r="N7" s="405">
        <v>50133</v>
      </c>
      <c r="O7" s="271" t="b">
        <f t="shared" si="0"/>
        <v>1</v>
      </c>
      <c r="P7" s="271" t="b">
        <f t="shared" si="1"/>
        <v>1</v>
      </c>
      <c r="R7" s="271" t="s">
        <v>1704</v>
      </c>
      <c r="S7" s="271">
        <v>50133</v>
      </c>
      <c r="T7" s="271" t="b">
        <f t="shared" si="2"/>
        <v>1</v>
      </c>
      <c r="U7" s="271" t="b">
        <f t="shared" si="3"/>
        <v>1</v>
      </c>
    </row>
    <row r="8" spans="1:21" ht="15" thickBot="1" x14ac:dyDescent="0.35">
      <c r="A8" s="721" t="s">
        <v>1705</v>
      </c>
      <c r="B8" s="171">
        <v>50134</v>
      </c>
      <c r="C8" s="708"/>
      <c r="D8" s="55"/>
      <c r="E8" s="56"/>
      <c r="M8" s="405" t="s">
        <v>1705</v>
      </c>
      <c r="N8" s="405">
        <v>50134</v>
      </c>
      <c r="O8" s="271" t="b">
        <f t="shared" si="0"/>
        <v>1</v>
      </c>
      <c r="P8" s="271" t="b">
        <f t="shared" si="1"/>
        <v>1</v>
      </c>
      <c r="R8" s="271" t="s">
        <v>1705</v>
      </c>
      <c r="S8" s="271">
        <v>50134</v>
      </c>
      <c r="T8" s="271" t="b">
        <f t="shared" si="2"/>
        <v>1</v>
      </c>
      <c r="U8" s="271" t="b">
        <f t="shared" si="3"/>
        <v>1</v>
      </c>
    </row>
    <row r="9" spans="1:21" ht="15" thickBot="1" x14ac:dyDescent="0.35">
      <c r="A9" s="721" t="s">
        <v>1706</v>
      </c>
      <c r="B9" s="171">
        <v>50473</v>
      </c>
      <c r="C9" s="708"/>
      <c r="D9" s="55"/>
      <c r="E9" s="56"/>
      <c r="M9" s="405" t="s">
        <v>1706</v>
      </c>
      <c r="N9" s="405">
        <v>50473</v>
      </c>
      <c r="O9" s="271" t="b">
        <f t="shared" si="0"/>
        <v>1</v>
      </c>
      <c r="P9" s="271" t="b">
        <f t="shared" si="1"/>
        <v>1</v>
      </c>
      <c r="R9" s="271" t="s">
        <v>1706</v>
      </c>
      <c r="S9" s="271">
        <v>50473</v>
      </c>
      <c r="T9" s="271" t="b">
        <f t="shared" si="2"/>
        <v>1</v>
      </c>
      <c r="U9" s="271" t="b">
        <f t="shared" si="3"/>
        <v>1</v>
      </c>
    </row>
    <row r="10" spans="1:21" ht="15" thickBot="1" x14ac:dyDescent="0.35">
      <c r="A10" s="721" t="s">
        <v>1707</v>
      </c>
      <c r="B10" s="171">
        <v>50135</v>
      </c>
      <c r="C10" s="708"/>
      <c r="D10" s="55"/>
      <c r="E10" s="56"/>
      <c r="M10" s="405" t="s">
        <v>1707</v>
      </c>
      <c r="N10" s="405">
        <v>50135</v>
      </c>
      <c r="O10" s="271" t="b">
        <f t="shared" si="0"/>
        <v>1</v>
      </c>
      <c r="P10" s="271" t="b">
        <f t="shared" si="1"/>
        <v>1</v>
      </c>
      <c r="R10" s="271" t="s">
        <v>1707</v>
      </c>
      <c r="S10" s="271">
        <v>50135</v>
      </c>
      <c r="T10" s="271" t="b">
        <f t="shared" si="2"/>
        <v>1</v>
      </c>
      <c r="U10" s="271" t="b">
        <f t="shared" si="3"/>
        <v>1</v>
      </c>
    </row>
    <row r="11" spans="1:21" ht="15" thickBot="1" x14ac:dyDescent="0.35">
      <c r="A11" s="721" t="s">
        <v>1708</v>
      </c>
      <c r="B11" s="171">
        <v>50136</v>
      </c>
      <c r="C11" s="708"/>
      <c r="D11" s="55"/>
      <c r="E11" s="56"/>
      <c r="M11" s="405" t="s">
        <v>1708</v>
      </c>
      <c r="N11" s="405">
        <v>50136</v>
      </c>
      <c r="O11" s="271" t="b">
        <f t="shared" si="0"/>
        <v>1</v>
      </c>
      <c r="P11" s="271" t="b">
        <f t="shared" si="1"/>
        <v>1</v>
      </c>
      <c r="R11" s="271" t="s">
        <v>1708</v>
      </c>
      <c r="S11" s="271">
        <v>50136</v>
      </c>
      <c r="T11" s="271" t="b">
        <f t="shared" si="2"/>
        <v>1</v>
      </c>
      <c r="U11" s="271" t="b">
        <f t="shared" si="3"/>
        <v>1</v>
      </c>
    </row>
    <row r="12" spans="1:21" ht="15" thickBot="1" x14ac:dyDescent="0.35">
      <c r="A12" s="721" t="s">
        <v>1709</v>
      </c>
      <c r="B12" s="171">
        <v>50514</v>
      </c>
      <c r="C12" s="708"/>
      <c r="D12" s="55"/>
      <c r="E12" s="56"/>
      <c r="M12" s="405" t="s">
        <v>1709</v>
      </c>
      <c r="N12" s="405">
        <v>50514</v>
      </c>
      <c r="O12" s="271" t="b">
        <f t="shared" si="0"/>
        <v>1</v>
      </c>
      <c r="P12" s="271" t="b">
        <f t="shared" si="1"/>
        <v>1</v>
      </c>
      <c r="R12" s="271" t="s">
        <v>1709</v>
      </c>
      <c r="S12" s="271">
        <v>50514</v>
      </c>
      <c r="T12" s="271" t="b">
        <f t="shared" si="2"/>
        <v>1</v>
      </c>
      <c r="U12" s="271" t="b">
        <f t="shared" si="3"/>
        <v>1</v>
      </c>
    </row>
    <row r="13" spans="1:21" ht="15" thickBot="1" x14ac:dyDescent="0.35">
      <c r="A13" s="721" t="s">
        <v>1710</v>
      </c>
      <c r="B13" s="171">
        <v>50515</v>
      </c>
      <c r="C13" s="708"/>
      <c r="D13" s="55"/>
      <c r="E13" s="56"/>
      <c r="M13" s="405" t="s">
        <v>1710</v>
      </c>
      <c r="N13" s="405">
        <v>50515</v>
      </c>
      <c r="O13" s="271" t="b">
        <f t="shared" si="0"/>
        <v>1</v>
      </c>
      <c r="P13" s="271" t="b">
        <f t="shared" si="1"/>
        <v>1</v>
      </c>
      <c r="R13" s="271" t="s">
        <v>1710</v>
      </c>
      <c r="S13" s="271">
        <v>50515</v>
      </c>
      <c r="T13" s="271" t="b">
        <f t="shared" si="2"/>
        <v>1</v>
      </c>
      <c r="U13" s="271" t="b">
        <f t="shared" si="3"/>
        <v>1</v>
      </c>
    </row>
    <row r="14" spans="1:21" ht="15" thickBot="1" x14ac:dyDescent="0.35">
      <c r="A14" s="721" t="s">
        <v>959</v>
      </c>
      <c r="B14" s="171">
        <v>50570</v>
      </c>
      <c r="C14" s="708"/>
      <c r="D14" s="55"/>
      <c r="E14" s="56"/>
      <c r="M14" s="405" t="s">
        <v>959</v>
      </c>
      <c r="N14" s="405">
        <v>50570</v>
      </c>
      <c r="O14" s="271" t="b">
        <f t="shared" si="0"/>
        <v>1</v>
      </c>
      <c r="P14" s="271" t="b">
        <f t="shared" si="1"/>
        <v>1</v>
      </c>
      <c r="R14" s="271" t="s">
        <v>959</v>
      </c>
      <c r="S14" s="271">
        <v>50570</v>
      </c>
      <c r="T14" s="271" t="b">
        <f t="shared" si="2"/>
        <v>1</v>
      </c>
      <c r="U14" s="271" t="b">
        <f t="shared" si="3"/>
        <v>1</v>
      </c>
    </row>
    <row r="15" spans="1:21" ht="15" thickBot="1" x14ac:dyDescent="0.35">
      <c r="A15" s="721" t="s">
        <v>1711</v>
      </c>
      <c r="B15" s="171">
        <v>50137</v>
      </c>
      <c r="C15" s="708"/>
      <c r="D15" s="55"/>
      <c r="E15" s="56"/>
      <c r="M15" s="405" t="s">
        <v>1711</v>
      </c>
      <c r="N15" s="405">
        <v>50137</v>
      </c>
      <c r="O15" s="271" t="b">
        <f t="shared" si="0"/>
        <v>1</v>
      </c>
      <c r="P15" s="271" t="b">
        <f t="shared" si="1"/>
        <v>1</v>
      </c>
      <c r="R15" s="271" t="s">
        <v>1711</v>
      </c>
      <c r="S15" s="271">
        <v>50137</v>
      </c>
      <c r="T15" s="271" t="b">
        <f t="shared" si="2"/>
        <v>1</v>
      </c>
      <c r="U15" s="271" t="b">
        <f t="shared" si="3"/>
        <v>1</v>
      </c>
    </row>
    <row r="16" spans="1:21" ht="15" thickBot="1" x14ac:dyDescent="0.35">
      <c r="A16" s="721" t="s">
        <v>1712</v>
      </c>
      <c r="B16" s="171">
        <v>50549</v>
      </c>
      <c r="C16" s="708"/>
      <c r="D16" s="55"/>
      <c r="E16" s="56"/>
      <c r="M16" s="405" t="s">
        <v>1712</v>
      </c>
      <c r="N16" s="405">
        <v>50549</v>
      </c>
      <c r="O16" s="271" t="b">
        <f t="shared" si="0"/>
        <v>1</v>
      </c>
      <c r="P16" s="271" t="b">
        <f t="shared" si="1"/>
        <v>1</v>
      </c>
      <c r="R16" s="271" t="s">
        <v>1712</v>
      </c>
      <c r="S16" s="271">
        <v>50549</v>
      </c>
      <c r="T16" s="271" t="b">
        <f t="shared" si="2"/>
        <v>1</v>
      </c>
      <c r="U16" s="271" t="b">
        <f t="shared" si="3"/>
        <v>1</v>
      </c>
    </row>
    <row r="17" spans="1:21" ht="15" thickBot="1" x14ac:dyDescent="0.35">
      <c r="A17" s="721" t="s">
        <v>1713</v>
      </c>
      <c r="B17" s="171">
        <v>50138</v>
      </c>
      <c r="C17" s="708"/>
      <c r="D17" s="55"/>
      <c r="E17" s="56"/>
      <c r="M17" s="405" t="s">
        <v>1713</v>
      </c>
      <c r="N17" s="405">
        <v>50138</v>
      </c>
      <c r="O17" s="271" t="b">
        <f t="shared" si="0"/>
        <v>1</v>
      </c>
      <c r="P17" s="271" t="b">
        <f t="shared" si="1"/>
        <v>1</v>
      </c>
      <c r="R17" s="271" t="s">
        <v>1713</v>
      </c>
      <c r="S17" s="271">
        <v>50138</v>
      </c>
      <c r="T17" s="271" t="b">
        <f t="shared" si="2"/>
        <v>1</v>
      </c>
      <c r="U17" s="271" t="b">
        <f t="shared" si="3"/>
        <v>1</v>
      </c>
    </row>
    <row r="18" spans="1:21" ht="15" thickBot="1" x14ac:dyDescent="0.35">
      <c r="A18" s="721" t="s">
        <v>961</v>
      </c>
      <c r="B18" s="171">
        <v>50139</v>
      </c>
      <c r="C18" s="708"/>
      <c r="D18" s="55"/>
      <c r="E18" s="56"/>
      <c r="M18" s="405" t="s">
        <v>961</v>
      </c>
      <c r="N18" s="405">
        <v>50139</v>
      </c>
      <c r="O18" s="271" t="b">
        <f t="shared" si="0"/>
        <v>1</v>
      </c>
      <c r="P18" s="271" t="b">
        <f t="shared" si="1"/>
        <v>1</v>
      </c>
      <c r="R18" s="271" t="s">
        <v>961</v>
      </c>
      <c r="S18" s="271">
        <v>50139</v>
      </c>
      <c r="T18" s="271" t="b">
        <f t="shared" si="2"/>
        <v>1</v>
      </c>
      <c r="U18" s="271" t="b">
        <f t="shared" si="3"/>
        <v>1</v>
      </c>
    </row>
    <row r="19" spans="1:21" ht="15" thickBot="1" x14ac:dyDescent="0.35">
      <c r="A19" s="721" t="s">
        <v>1714</v>
      </c>
      <c r="B19" s="171">
        <v>50474</v>
      </c>
      <c r="C19" s="708"/>
      <c r="D19" s="55"/>
      <c r="E19" s="56"/>
      <c r="M19" s="405" t="s">
        <v>1714</v>
      </c>
      <c r="N19" s="405">
        <v>50474</v>
      </c>
      <c r="O19" s="271" t="b">
        <f t="shared" si="0"/>
        <v>1</v>
      </c>
      <c r="P19" s="271" t="b">
        <f t="shared" si="1"/>
        <v>1</v>
      </c>
      <c r="R19" s="271" t="s">
        <v>1714</v>
      </c>
      <c r="S19" s="271">
        <v>50474</v>
      </c>
      <c r="T19" s="271" t="b">
        <f t="shared" si="2"/>
        <v>1</v>
      </c>
      <c r="U19" s="271" t="b">
        <f t="shared" si="3"/>
        <v>1</v>
      </c>
    </row>
    <row r="20" spans="1:21" ht="15" thickBot="1" x14ac:dyDescent="0.35">
      <c r="A20" s="721" t="s">
        <v>1715</v>
      </c>
      <c r="B20" s="171">
        <v>50140</v>
      </c>
      <c r="C20" s="708"/>
      <c r="D20" s="55"/>
      <c r="E20" s="56"/>
      <c r="M20" s="405" t="s">
        <v>1715</v>
      </c>
      <c r="N20" s="405">
        <v>50140</v>
      </c>
      <c r="O20" s="271" t="b">
        <f t="shared" si="0"/>
        <v>1</v>
      </c>
      <c r="P20" s="271" t="b">
        <f t="shared" si="1"/>
        <v>1</v>
      </c>
      <c r="R20" s="271" t="s">
        <v>1715</v>
      </c>
      <c r="S20" s="271">
        <v>50140</v>
      </c>
      <c r="T20" s="271" t="b">
        <f t="shared" si="2"/>
        <v>1</v>
      </c>
      <c r="U20" s="271" t="b">
        <f t="shared" si="3"/>
        <v>1</v>
      </c>
    </row>
    <row r="21" spans="1:21" ht="15" thickBot="1" x14ac:dyDescent="0.35">
      <c r="A21" s="721" t="s">
        <v>1716</v>
      </c>
      <c r="B21" s="171">
        <v>50141</v>
      </c>
      <c r="C21" s="708"/>
      <c r="D21" s="55"/>
      <c r="E21" s="56"/>
      <c r="M21" s="405" t="s">
        <v>1716</v>
      </c>
      <c r="N21" s="405">
        <v>50141</v>
      </c>
      <c r="O21" s="271" t="b">
        <f t="shared" si="0"/>
        <v>1</v>
      </c>
      <c r="P21" s="271" t="b">
        <f t="shared" si="1"/>
        <v>1</v>
      </c>
      <c r="R21" s="271" t="s">
        <v>1716</v>
      </c>
      <c r="S21" s="271">
        <v>50141</v>
      </c>
      <c r="T21" s="271" t="b">
        <f t="shared" si="2"/>
        <v>1</v>
      </c>
      <c r="U21" s="271" t="b">
        <f t="shared" si="3"/>
        <v>1</v>
      </c>
    </row>
    <row r="22" spans="1:21" ht="15" thickBot="1" x14ac:dyDescent="0.35">
      <c r="A22" s="721" t="s">
        <v>962</v>
      </c>
      <c r="B22" s="171">
        <v>50142</v>
      </c>
      <c r="C22" s="708"/>
      <c r="D22" s="55"/>
      <c r="E22" s="56"/>
      <c r="M22" s="405" t="s">
        <v>962</v>
      </c>
      <c r="N22" s="405">
        <v>50142</v>
      </c>
      <c r="O22" s="271" t="b">
        <f t="shared" si="0"/>
        <v>1</v>
      </c>
      <c r="P22" s="271" t="b">
        <f t="shared" si="1"/>
        <v>1</v>
      </c>
      <c r="R22" s="271" t="s">
        <v>962</v>
      </c>
      <c r="S22" s="271">
        <v>50142</v>
      </c>
      <c r="T22" s="271" t="b">
        <f t="shared" si="2"/>
        <v>1</v>
      </c>
      <c r="U22" s="271" t="b">
        <f t="shared" si="3"/>
        <v>1</v>
      </c>
    </row>
    <row r="23" spans="1:21" ht="15" thickBot="1" x14ac:dyDescent="0.35">
      <c r="A23" s="721" t="s">
        <v>963</v>
      </c>
      <c r="B23" s="171">
        <v>50143</v>
      </c>
      <c r="C23" s="708"/>
      <c r="D23" s="55"/>
      <c r="E23" s="56"/>
      <c r="M23" s="405" t="s">
        <v>963</v>
      </c>
      <c r="N23" s="405">
        <v>50143</v>
      </c>
      <c r="O23" s="271" t="b">
        <f t="shared" si="0"/>
        <v>1</v>
      </c>
      <c r="P23" s="271" t="b">
        <f t="shared" si="1"/>
        <v>1</v>
      </c>
      <c r="R23" s="271" t="s">
        <v>963</v>
      </c>
      <c r="S23" s="271">
        <v>50143</v>
      </c>
      <c r="T23" s="271" t="b">
        <f t="shared" si="2"/>
        <v>1</v>
      </c>
      <c r="U23" s="271" t="b">
        <f t="shared" si="3"/>
        <v>1</v>
      </c>
    </row>
    <row r="24" spans="1:21" ht="15" thickBot="1" x14ac:dyDescent="0.35">
      <c r="A24" s="721" t="s">
        <v>1717</v>
      </c>
      <c r="B24" s="171">
        <v>50144</v>
      </c>
      <c r="C24" s="708"/>
      <c r="D24" s="55"/>
      <c r="E24" s="56"/>
      <c r="M24" s="405" t="s">
        <v>1717</v>
      </c>
      <c r="N24" s="405">
        <v>50144</v>
      </c>
      <c r="O24" s="271" t="b">
        <f t="shared" si="0"/>
        <v>1</v>
      </c>
      <c r="P24" s="271" t="b">
        <f t="shared" si="1"/>
        <v>1</v>
      </c>
      <c r="R24" s="271" t="s">
        <v>1717</v>
      </c>
      <c r="S24" s="271">
        <v>50144</v>
      </c>
      <c r="T24" s="271" t="b">
        <f t="shared" si="2"/>
        <v>1</v>
      </c>
      <c r="U24" s="271" t="b">
        <f t="shared" si="3"/>
        <v>1</v>
      </c>
    </row>
    <row r="25" spans="1:21" ht="15" thickBot="1" x14ac:dyDescent="0.35">
      <c r="A25" s="721" t="s">
        <v>1718</v>
      </c>
      <c r="B25" s="171">
        <v>50492</v>
      </c>
      <c r="C25" s="708"/>
      <c r="D25" s="55"/>
      <c r="E25" s="56"/>
      <c r="M25" s="405" t="s">
        <v>1718</v>
      </c>
      <c r="N25" s="405">
        <v>50492</v>
      </c>
      <c r="O25" s="271" t="b">
        <f t="shared" si="0"/>
        <v>1</v>
      </c>
      <c r="P25" s="271" t="b">
        <f t="shared" si="1"/>
        <v>1</v>
      </c>
      <c r="R25" s="271" t="s">
        <v>1718</v>
      </c>
      <c r="S25" s="271">
        <v>50492</v>
      </c>
      <c r="T25" s="271" t="b">
        <f t="shared" si="2"/>
        <v>1</v>
      </c>
      <c r="U25" s="271" t="b">
        <f t="shared" si="3"/>
        <v>1</v>
      </c>
    </row>
    <row r="26" spans="1:21" ht="15" thickBot="1" x14ac:dyDescent="0.35">
      <c r="A26" s="721" t="s">
        <v>1719</v>
      </c>
      <c r="B26" s="171">
        <v>50145</v>
      </c>
      <c r="C26" s="708"/>
      <c r="D26" s="55"/>
      <c r="E26" s="56"/>
      <c r="M26" s="405" t="s">
        <v>1719</v>
      </c>
      <c r="N26" s="405">
        <v>50145</v>
      </c>
      <c r="O26" s="271" t="b">
        <f t="shared" si="0"/>
        <v>1</v>
      </c>
      <c r="P26" s="271" t="b">
        <f t="shared" si="1"/>
        <v>1</v>
      </c>
      <c r="R26" s="271" t="s">
        <v>1719</v>
      </c>
      <c r="S26" s="271">
        <v>50145</v>
      </c>
      <c r="T26" s="271" t="b">
        <f t="shared" si="2"/>
        <v>1</v>
      </c>
      <c r="U26" s="271" t="b">
        <f t="shared" si="3"/>
        <v>1</v>
      </c>
    </row>
    <row r="27" spans="1:21" ht="15" thickBot="1" x14ac:dyDescent="0.35">
      <c r="A27" s="721" t="s">
        <v>1720</v>
      </c>
      <c r="B27" s="171">
        <v>50146</v>
      </c>
      <c r="C27" s="708"/>
      <c r="D27" s="55"/>
      <c r="E27" s="56"/>
      <c r="M27" s="405" t="s">
        <v>1720</v>
      </c>
      <c r="N27" s="405">
        <v>50146</v>
      </c>
      <c r="O27" s="271" t="b">
        <f t="shared" si="0"/>
        <v>1</v>
      </c>
      <c r="P27" s="271" t="b">
        <f t="shared" si="1"/>
        <v>1</v>
      </c>
      <c r="R27" s="271" t="s">
        <v>1720</v>
      </c>
      <c r="S27" s="271">
        <v>50146</v>
      </c>
      <c r="T27" s="271" t="b">
        <f t="shared" si="2"/>
        <v>1</v>
      </c>
      <c r="U27" s="271" t="b">
        <f t="shared" si="3"/>
        <v>1</v>
      </c>
    </row>
    <row r="28" spans="1:21" ht="15" thickBot="1" x14ac:dyDescent="0.35">
      <c r="A28" s="721" t="s">
        <v>1721</v>
      </c>
      <c r="B28" s="171">
        <v>50147</v>
      </c>
      <c r="C28" s="708"/>
      <c r="D28" s="55"/>
      <c r="E28" s="56"/>
      <c r="M28" s="405" t="s">
        <v>1721</v>
      </c>
      <c r="N28" s="405">
        <v>50147</v>
      </c>
      <c r="O28" s="271" t="b">
        <f t="shared" si="0"/>
        <v>1</v>
      </c>
      <c r="P28" s="271" t="b">
        <f t="shared" si="1"/>
        <v>1</v>
      </c>
      <c r="R28" s="271" t="s">
        <v>1721</v>
      </c>
      <c r="S28" s="271">
        <v>50147</v>
      </c>
      <c r="T28" s="271" t="b">
        <f t="shared" si="2"/>
        <v>1</v>
      </c>
      <c r="U28" s="271" t="b">
        <f t="shared" si="3"/>
        <v>1</v>
      </c>
    </row>
    <row r="29" spans="1:21" ht="15" thickBot="1" x14ac:dyDescent="0.35">
      <c r="A29" s="721" t="s">
        <v>761</v>
      </c>
      <c r="B29" s="171">
        <v>50148</v>
      </c>
      <c r="C29" s="708"/>
      <c r="D29" s="55"/>
      <c r="E29" s="56"/>
      <c r="M29" s="405" t="s">
        <v>761</v>
      </c>
      <c r="N29" s="405">
        <v>50148</v>
      </c>
      <c r="O29" s="271" t="b">
        <f t="shared" si="0"/>
        <v>1</v>
      </c>
      <c r="P29" s="271" t="b">
        <f t="shared" si="1"/>
        <v>1</v>
      </c>
      <c r="R29" s="271" t="s">
        <v>761</v>
      </c>
      <c r="S29" s="271">
        <v>50148</v>
      </c>
      <c r="T29" s="271" t="b">
        <f t="shared" si="2"/>
        <v>1</v>
      </c>
      <c r="U29" s="271" t="b">
        <f t="shared" si="3"/>
        <v>1</v>
      </c>
    </row>
    <row r="30" spans="1:21" ht="15" thickBot="1" x14ac:dyDescent="0.35">
      <c r="A30" s="721" t="s">
        <v>1722</v>
      </c>
      <c r="B30" s="171">
        <v>50149</v>
      </c>
      <c r="C30" s="708"/>
      <c r="D30" s="55"/>
      <c r="E30" s="56"/>
      <c r="M30" s="405" t="s">
        <v>1722</v>
      </c>
      <c r="N30" s="405">
        <v>50149</v>
      </c>
      <c r="O30" s="271" t="b">
        <f t="shared" si="0"/>
        <v>1</v>
      </c>
      <c r="P30" s="271" t="b">
        <f t="shared" si="1"/>
        <v>1</v>
      </c>
      <c r="R30" s="271" t="s">
        <v>1722</v>
      </c>
      <c r="S30" s="271">
        <v>50149</v>
      </c>
      <c r="T30" s="271" t="b">
        <f t="shared" si="2"/>
        <v>1</v>
      </c>
      <c r="U30" s="271" t="b">
        <f t="shared" si="3"/>
        <v>1</v>
      </c>
    </row>
    <row r="31" spans="1:21" ht="15" thickBot="1" x14ac:dyDescent="0.35">
      <c r="A31" s="721" t="s">
        <v>1723</v>
      </c>
      <c r="B31" s="171">
        <v>50150</v>
      </c>
      <c r="C31" s="708"/>
      <c r="D31" s="55"/>
      <c r="E31" s="56"/>
      <c r="M31" s="405" t="s">
        <v>1723</v>
      </c>
      <c r="N31" s="405">
        <v>50150</v>
      </c>
      <c r="O31" s="271" t="b">
        <f t="shared" si="0"/>
        <v>1</v>
      </c>
      <c r="P31" s="271" t="b">
        <f t="shared" si="1"/>
        <v>1</v>
      </c>
      <c r="R31" s="271" t="s">
        <v>1723</v>
      </c>
      <c r="S31" s="271">
        <v>50150</v>
      </c>
      <c r="T31" s="271" t="b">
        <f t="shared" si="2"/>
        <v>1</v>
      </c>
      <c r="U31" s="271" t="b">
        <f t="shared" si="3"/>
        <v>1</v>
      </c>
    </row>
    <row r="32" spans="1:21" ht="15" thickBot="1" x14ac:dyDescent="0.35">
      <c r="A32" s="721" t="s">
        <v>1609</v>
      </c>
      <c r="B32" s="171">
        <v>50151</v>
      </c>
      <c r="C32" s="708"/>
      <c r="D32" s="55"/>
      <c r="E32" s="56"/>
      <c r="M32" s="405" t="s">
        <v>1609</v>
      </c>
      <c r="N32" s="405">
        <v>50151</v>
      </c>
      <c r="O32" s="271" t="b">
        <f t="shared" si="0"/>
        <v>1</v>
      </c>
      <c r="P32" s="271" t="b">
        <f t="shared" si="1"/>
        <v>1</v>
      </c>
      <c r="R32" s="271" t="s">
        <v>1609</v>
      </c>
      <c r="S32" s="271">
        <v>50151</v>
      </c>
      <c r="T32" s="271" t="b">
        <f t="shared" si="2"/>
        <v>1</v>
      </c>
      <c r="U32" s="271" t="b">
        <f t="shared" si="3"/>
        <v>1</v>
      </c>
    </row>
    <row r="33" spans="1:21" ht="15" thickBot="1" x14ac:dyDescent="0.35">
      <c r="A33" s="721" t="s">
        <v>1724</v>
      </c>
      <c r="B33" s="171">
        <v>50152</v>
      </c>
      <c r="C33" s="708"/>
      <c r="D33" s="55"/>
      <c r="E33" s="56"/>
      <c r="M33" s="405" t="s">
        <v>1724</v>
      </c>
      <c r="N33" s="405">
        <v>50152</v>
      </c>
      <c r="O33" s="271" t="b">
        <f t="shared" si="0"/>
        <v>1</v>
      </c>
      <c r="P33" s="271" t="b">
        <f t="shared" si="1"/>
        <v>1</v>
      </c>
      <c r="R33" s="271" t="s">
        <v>1724</v>
      </c>
      <c r="S33" s="271">
        <v>50152</v>
      </c>
      <c r="T33" s="271" t="b">
        <f t="shared" si="2"/>
        <v>1</v>
      </c>
      <c r="U33" s="271" t="b">
        <f t="shared" si="3"/>
        <v>1</v>
      </c>
    </row>
    <row r="34" spans="1:21" ht="15" thickBot="1" x14ac:dyDescent="0.35">
      <c r="A34" s="721" t="s">
        <v>964</v>
      </c>
      <c r="B34" s="171">
        <v>50153</v>
      </c>
      <c r="C34" s="708"/>
      <c r="D34" s="55"/>
      <c r="E34" s="56"/>
      <c r="M34" s="405" t="s">
        <v>964</v>
      </c>
      <c r="N34" s="405">
        <v>50153</v>
      </c>
      <c r="O34" s="271" t="b">
        <f t="shared" si="0"/>
        <v>1</v>
      </c>
      <c r="P34" s="271" t="b">
        <f t="shared" si="1"/>
        <v>1</v>
      </c>
      <c r="R34" s="271" t="s">
        <v>964</v>
      </c>
      <c r="S34" s="271">
        <v>50153</v>
      </c>
      <c r="T34" s="271" t="b">
        <f t="shared" si="2"/>
        <v>1</v>
      </c>
      <c r="U34" s="271" t="b">
        <f t="shared" si="3"/>
        <v>1</v>
      </c>
    </row>
    <row r="35" spans="1:21" ht="15" thickBot="1" x14ac:dyDescent="0.35">
      <c r="A35" s="721" t="s">
        <v>1725</v>
      </c>
      <c r="B35" s="171">
        <v>50475</v>
      </c>
      <c r="C35" s="708"/>
      <c r="D35" s="55"/>
      <c r="E35" s="56"/>
      <c r="M35" s="405" t="s">
        <v>1725</v>
      </c>
      <c r="N35" s="405">
        <v>50475</v>
      </c>
      <c r="O35" s="271" t="b">
        <f t="shared" si="0"/>
        <v>1</v>
      </c>
      <c r="P35" s="271" t="b">
        <f t="shared" si="1"/>
        <v>1</v>
      </c>
      <c r="R35" s="271" t="s">
        <v>1725</v>
      </c>
      <c r="S35" s="271">
        <v>50475</v>
      </c>
      <c r="T35" s="271" t="b">
        <f t="shared" si="2"/>
        <v>1</v>
      </c>
      <c r="U35" s="271" t="b">
        <f t="shared" si="3"/>
        <v>1</v>
      </c>
    </row>
    <row r="36" spans="1:21" ht="15" thickBot="1" x14ac:dyDescent="0.35">
      <c r="A36" s="721" t="s">
        <v>965</v>
      </c>
      <c r="B36" s="171">
        <v>50154</v>
      </c>
      <c r="C36" s="708"/>
      <c r="D36" s="55"/>
      <c r="E36" s="56"/>
      <c r="M36" s="405" t="e">
        <v>#N/A</v>
      </c>
      <c r="N36" s="405">
        <v>0</v>
      </c>
      <c r="O36" s="271" t="e">
        <f t="shared" si="0"/>
        <v>#N/A</v>
      </c>
      <c r="P36" s="271" t="b">
        <f t="shared" si="1"/>
        <v>0</v>
      </c>
      <c r="R36" s="271" t="s">
        <v>965</v>
      </c>
      <c r="S36" s="271">
        <v>50154</v>
      </c>
      <c r="T36" s="271" t="e">
        <f t="shared" si="2"/>
        <v>#N/A</v>
      </c>
      <c r="U36" s="271" t="b">
        <f t="shared" si="3"/>
        <v>0</v>
      </c>
    </row>
    <row r="37" spans="1:21" ht="15" thickBot="1" x14ac:dyDescent="0.35">
      <c r="A37" s="721" t="s">
        <v>1726</v>
      </c>
      <c r="B37" s="171">
        <v>50155</v>
      </c>
      <c r="C37" s="708"/>
      <c r="D37" s="55"/>
      <c r="E37" s="56"/>
      <c r="M37" s="405" t="s">
        <v>1726</v>
      </c>
      <c r="N37" s="405">
        <v>50155</v>
      </c>
      <c r="O37" s="271" t="b">
        <f t="shared" si="0"/>
        <v>1</v>
      </c>
      <c r="P37" s="271" t="b">
        <f t="shared" si="1"/>
        <v>1</v>
      </c>
      <c r="R37" s="271" t="s">
        <v>1726</v>
      </c>
      <c r="S37" s="271">
        <v>50155</v>
      </c>
      <c r="T37" s="271" t="b">
        <f t="shared" si="2"/>
        <v>1</v>
      </c>
      <c r="U37" s="271" t="b">
        <f t="shared" si="3"/>
        <v>1</v>
      </c>
    </row>
    <row r="38" spans="1:21" ht="15" thickBot="1" x14ac:dyDescent="0.35">
      <c r="A38" s="721" t="s">
        <v>1727</v>
      </c>
      <c r="B38" s="171">
        <v>50156</v>
      </c>
      <c r="C38" s="708"/>
      <c r="D38" s="55"/>
      <c r="E38" s="56"/>
      <c r="M38" s="405" t="s">
        <v>1727</v>
      </c>
      <c r="N38" s="405">
        <v>50156</v>
      </c>
      <c r="O38" s="271" t="b">
        <f t="shared" si="0"/>
        <v>1</v>
      </c>
      <c r="P38" s="271" t="b">
        <f t="shared" si="1"/>
        <v>1</v>
      </c>
      <c r="R38" s="271" t="s">
        <v>1727</v>
      </c>
      <c r="S38" s="271">
        <v>50156</v>
      </c>
      <c r="T38" s="271" t="b">
        <f t="shared" si="2"/>
        <v>1</v>
      </c>
      <c r="U38" s="271" t="b">
        <f t="shared" si="3"/>
        <v>1</v>
      </c>
    </row>
    <row r="39" spans="1:21" ht="15" thickBot="1" x14ac:dyDescent="0.35">
      <c r="A39" s="721" t="s">
        <v>1728</v>
      </c>
      <c r="B39" s="171">
        <v>50516</v>
      </c>
      <c r="C39" s="708"/>
      <c r="D39" s="55"/>
      <c r="E39" s="56"/>
      <c r="M39" s="405" t="s">
        <v>1728</v>
      </c>
      <c r="N39" s="405">
        <v>50516</v>
      </c>
      <c r="O39" s="271" t="b">
        <f t="shared" si="0"/>
        <v>1</v>
      </c>
      <c r="P39" s="271" t="b">
        <f t="shared" si="1"/>
        <v>1</v>
      </c>
      <c r="R39" s="271" t="s">
        <v>1728</v>
      </c>
      <c r="S39" s="271">
        <v>50516</v>
      </c>
      <c r="T39" s="271" t="b">
        <f t="shared" si="2"/>
        <v>1</v>
      </c>
      <c r="U39" s="271" t="b">
        <f t="shared" si="3"/>
        <v>1</v>
      </c>
    </row>
    <row r="40" spans="1:21" ht="15" thickBot="1" x14ac:dyDescent="0.35">
      <c r="A40" s="721" t="s">
        <v>1729</v>
      </c>
      <c r="B40" s="171">
        <v>50157</v>
      </c>
      <c r="C40" s="708"/>
      <c r="D40" s="55"/>
      <c r="E40" s="56"/>
      <c r="M40" s="405" t="s">
        <v>1729</v>
      </c>
      <c r="N40" s="405">
        <v>50157</v>
      </c>
      <c r="O40" s="271" t="b">
        <f t="shared" si="0"/>
        <v>1</v>
      </c>
      <c r="P40" s="271" t="b">
        <f t="shared" si="1"/>
        <v>1</v>
      </c>
      <c r="R40" s="271" t="s">
        <v>1729</v>
      </c>
      <c r="S40" s="271">
        <v>50157</v>
      </c>
      <c r="T40" s="271" t="b">
        <f t="shared" si="2"/>
        <v>1</v>
      </c>
      <c r="U40" s="271" t="b">
        <f t="shared" si="3"/>
        <v>1</v>
      </c>
    </row>
    <row r="41" spans="1:21" ht="15" thickBot="1" x14ac:dyDescent="0.35">
      <c r="A41" s="721" t="s">
        <v>1730</v>
      </c>
      <c r="B41" s="171">
        <v>50158</v>
      </c>
      <c r="C41" s="708"/>
      <c r="D41" s="55"/>
      <c r="E41" s="56"/>
      <c r="M41" s="405" t="s">
        <v>1730</v>
      </c>
      <c r="N41" s="405">
        <v>50158</v>
      </c>
      <c r="O41" s="271" t="b">
        <f t="shared" si="0"/>
        <v>1</v>
      </c>
      <c r="P41" s="271" t="b">
        <f t="shared" si="1"/>
        <v>1</v>
      </c>
      <c r="R41" s="271" t="s">
        <v>1730</v>
      </c>
      <c r="S41" s="271">
        <v>50158</v>
      </c>
      <c r="T41" s="271" t="b">
        <f t="shared" si="2"/>
        <v>1</v>
      </c>
      <c r="U41" s="271" t="b">
        <f t="shared" si="3"/>
        <v>1</v>
      </c>
    </row>
    <row r="42" spans="1:21" ht="15" thickBot="1" x14ac:dyDescent="0.35">
      <c r="A42" s="721" t="s">
        <v>1731</v>
      </c>
      <c r="B42" s="171">
        <v>50545</v>
      </c>
      <c r="C42" s="708"/>
      <c r="D42" s="55"/>
      <c r="E42" s="56"/>
      <c r="M42" s="405" t="s">
        <v>1731</v>
      </c>
      <c r="N42" s="405">
        <v>50545</v>
      </c>
      <c r="O42" s="271" t="b">
        <f t="shared" si="0"/>
        <v>1</v>
      </c>
      <c r="P42" s="271" t="b">
        <f t="shared" si="1"/>
        <v>1</v>
      </c>
      <c r="R42" s="271" t="s">
        <v>1731</v>
      </c>
      <c r="S42" s="271">
        <v>50545</v>
      </c>
      <c r="T42" s="271" t="b">
        <f t="shared" si="2"/>
        <v>1</v>
      </c>
      <c r="U42" s="271" t="b">
        <f t="shared" si="3"/>
        <v>1</v>
      </c>
    </row>
    <row r="43" spans="1:21" ht="15" thickBot="1" x14ac:dyDescent="0.35">
      <c r="A43" s="721" t="s">
        <v>1610</v>
      </c>
      <c r="B43" s="171">
        <v>50517</v>
      </c>
      <c r="C43" s="708"/>
      <c r="D43" s="55"/>
      <c r="E43" s="56"/>
      <c r="M43" s="405" t="s">
        <v>1610</v>
      </c>
      <c r="N43" s="405">
        <v>50517</v>
      </c>
      <c r="O43" s="271" t="b">
        <f t="shared" si="0"/>
        <v>1</v>
      </c>
      <c r="P43" s="271" t="b">
        <f t="shared" si="1"/>
        <v>1</v>
      </c>
      <c r="R43" s="271" t="s">
        <v>1610</v>
      </c>
      <c r="S43" s="271">
        <v>50517</v>
      </c>
      <c r="T43" s="271" t="b">
        <f t="shared" si="2"/>
        <v>1</v>
      </c>
      <c r="U43" s="271" t="b">
        <f t="shared" si="3"/>
        <v>1</v>
      </c>
    </row>
    <row r="44" spans="1:21" ht="15" thickBot="1" x14ac:dyDescent="0.35">
      <c r="A44" s="721" t="s">
        <v>966</v>
      </c>
      <c r="B44" s="171">
        <v>50448</v>
      </c>
      <c r="C44" s="708"/>
      <c r="D44" s="55"/>
      <c r="E44" s="56"/>
      <c r="M44" s="405" t="s">
        <v>966</v>
      </c>
      <c r="N44" s="405">
        <v>50448</v>
      </c>
      <c r="O44" s="271" t="b">
        <f t="shared" si="0"/>
        <v>1</v>
      </c>
      <c r="P44" s="271" t="b">
        <f t="shared" si="1"/>
        <v>1</v>
      </c>
      <c r="R44" s="271" t="s">
        <v>966</v>
      </c>
      <c r="S44" s="271">
        <v>50448</v>
      </c>
      <c r="T44" s="271" t="b">
        <f t="shared" si="2"/>
        <v>1</v>
      </c>
      <c r="U44" s="271" t="b">
        <f t="shared" si="3"/>
        <v>1</v>
      </c>
    </row>
    <row r="45" spans="1:21" ht="15" thickBot="1" x14ac:dyDescent="0.35">
      <c r="A45" s="721" t="s">
        <v>775</v>
      </c>
      <c r="B45" s="171">
        <v>50159</v>
      </c>
      <c r="C45" s="708"/>
      <c r="D45" s="55"/>
      <c r="E45" s="56"/>
      <c r="M45" s="405" t="s">
        <v>775</v>
      </c>
      <c r="N45" s="405">
        <v>50159</v>
      </c>
      <c r="O45" s="271" t="b">
        <f t="shared" si="0"/>
        <v>1</v>
      </c>
      <c r="P45" s="271" t="b">
        <f t="shared" si="1"/>
        <v>1</v>
      </c>
      <c r="R45" s="271" t="s">
        <v>775</v>
      </c>
      <c r="S45" s="271">
        <v>50159</v>
      </c>
      <c r="T45" s="271" t="b">
        <f t="shared" si="2"/>
        <v>1</v>
      </c>
      <c r="U45" s="271" t="b">
        <f t="shared" si="3"/>
        <v>1</v>
      </c>
    </row>
    <row r="46" spans="1:21" ht="15" thickBot="1" x14ac:dyDescent="0.35">
      <c r="A46" s="721" t="s">
        <v>776</v>
      </c>
      <c r="B46" s="171">
        <v>50160</v>
      </c>
      <c r="C46" s="708"/>
      <c r="D46" s="55"/>
      <c r="E46" s="56"/>
      <c r="M46" s="405" t="s">
        <v>776</v>
      </c>
      <c r="N46" s="405">
        <v>50160</v>
      </c>
      <c r="O46" s="271" t="b">
        <f t="shared" si="0"/>
        <v>1</v>
      </c>
      <c r="P46" s="271" t="b">
        <f t="shared" si="1"/>
        <v>1</v>
      </c>
      <c r="R46" s="271" t="s">
        <v>776</v>
      </c>
      <c r="S46" s="271">
        <v>50160</v>
      </c>
      <c r="T46" s="271" t="b">
        <f t="shared" si="2"/>
        <v>1</v>
      </c>
      <c r="U46" s="271" t="b">
        <f t="shared" si="3"/>
        <v>1</v>
      </c>
    </row>
    <row r="47" spans="1:21" ht="15" thickBot="1" x14ac:dyDescent="0.35">
      <c r="A47" s="721" t="s">
        <v>1732</v>
      </c>
      <c r="B47" s="171">
        <v>50161</v>
      </c>
      <c r="C47" s="708"/>
      <c r="D47" s="55"/>
      <c r="E47" s="56"/>
      <c r="M47" s="405" t="s">
        <v>1732</v>
      </c>
      <c r="N47" s="405">
        <v>50161</v>
      </c>
      <c r="O47" s="271" t="b">
        <f t="shared" si="0"/>
        <v>1</v>
      </c>
      <c r="P47" s="271" t="b">
        <f t="shared" si="1"/>
        <v>1</v>
      </c>
      <c r="R47" s="271" t="s">
        <v>1732</v>
      </c>
      <c r="S47" s="271">
        <v>50161</v>
      </c>
      <c r="T47" s="271" t="b">
        <f t="shared" si="2"/>
        <v>1</v>
      </c>
      <c r="U47" s="271" t="b">
        <f t="shared" si="3"/>
        <v>1</v>
      </c>
    </row>
    <row r="48" spans="1:21" ht="15" thickBot="1" x14ac:dyDescent="0.35">
      <c r="A48" s="721" t="s">
        <v>1733</v>
      </c>
      <c r="B48" s="171">
        <v>50162</v>
      </c>
      <c r="C48" s="708"/>
      <c r="D48" s="55"/>
      <c r="E48" s="56"/>
      <c r="M48" s="405" t="s">
        <v>1733</v>
      </c>
      <c r="N48" s="405">
        <v>50162</v>
      </c>
      <c r="O48" s="271" t="b">
        <f t="shared" si="0"/>
        <v>1</v>
      </c>
      <c r="P48" s="271" t="b">
        <f t="shared" si="1"/>
        <v>1</v>
      </c>
      <c r="R48" s="271" t="s">
        <v>1733</v>
      </c>
      <c r="S48" s="271">
        <v>50162</v>
      </c>
      <c r="T48" s="271" t="b">
        <f t="shared" si="2"/>
        <v>1</v>
      </c>
      <c r="U48" s="271" t="b">
        <f t="shared" si="3"/>
        <v>1</v>
      </c>
    </row>
    <row r="49" spans="1:21" ht="15" thickBot="1" x14ac:dyDescent="0.35">
      <c r="A49" s="721" t="s">
        <v>967</v>
      </c>
      <c r="B49" s="171">
        <v>50163</v>
      </c>
      <c r="C49" s="708"/>
      <c r="D49" s="55"/>
      <c r="E49" s="56"/>
      <c r="M49" s="405" t="s">
        <v>967</v>
      </c>
      <c r="N49" s="405">
        <v>50163</v>
      </c>
      <c r="O49" s="271" t="b">
        <f t="shared" si="0"/>
        <v>1</v>
      </c>
      <c r="P49" s="271" t="b">
        <f t="shared" si="1"/>
        <v>1</v>
      </c>
      <c r="R49" s="271" t="s">
        <v>967</v>
      </c>
      <c r="S49" s="271">
        <v>50163</v>
      </c>
      <c r="T49" s="271" t="b">
        <f t="shared" si="2"/>
        <v>1</v>
      </c>
      <c r="U49" s="271" t="b">
        <f t="shared" si="3"/>
        <v>1</v>
      </c>
    </row>
    <row r="50" spans="1:21" ht="15" thickBot="1" x14ac:dyDescent="0.35">
      <c r="A50" s="721" t="s">
        <v>968</v>
      </c>
      <c r="B50" s="171">
        <v>50165</v>
      </c>
      <c r="C50" s="708"/>
      <c r="D50" s="55"/>
      <c r="E50" s="56"/>
      <c r="M50" s="405" t="s">
        <v>968</v>
      </c>
      <c r="N50" s="405">
        <v>50165</v>
      </c>
      <c r="O50" s="271" t="b">
        <f t="shared" si="0"/>
        <v>1</v>
      </c>
      <c r="P50" s="271" t="b">
        <f t="shared" si="1"/>
        <v>1</v>
      </c>
      <c r="R50" s="271" t="s">
        <v>968</v>
      </c>
      <c r="S50" s="271">
        <v>50165</v>
      </c>
      <c r="T50" s="271" t="b">
        <f t="shared" si="2"/>
        <v>1</v>
      </c>
      <c r="U50" s="271" t="b">
        <f t="shared" si="3"/>
        <v>1</v>
      </c>
    </row>
    <row r="51" spans="1:21" ht="15" thickBot="1" x14ac:dyDescent="0.35">
      <c r="A51" s="721" t="s">
        <v>969</v>
      </c>
      <c r="B51" s="171">
        <v>50166</v>
      </c>
      <c r="C51" s="708"/>
      <c r="D51" s="55"/>
      <c r="E51" s="56"/>
      <c r="M51" s="405" t="e">
        <v>#N/A</v>
      </c>
      <c r="N51" s="405">
        <v>50166</v>
      </c>
      <c r="O51" s="271" t="e">
        <f t="shared" si="0"/>
        <v>#N/A</v>
      </c>
      <c r="P51" s="271" t="b">
        <f t="shared" si="1"/>
        <v>1</v>
      </c>
      <c r="R51" s="271" t="s">
        <v>969</v>
      </c>
      <c r="S51" s="271">
        <v>50166</v>
      </c>
      <c r="T51" s="271" t="e">
        <f t="shared" si="2"/>
        <v>#N/A</v>
      </c>
      <c r="U51" s="271" t="b">
        <f t="shared" si="3"/>
        <v>1</v>
      </c>
    </row>
    <row r="52" spans="1:21" ht="15" thickBot="1" x14ac:dyDescent="0.35">
      <c r="A52" s="721" t="s">
        <v>970</v>
      </c>
      <c r="B52" s="171">
        <v>50167</v>
      </c>
      <c r="C52" s="708"/>
      <c r="D52" s="55"/>
      <c r="E52" s="56"/>
      <c r="M52" s="405" t="s">
        <v>970</v>
      </c>
      <c r="N52" s="405">
        <v>50167</v>
      </c>
      <c r="O52" s="271" t="b">
        <f t="shared" si="0"/>
        <v>1</v>
      </c>
      <c r="P52" s="271" t="b">
        <f t="shared" si="1"/>
        <v>1</v>
      </c>
      <c r="R52" s="271" t="s">
        <v>970</v>
      </c>
      <c r="S52" s="271">
        <v>50167</v>
      </c>
      <c r="T52" s="271" t="b">
        <f t="shared" si="2"/>
        <v>1</v>
      </c>
      <c r="U52" s="271" t="b">
        <f t="shared" si="3"/>
        <v>1</v>
      </c>
    </row>
    <row r="53" spans="1:21" ht="15" thickBot="1" x14ac:dyDescent="0.35">
      <c r="A53" s="721" t="s">
        <v>1734</v>
      </c>
      <c r="B53" s="171">
        <v>50168</v>
      </c>
      <c r="C53" s="708"/>
      <c r="D53" s="55"/>
      <c r="E53" s="56"/>
      <c r="M53" s="405" t="s">
        <v>1734</v>
      </c>
      <c r="N53" s="405">
        <v>50168</v>
      </c>
      <c r="O53" s="271" t="b">
        <f t="shared" si="0"/>
        <v>1</v>
      </c>
      <c r="P53" s="271" t="b">
        <f t="shared" si="1"/>
        <v>1</v>
      </c>
      <c r="R53" s="271" t="s">
        <v>1734</v>
      </c>
      <c r="S53" s="271">
        <v>50168</v>
      </c>
      <c r="T53" s="271" t="b">
        <f t="shared" si="2"/>
        <v>1</v>
      </c>
      <c r="U53" s="271" t="b">
        <f t="shared" si="3"/>
        <v>1</v>
      </c>
    </row>
    <row r="54" spans="1:21" ht="15" thickBot="1" x14ac:dyDescent="0.35">
      <c r="A54" s="721" t="s">
        <v>1735</v>
      </c>
      <c r="B54" s="171">
        <v>50169</v>
      </c>
      <c r="C54" s="708"/>
      <c r="D54" s="55"/>
      <c r="E54" s="56"/>
      <c r="M54" s="405" t="s">
        <v>1735</v>
      </c>
      <c r="N54" s="405">
        <v>50169</v>
      </c>
      <c r="O54" s="271" t="b">
        <f t="shared" si="0"/>
        <v>1</v>
      </c>
      <c r="P54" s="271" t="b">
        <f t="shared" si="1"/>
        <v>1</v>
      </c>
      <c r="R54" s="271" t="s">
        <v>1735</v>
      </c>
      <c r="S54" s="271">
        <v>50169</v>
      </c>
      <c r="T54" s="271" t="b">
        <f t="shared" si="2"/>
        <v>1</v>
      </c>
      <c r="U54" s="271" t="b">
        <f t="shared" si="3"/>
        <v>1</v>
      </c>
    </row>
    <row r="55" spans="1:21" ht="15" thickBot="1" x14ac:dyDescent="0.35">
      <c r="A55" s="721" t="s">
        <v>1736</v>
      </c>
      <c r="B55" s="171">
        <v>50170</v>
      </c>
      <c r="C55" s="708"/>
      <c r="D55" s="55"/>
      <c r="E55" s="56"/>
      <c r="M55" s="405" t="s">
        <v>1736</v>
      </c>
      <c r="N55" s="405">
        <v>50170</v>
      </c>
      <c r="O55" s="271" t="b">
        <f t="shared" si="0"/>
        <v>1</v>
      </c>
      <c r="P55" s="271" t="b">
        <f t="shared" si="1"/>
        <v>1</v>
      </c>
      <c r="R55" s="271" t="s">
        <v>1736</v>
      </c>
      <c r="S55" s="271">
        <v>50170</v>
      </c>
      <c r="T55" s="271" t="b">
        <f t="shared" si="2"/>
        <v>1</v>
      </c>
      <c r="U55" s="271" t="b">
        <f t="shared" si="3"/>
        <v>1</v>
      </c>
    </row>
    <row r="56" spans="1:21" ht="15" thickBot="1" x14ac:dyDescent="0.35">
      <c r="A56" s="721" t="s">
        <v>1737</v>
      </c>
      <c r="B56" s="171">
        <v>50451</v>
      </c>
      <c r="C56" s="708"/>
      <c r="D56" s="55"/>
      <c r="E56" s="56"/>
      <c r="M56" s="405" t="s">
        <v>1737</v>
      </c>
      <c r="N56" s="405">
        <v>50451</v>
      </c>
      <c r="O56" s="271" t="b">
        <f t="shared" si="0"/>
        <v>1</v>
      </c>
      <c r="P56" s="271" t="b">
        <f t="shared" si="1"/>
        <v>1</v>
      </c>
      <c r="R56" s="271" t="s">
        <v>1737</v>
      </c>
      <c r="S56" s="271">
        <v>50451</v>
      </c>
      <c r="T56" s="271" t="b">
        <f t="shared" si="2"/>
        <v>1</v>
      </c>
      <c r="U56" s="271" t="b">
        <f t="shared" si="3"/>
        <v>1</v>
      </c>
    </row>
    <row r="57" spans="1:21" ht="15" thickBot="1" x14ac:dyDescent="0.35">
      <c r="A57" s="721" t="s">
        <v>1611</v>
      </c>
      <c r="B57" s="171">
        <v>50171</v>
      </c>
      <c r="C57" s="708"/>
      <c r="D57" s="55"/>
      <c r="E57" s="56"/>
      <c r="M57" s="405" t="s">
        <v>1611</v>
      </c>
      <c r="N57" s="405">
        <v>50171</v>
      </c>
      <c r="O57" s="271" t="b">
        <f t="shared" si="0"/>
        <v>1</v>
      </c>
      <c r="P57" s="271" t="b">
        <f t="shared" si="1"/>
        <v>1</v>
      </c>
      <c r="R57" s="271" t="s">
        <v>1611</v>
      </c>
      <c r="S57" s="271">
        <v>50171</v>
      </c>
      <c r="T57" s="271" t="b">
        <f t="shared" si="2"/>
        <v>1</v>
      </c>
      <c r="U57" s="271" t="b">
        <f t="shared" si="3"/>
        <v>1</v>
      </c>
    </row>
    <row r="58" spans="1:21" ht="15" thickBot="1" x14ac:dyDescent="0.35">
      <c r="A58" s="721" t="s">
        <v>1738</v>
      </c>
      <c r="B58" s="171">
        <v>50172</v>
      </c>
      <c r="C58" s="708"/>
      <c r="D58" s="55"/>
      <c r="E58" s="56"/>
      <c r="M58" s="405" t="s">
        <v>1738</v>
      </c>
      <c r="N58" s="405">
        <v>50172</v>
      </c>
      <c r="O58" s="271" t="b">
        <f t="shared" si="0"/>
        <v>1</v>
      </c>
      <c r="P58" s="271" t="b">
        <f t="shared" si="1"/>
        <v>1</v>
      </c>
      <c r="R58" s="271" t="s">
        <v>1738</v>
      </c>
      <c r="S58" s="271">
        <v>50172</v>
      </c>
      <c r="T58" s="271" t="b">
        <f t="shared" si="2"/>
        <v>1</v>
      </c>
      <c r="U58" s="271" t="b">
        <f t="shared" si="3"/>
        <v>1</v>
      </c>
    </row>
    <row r="59" spans="1:21" ht="15" thickBot="1" x14ac:dyDescent="0.35">
      <c r="A59" s="721" t="s">
        <v>1612</v>
      </c>
      <c r="B59" s="171">
        <v>50440</v>
      </c>
      <c r="C59" s="708"/>
      <c r="D59" s="55"/>
      <c r="E59" s="56"/>
      <c r="M59" s="405" t="s">
        <v>1612</v>
      </c>
      <c r="N59" s="405">
        <v>50440</v>
      </c>
      <c r="O59" s="271" t="b">
        <f t="shared" si="0"/>
        <v>1</v>
      </c>
      <c r="P59" s="271" t="b">
        <f t="shared" si="1"/>
        <v>1</v>
      </c>
      <c r="R59" s="271" t="s">
        <v>1612</v>
      </c>
      <c r="S59" s="271">
        <v>50440</v>
      </c>
      <c r="T59" s="271" t="b">
        <f t="shared" si="2"/>
        <v>1</v>
      </c>
      <c r="U59" s="271" t="b">
        <f t="shared" si="3"/>
        <v>1</v>
      </c>
    </row>
    <row r="60" spans="1:21" ht="15" thickBot="1" x14ac:dyDescent="0.35">
      <c r="A60" s="721" t="s">
        <v>1739</v>
      </c>
      <c r="B60" s="171">
        <v>50173</v>
      </c>
      <c r="C60" s="708"/>
      <c r="D60" s="55"/>
      <c r="E60" s="56"/>
      <c r="M60" s="405" t="s">
        <v>1739</v>
      </c>
      <c r="N60" s="405">
        <v>50173</v>
      </c>
      <c r="O60" s="271" t="b">
        <f t="shared" si="0"/>
        <v>1</v>
      </c>
      <c r="P60" s="271" t="b">
        <f t="shared" si="1"/>
        <v>1</v>
      </c>
      <c r="R60" s="271" t="s">
        <v>1739</v>
      </c>
      <c r="S60" s="271">
        <v>50173</v>
      </c>
      <c r="T60" s="271" t="b">
        <f t="shared" si="2"/>
        <v>1</v>
      </c>
      <c r="U60" s="271" t="b">
        <f t="shared" si="3"/>
        <v>1</v>
      </c>
    </row>
    <row r="61" spans="1:21" ht="15" thickBot="1" x14ac:dyDescent="0.35">
      <c r="A61" s="721" t="s">
        <v>1740</v>
      </c>
      <c r="B61" s="171">
        <v>50547</v>
      </c>
      <c r="C61" s="708"/>
      <c r="D61" s="55"/>
      <c r="E61" s="56"/>
      <c r="M61" s="405" t="s">
        <v>1740</v>
      </c>
      <c r="N61" s="405">
        <v>50547</v>
      </c>
      <c r="O61" s="271" t="b">
        <f t="shared" si="0"/>
        <v>1</v>
      </c>
      <c r="P61" s="271" t="b">
        <f t="shared" si="1"/>
        <v>1</v>
      </c>
      <c r="R61" s="271" t="s">
        <v>1740</v>
      </c>
      <c r="S61" s="271">
        <v>50547</v>
      </c>
      <c r="T61" s="271" t="b">
        <f t="shared" si="2"/>
        <v>1</v>
      </c>
      <c r="U61" s="271" t="b">
        <f t="shared" si="3"/>
        <v>1</v>
      </c>
    </row>
    <row r="62" spans="1:21" ht="15" thickBot="1" x14ac:dyDescent="0.35">
      <c r="A62" s="721" t="s">
        <v>762</v>
      </c>
      <c r="B62" s="171">
        <v>50175</v>
      </c>
      <c r="C62" s="708"/>
      <c r="D62" s="55"/>
      <c r="E62" s="56"/>
      <c r="M62" s="405" t="s">
        <v>762</v>
      </c>
      <c r="N62" s="405">
        <v>50175</v>
      </c>
      <c r="O62" s="271" t="b">
        <f t="shared" si="0"/>
        <v>1</v>
      </c>
      <c r="P62" s="271" t="b">
        <f t="shared" si="1"/>
        <v>1</v>
      </c>
      <c r="R62" s="271" t="s">
        <v>762</v>
      </c>
      <c r="S62" s="271">
        <v>50175</v>
      </c>
      <c r="T62" s="271" t="b">
        <f t="shared" si="2"/>
        <v>1</v>
      </c>
      <c r="U62" s="271" t="b">
        <f t="shared" si="3"/>
        <v>1</v>
      </c>
    </row>
    <row r="63" spans="1:21" ht="15" thickBot="1" x14ac:dyDescent="0.35">
      <c r="A63" s="721" t="s">
        <v>1741</v>
      </c>
      <c r="B63" s="171">
        <v>50176</v>
      </c>
      <c r="C63" s="708"/>
      <c r="D63" s="55"/>
      <c r="E63" s="56"/>
      <c r="M63" s="405" t="s">
        <v>1741</v>
      </c>
      <c r="N63" s="405">
        <v>50176</v>
      </c>
      <c r="O63" s="271" t="b">
        <f t="shared" si="0"/>
        <v>1</v>
      </c>
      <c r="P63" s="271" t="b">
        <f t="shared" si="1"/>
        <v>1</v>
      </c>
      <c r="R63" s="271" t="s">
        <v>1741</v>
      </c>
      <c r="S63" s="271">
        <v>50176</v>
      </c>
      <c r="T63" s="271" t="b">
        <f t="shared" si="2"/>
        <v>1</v>
      </c>
      <c r="U63" s="271" t="b">
        <f t="shared" si="3"/>
        <v>1</v>
      </c>
    </row>
    <row r="64" spans="1:21" ht="15" thickBot="1" x14ac:dyDescent="0.35">
      <c r="A64" s="721" t="s">
        <v>1613</v>
      </c>
      <c r="B64" s="171">
        <v>50177</v>
      </c>
      <c r="C64" s="708"/>
      <c r="D64" s="55"/>
      <c r="E64" s="56"/>
      <c r="M64" s="405" t="s">
        <v>1613</v>
      </c>
      <c r="N64" s="405">
        <v>50177</v>
      </c>
      <c r="O64" s="271" t="b">
        <f t="shared" si="0"/>
        <v>1</v>
      </c>
      <c r="P64" s="271" t="b">
        <f t="shared" si="1"/>
        <v>1</v>
      </c>
      <c r="R64" s="271" t="s">
        <v>1613</v>
      </c>
      <c r="S64" s="271">
        <v>50177</v>
      </c>
      <c r="T64" s="271" t="b">
        <f t="shared" si="2"/>
        <v>1</v>
      </c>
      <c r="U64" s="271" t="b">
        <f t="shared" si="3"/>
        <v>1</v>
      </c>
    </row>
    <row r="65" spans="1:21" ht="15" thickBot="1" x14ac:dyDescent="0.35">
      <c r="A65" s="721" t="s">
        <v>1742</v>
      </c>
      <c r="B65" s="171">
        <v>50178</v>
      </c>
      <c r="C65" s="708"/>
      <c r="D65" s="55"/>
      <c r="E65" s="56"/>
      <c r="M65" s="405" t="s">
        <v>1742</v>
      </c>
      <c r="N65" s="405">
        <v>50178</v>
      </c>
      <c r="O65" s="271" t="b">
        <f t="shared" si="0"/>
        <v>1</v>
      </c>
      <c r="P65" s="271" t="b">
        <f t="shared" si="1"/>
        <v>1</v>
      </c>
      <c r="R65" s="271" t="s">
        <v>1742</v>
      </c>
      <c r="S65" s="271">
        <v>50178</v>
      </c>
      <c r="T65" s="271" t="b">
        <f t="shared" si="2"/>
        <v>1</v>
      </c>
      <c r="U65" s="271" t="b">
        <f t="shared" si="3"/>
        <v>1</v>
      </c>
    </row>
    <row r="66" spans="1:21" ht="15" thickBot="1" x14ac:dyDescent="0.35">
      <c r="A66" s="721" t="s">
        <v>777</v>
      </c>
      <c r="B66" s="171">
        <v>50180</v>
      </c>
      <c r="C66" s="708"/>
      <c r="D66" s="55"/>
      <c r="E66" s="56"/>
      <c r="M66" s="405" t="s">
        <v>777</v>
      </c>
      <c r="N66" s="405">
        <v>50180</v>
      </c>
      <c r="O66" s="271" t="b">
        <f t="shared" si="0"/>
        <v>1</v>
      </c>
      <c r="P66" s="271" t="b">
        <f t="shared" si="1"/>
        <v>1</v>
      </c>
      <c r="R66" s="271" t="s">
        <v>777</v>
      </c>
      <c r="S66" s="271">
        <v>50180</v>
      </c>
      <c r="T66" s="271" t="b">
        <f t="shared" si="2"/>
        <v>1</v>
      </c>
      <c r="U66" s="271" t="b">
        <f t="shared" si="3"/>
        <v>1</v>
      </c>
    </row>
    <row r="67" spans="1:21" ht="15" thickBot="1" x14ac:dyDescent="0.35">
      <c r="A67" s="721" t="s">
        <v>1743</v>
      </c>
      <c r="B67" s="171">
        <v>50447</v>
      </c>
      <c r="C67" s="708"/>
      <c r="D67" s="55"/>
      <c r="E67" s="56"/>
      <c r="M67" s="405" t="s">
        <v>1743</v>
      </c>
      <c r="N67" s="405">
        <v>50447</v>
      </c>
      <c r="O67" s="271" t="b">
        <f t="shared" ref="O67:O80" si="4">EXACT(A67,M67)</f>
        <v>1</v>
      </c>
      <c r="P67" s="271" t="b">
        <f t="shared" ref="P67:P80" si="5">EXACT(B67,N67)</f>
        <v>1</v>
      </c>
      <c r="R67" s="271" t="s">
        <v>1743</v>
      </c>
      <c r="S67" s="271">
        <v>50447</v>
      </c>
      <c r="T67" s="271" t="b">
        <f t="shared" ref="T67:T80" si="6">EXACT(M67,R67)</f>
        <v>1</v>
      </c>
      <c r="U67" s="271" t="b">
        <f t="shared" ref="U67:U80" si="7">EXACT(N67,S67)</f>
        <v>1</v>
      </c>
    </row>
    <row r="68" spans="1:21" ht="15" thickBot="1" x14ac:dyDescent="0.35">
      <c r="A68" s="721" t="s">
        <v>1744</v>
      </c>
      <c r="B68" s="171">
        <v>50179</v>
      </c>
      <c r="C68" s="708"/>
      <c r="D68" s="55"/>
      <c r="E68" s="56"/>
      <c r="M68" s="405" t="s">
        <v>1744</v>
      </c>
      <c r="N68" s="405">
        <v>50179</v>
      </c>
      <c r="O68" s="271" t="b">
        <f t="shared" si="4"/>
        <v>1</v>
      </c>
      <c r="P68" s="271" t="b">
        <f t="shared" si="5"/>
        <v>1</v>
      </c>
      <c r="R68" s="271" t="s">
        <v>1744</v>
      </c>
      <c r="S68" s="271">
        <v>50179</v>
      </c>
      <c r="T68" s="271" t="b">
        <f t="shared" si="6"/>
        <v>1</v>
      </c>
      <c r="U68" s="271" t="b">
        <f t="shared" si="7"/>
        <v>1</v>
      </c>
    </row>
    <row r="69" spans="1:21" x14ac:dyDescent="0.3">
      <c r="A69" s="722" t="s">
        <v>1745</v>
      </c>
      <c r="B69" s="722">
        <v>50462</v>
      </c>
      <c r="M69" s="405" t="s">
        <v>1745</v>
      </c>
      <c r="N69" s="405">
        <v>50462</v>
      </c>
      <c r="O69" s="271" t="b">
        <f t="shared" si="4"/>
        <v>1</v>
      </c>
      <c r="P69" s="271" t="b">
        <f t="shared" si="5"/>
        <v>1</v>
      </c>
      <c r="R69" s="300" t="s">
        <v>1745</v>
      </c>
      <c r="S69" s="300">
        <v>50462</v>
      </c>
      <c r="T69" s="271" t="b">
        <f t="shared" si="6"/>
        <v>1</v>
      </c>
      <c r="U69" s="271" t="b">
        <f t="shared" si="7"/>
        <v>1</v>
      </c>
    </row>
    <row r="70" spans="1:21" x14ac:dyDescent="0.3">
      <c r="A70" s="722" t="s">
        <v>1746</v>
      </c>
      <c r="B70" s="722">
        <v>50181</v>
      </c>
      <c r="M70" s="405" t="s">
        <v>1746</v>
      </c>
      <c r="N70" s="405">
        <v>50181</v>
      </c>
      <c r="O70" s="271" t="b">
        <f t="shared" si="4"/>
        <v>1</v>
      </c>
      <c r="P70" s="271" t="b">
        <f t="shared" si="5"/>
        <v>1</v>
      </c>
      <c r="R70" s="300" t="s">
        <v>1746</v>
      </c>
      <c r="S70" s="300">
        <v>50181</v>
      </c>
      <c r="T70" s="271" t="b">
        <f t="shared" si="6"/>
        <v>1</v>
      </c>
      <c r="U70" s="271" t="b">
        <f t="shared" si="7"/>
        <v>1</v>
      </c>
    </row>
    <row r="71" spans="1:21" x14ac:dyDescent="0.3">
      <c r="A71" s="722" t="s">
        <v>1747</v>
      </c>
      <c r="B71" s="722">
        <v>50182</v>
      </c>
      <c r="M71" s="405" t="s">
        <v>1747</v>
      </c>
      <c r="N71" s="405">
        <v>50182</v>
      </c>
      <c r="O71" s="271" t="b">
        <f t="shared" si="4"/>
        <v>1</v>
      </c>
      <c r="P71" s="271" t="b">
        <f t="shared" si="5"/>
        <v>1</v>
      </c>
      <c r="R71" s="300" t="s">
        <v>1747</v>
      </c>
      <c r="S71" s="300">
        <v>50182</v>
      </c>
      <c r="T71" s="271" t="b">
        <f t="shared" si="6"/>
        <v>1</v>
      </c>
      <c r="U71" s="271" t="b">
        <f t="shared" si="7"/>
        <v>1</v>
      </c>
    </row>
    <row r="72" spans="1:21" x14ac:dyDescent="0.3">
      <c r="A72" s="722" t="s">
        <v>971</v>
      </c>
      <c r="B72" s="722">
        <v>50183</v>
      </c>
      <c r="M72" s="405" t="s">
        <v>971</v>
      </c>
      <c r="N72" s="405">
        <v>50183</v>
      </c>
      <c r="O72" s="271" t="b">
        <f t="shared" si="4"/>
        <v>1</v>
      </c>
      <c r="P72" s="271" t="b">
        <f t="shared" si="5"/>
        <v>1</v>
      </c>
      <c r="R72" s="300" t="s">
        <v>971</v>
      </c>
      <c r="S72" s="300">
        <v>50183</v>
      </c>
      <c r="T72" s="271" t="b">
        <f t="shared" si="6"/>
        <v>1</v>
      </c>
      <c r="U72" s="271" t="b">
        <f t="shared" si="7"/>
        <v>1</v>
      </c>
    </row>
    <row r="73" spans="1:21" x14ac:dyDescent="0.3">
      <c r="A73" s="722" t="s">
        <v>1748</v>
      </c>
      <c r="B73" s="722">
        <v>50446</v>
      </c>
      <c r="M73" s="405" t="s">
        <v>1748</v>
      </c>
      <c r="N73" s="405">
        <v>50446</v>
      </c>
      <c r="O73" s="271" t="b">
        <f t="shared" si="4"/>
        <v>1</v>
      </c>
      <c r="P73" s="271" t="b">
        <f t="shared" si="5"/>
        <v>1</v>
      </c>
      <c r="R73" s="300" t="s">
        <v>1748</v>
      </c>
      <c r="S73" s="300">
        <v>50446</v>
      </c>
      <c r="T73" s="271" t="b">
        <f t="shared" si="6"/>
        <v>1</v>
      </c>
      <c r="U73" s="271" t="b">
        <f t="shared" si="7"/>
        <v>1</v>
      </c>
    </row>
    <row r="74" spans="1:21" x14ac:dyDescent="0.3">
      <c r="A74" s="722" t="s">
        <v>972</v>
      </c>
      <c r="B74" s="722">
        <v>50184</v>
      </c>
      <c r="M74" s="405" t="s">
        <v>972</v>
      </c>
      <c r="N74" s="405">
        <v>50184</v>
      </c>
      <c r="O74" s="271" t="b">
        <f t="shared" si="4"/>
        <v>1</v>
      </c>
      <c r="P74" s="271" t="b">
        <f t="shared" si="5"/>
        <v>1</v>
      </c>
      <c r="R74" s="300" t="s">
        <v>972</v>
      </c>
      <c r="S74" s="300">
        <v>50184</v>
      </c>
      <c r="T74" s="271" t="b">
        <f t="shared" si="6"/>
        <v>1</v>
      </c>
      <c r="U74" s="271" t="b">
        <f t="shared" si="7"/>
        <v>1</v>
      </c>
    </row>
    <row r="75" spans="1:21" x14ac:dyDescent="0.3">
      <c r="A75" s="722" t="s">
        <v>1749</v>
      </c>
      <c r="B75" s="722">
        <v>50185</v>
      </c>
      <c r="M75" s="405" t="s">
        <v>1749</v>
      </c>
      <c r="N75" s="405">
        <v>50185</v>
      </c>
      <c r="O75" s="271" t="b">
        <f t="shared" si="4"/>
        <v>1</v>
      </c>
      <c r="P75" s="271" t="b">
        <f t="shared" si="5"/>
        <v>1</v>
      </c>
      <c r="R75" s="300" t="s">
        <v>1749</v>
      </c>
      <c r="S75" s="300">
        <v>50185</v>
      </c>
      <c r="T75" s="271" t="b">
        <f t="shared" si="6"/>
        <v>1</v>
      </c>
      <c r="U75" s="271" t="b">
        <f t="shared" si="7"/>
        <v>1</v>
      </c>
    </row>
    <row r="76" spans="1:21" x14ac:dyDescent="0.3">
      <c r="A76" s="722" t="s">
        <v>973</v>
      </c>
      <c r="B76" s="722">
        <v>50186</v>
      </c>
      <c r="M76" s="405" t="s">
        <v>973</v>
      </c>
      <c r="N76" s="405">
        <v>50186</v>
      </c>
      <c r="O76" s="271" t="b">
        <f t="shared" si="4"/>
        <v>1</v>
      </c>
      <c r="P76" s="271" t="b">
        <f t="shared" si="5"/>
        <v>1</v>
      </c>
      <c r="R76" s="300" t="s">
        <v>973</v>
      </c>
      <c r="S76" s="300">
        <v>50186</v>
      </c>
      <c r="T76" s="271" t="b">
        <f t="shared" si="6"/>
        <v>1</v>
      </c>
      <c r="U76" s="271" t="b">
        <f t="shared" si="7"/>
        <v>1</v>
      </c>
    </row>
    <row r="77" spans="1:21" x14ac:dyDescent="0.3">
      <c r="A77" s="722" t="s">
        <v>1750</v>
      </c>
      <c r="B77" s="722">
        <v>50187</v>
      </c>
      <c r="M77" s="405" t="s">
        <v>1750</v>
      </c>
      <c r="N77" s="405">
        <v>50187</v>
      </c>
      <c r="O77" s="271" t="b">
        <f t="shared" si="4"/>
        <v>1</v>
      </c>
      <c r="P77" s="271" t="b">
        <f t="shared" si="5"/>
        <v>1</v>
      </c>
      <c r="R77" s="300" t="s">
        <v>1750</v>
      </c>
      <c r="S77" s="300">
        <v>50187</v>
      </c>
      <c r="T77" s="271" t="b">
        <f t="shared" si="6"/>
        <v>1</v>
      </c>
      <c r="U77" s="271" t="b">
        <f t="shared" si="7"/>
        <v>1</v>
      </c>
    </row>
    <row r="78" spans="1:21" x14ac:dyDescent="0.3">
      <c r="A78" s="722" t="s">
        <v>1751</v>
      </c>
      <c r="B78" s="722">
        <v>50188</v>
      </c>
      <c r="M78" s="405" t="s">
        <v>1751</v>
      </c>
      <c r="N78" s="405">
        <v>50188</v>
      </c>
      <c r="O78" s="271" t="b">
        <f t="shared" si="4"/>
        <v>1</v>
      </c>
      <c r="P78" s="271" t="b">
        <f t="shared" si="5"/>
        <v>1</v>
      </c>
      <c r="R78" s="300" t="s">
        <v>1751</v>
      </c>
      <c r="S78" s="300">
        <v>50188</v>
      </c>
      <c r="T78" s="271" t="b">
        <f t="shared" si="6"/>
        <v>1</v>
      </c>
      <c r="U78" s="271" t="b">
        <f t="shared" si="7"/>
        <v>1</v>
      </c>
    </row>
    <row r="79" spans="1:21" x14ac:dyDescent="0.3">
      <c r="A79" s="722" t="s">
        <v>1752</v>
      </c>
      <c r="B79" s="722">
        <v>50189</v>
      </c>
      <c r="M79" s="405" t="s">
        <v>1752</v>
      </c>
      <c r="N79" s="405">
        <v>50189</v>
      </c>
      <c r="O79" s="271" t="b">
        <f t="shared" si="4"/>
        <v>1</v>
      </c>
      <c r="P79" s="271" t="b">
        <f t="shared" si="5"/>
        <v>1</v>
      </c>
      <c r="R79" s="300" t="s">
        <v>1752</v>
      </c>
      <c r="S79" s="300">
        <v>50189</v>
      </c>
      <c r="T79" s="271" t="b">
        <f t="shared" si="6"/>
        <v>1</v>
      </c>
      <c r="U79" s="271" t="b">
        <f t="shared" si="7"/>
        <v>1</v>
      </c>
    </row>
    <row r="80" spans="1:21" x14ac:dyDescent="0.3">
      <c r="A80" s="722" t="s">
        <v>1753</v>
      </c>
      <c r="B80" s="722">
        <v>50190</v>
      </c>
      <c r="M80" s="405" t="s">
        <v>1753</v>
      </c>
      <c r="N80" s="405">
        <v>50190</v>
      </c>
      <c r="O80" s="271" t="b">
        <f t="shared" si="4"/>
        <v>1</v>
      </c>
      <c r="P80" s="271" t="b">
        <f t="shared" si="5"/>
        <v>1</v>
      </c>
      <c r="R80" s="300" t="s">
        <v>1753</v>
      </c>
      <c r="S80" s="300">
        <v>50190</v>
      </c>
      <c r="T80" s="271" t="b">
        <f t="shared" si="6"/>
        <v>1</v>
      </c>
      <c r="U80" s="271" t="b">
        <f t="shared" si="7"/>
        <v>1</v>
      </c>
    </row>
  </sheetData>
  <sheetProtection algorithmName="SHA-512" hashValue="BL3KpVOQMEPJLDkCQdCBr7npcHDANGjhR//OKEhNS/Iv6RnLllx00Uyqliyzzz7zdafXPjDKKpqZNGpC72MHbg==" saltValue="nZfBkXNo0G0U69PAno1q0w=="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D6BC-D915-4DB1-A21C-7A0CCB10E5C2}">
  <sheetPr codeName="Sheet16">
    <tabColor theme="3" tint="0.79998168889431442"/>
  </sheetPr>
  <dimension ref="A1:H56"/>
  <sheetViews>
    <sheetView workbookViewId="0">
      <selection activeCell="B1" sqref="B1"/>
    </sheetView>
  </sheetViews>
  <sheetFormatPr defaultColWidth="9.109375" defaultRowHeight="14.4" x14ac:dyDescent="0.3"/>
  <cols>
    <col min="1" max="1" width="45.109375" style="424" customWidth="1"/>
    <col min="2" max="2" width="36.44140625" style="424" customWidth="1"/>
    <col min="3" max="3" width="9.109375" style="424"/>
    <col min="4" max="4" width="1.33203125" style="424" customWidth="1"/>
    <col min="5" max="5" width="37.5546875" style="424" customWidth="1"/>
    <col min="6" max="6" width="18.109375" style="424" customWidth="1"/>
    <col min="7" max="7" width="16.109375" style="424" customWidth="1"/>
    <col min="8" max="8" width="3.109375" style="424" customWidth="1"/>
    <col min="9" max="16384" width="9.109375" style="424"/>
  </cols>
  <sheetData>
    <row r="1" spans="1:8" x14ac:dyDescent="0.3">
      <c r="A1" s="425"/>
      <c r="B1" s="426"/>
      <c r="C1" s="427"/>
      <c r="D1" s="427"/>
      <c r="E1" s="428"/>
      <c r="F1" s="427"/>
      <c r="G1" s="427"/>
      <c r="H1" s="427"/>
    </row>
    <row r="2" spans="1:8" x14ac:dyDescent="0.3">
      <c r="A2" s="429" t="s">
        <v>1021</v>
      </c>
      <c r="B2" s="430" t="str">
        <f>+'Unit Data from Audit Worksheet'!D2</f>
        <v>Select Unit Name from Drop Down List</v>
      </c>
      <c r="C2" s="427"/>
      <c r="D2" s="427"/>
      <c r="E2" s="428"/>
      <c r="F2" s="427"/>
      <c r="G2" s="427"/>
      <c r="H2" s="427"/>
    </row>
    <row r="3" spans="1:8" x14ac:dyDescent="0.3">
      <c r="A3" s="429" t="s">
        <v>1124</v>
      </c>
      <c r="B3" s="427" t="e">
        <f>+'Unit Data from Audit Worksheet'!D3</f>
        <v>#N/A</v>
      </c>
      <c r="C3" s="427"/>
      <c r="D3" s="427"/>
      <c r="E3" s="428"/>
      <c r="F3" s="427"/>
      <c r="G3" s="427"/>
      <c r="H3" s="427"/>
    </row>
    <row r="4" spans="1:8" x14ac:dyDescent="0.3">
      <c r="A4" s="427"/>
      <c r="B4" s="427"/>
      <c r="C4" s="427"/>
      <c r="D4" s="427"/>
      <c r="E4" s="428"/>
      <c r="F4" s="427"/>
      <c r="G4" s="427"/>
      <c r="H4" s="427"/>
    </row>
    <row r="5" spans="1:8" x14ac:dyDescent="0.3">
      <c r="A5" s="1315" t="s">
        <v>1022</v>
      </c>
      <c r="B5" s="1315"/>
      <c r="C5" s="1315"/>
      <c r="D5" s="427"/>
      <c r="E5" s="1316" t="s">
        <v>1023</v>
      </c>
      <c r="F5" s="1316"/>
      <c r="G5" s="427"/>
      <c r="H5" s="427"/>
    </row>
    <row r="6" spans="1:8" ht="15" thickBot="1" x14ac:dyDescent="0.35">
      <c r="A6" s="431"/>
      <c r="B6" s="432"/>
      <c r="C6" s="431"/>
      <c r="D6" s="425"/>
      <c r="E6" s="431"/>
      <c r="F6" s="432"/>
      <c r="G6" s="432"/>
      <c r="H6" s="427"/>
    </row>
    <row r="7" spans="1:8" ht="15" thickBot="1" x14ac:dyDescent="0.35">
      <c r="A7" s="433" t="s">
        <v>1024</v>
      </c>
      <c r="B7" s="434">
        <v>0.03</v>
      </c>
      <c r="C7" s="434"/>
      <c r="D7" s="434"/>
      <c r="E7" s="434"/>
      <c r="F7" s="434"/>
      <c r="G7" s="434"/>
      <c r="H7" s="434"/>
    </row>
    <row r="8" spans="1:8" ht="15" thickBot="1" x14ac:dyDescent="0.35">
      <c r="A8" s="427" t="s">
        <v>1377</v>
      </c>
      <c r="B8" s="435" t="e">
        <f>HLOOKUP(B2,'2020 Data(H)'!F1:CF362,353,FALSE)</f>
        <v>#N/A</v>
      </c>
      <c r="C8" s="436"/>
      <c r="D8" s="436"/>
      <c r="E8" s="436"/>
      <c r="F8" s="427"/>
      <c r="G8" s="427"/>
      <c r="H8" s="427"/>
    </row>
    <row r="9" spans="1:8" ht="15" thickBot="1" x14ac:dyDescent="0.35">
      <c r="A9" s="427" t="s">
        <v>1026</v>
      </c>
      <c r="B9" s="437" t="e">
        <f>B8*B7</f>
        <v>#N/A</v>
      </c>
      <c r="C9" s="438"/>
      <c r="D9" s="438"/>
      <c r="E9" s="438"/>
      <c r="F9" s="427"/>
      <c r="G9" s="427"/>
      <c r="H9" s="427"/>
    </row>
    <row r="10" spans="1:8" ht="15" thickBot="1" x14ac:dyDescent="0.35">
      <c r="A10" s="427"/>
      <c r="B10" s="427"/>
      <c r="C10" s="427"/>
      <c r="D10" s="427"/>
      <c r="E10" s="427"/>
      <c r="F10" s="427"/>
      <c r="G10" s="427"/>
      <c r="H10" s="427"/>
    </row>
    <row r="11" spans="1:8" ht="15" thickBot="1" x14ac:dyDescent="0.35">
      <c r="A11" s="433" t="s">
        <v>1027</v>
      </c>
      <c r="B11" s="434">
        <v>0.05</v>
      </c>
      <c r="C11" s="434"/>
      <c r="D11" s="434"/>
      <c r="E11" s="434"/>
      <c r="F11" s="434"/>
      <c r="G11" s="434"/>
      <c r="H11" s="434"/>
    </row>
    <row r="12" spans="1:8" ht="15" thickBot="1" x14ac:dyDescent="0.35">
      <c r="A12" s="427" t="s">
        <v>1378</v>
      </c>
      <c r="B12" s="439" t="e">
        <f>HLOOKUP(B2,'2020 Data(H)'!F1:CF362,55,FALSE)</f>
        <v>#N/A</v>
      </c>
      <c r="C12" s="440"/>
      <c r="D12" s="440"/>
      <c r="E12" s="440"/>
      <c r="F12" s="427"/>
      <c r="G12" s="427"/>
      <c r="H12" s="427"/>
    </row>
    <row r="13" spans="1:8" ht="15" thickBot="1" x14ac:dyDescent="0.35">
      <c r="A13" s="427" t="s">
        <v>1026</v>
      </c>
      <c r="B13" s="437" t="e">
        <f>B12*B11</f>
        <v>#N/A</v>
      </c>
      <c r="C13" s="438"/>
      <c r="D13" s="438"/>
      <c r="E13" s="438"/>
      <c r="F13" s="427"/>
      <c r="G13" s="427"/>
      <c r="H13" s="427"/>
    </row>
    <row r="14" spans="1:8" ht="15" thickBot="1" x14ac:dyDescent="0.35">
      <c r="A14" s="427"/>
      <c r="B14" s="427"/>
      <c r="C14" s="427"/>
      <c r="D14" s="427"/>
      <c r="E14" s="441" t="s">
        <v>1028</v>
      </c>
      <c r="F14" s="442">
        <f>+Import!L177</f>
        <v>0</v>
      </c>
      <c r="G14" s="443"/>
      <c r="H14" s="427"/>
    </row>
    <row r="15" spans="1:8" x14ac:dyDescent="0.3">
      <c r="A15" s="427"/>
      <c r="B15" s="427"/>
      <c r="C15" s="427"/>
      <c r="D15" s="427"/>
      <c r="E15" s="427"/>
      <c r="F15" s="427"/>
      <c r="G15" s="427"/>
      <c r="H15" s="444"/>
    </row>
    <row r="16" spans="1:8" x14ac:dyDescent="0.3">
      <c r="A16" s="427"/>
      <c r="B16" s="441"/>
      <c r="C16" s="427"/>
      <c r="D16" s="427"/>
      <c r="E16" s="427"/>
      <c r="F16" s="427"/>
      <c r="G16" s="427"/>
      <c r="H16" s="427"/>
    </row>
    <row r="17" spans="1:8" x14ac:dyDescent="0.3">
      <c r="A17" s="431"/>
      <c r="B17" s="432"/>
      <c r="C17" s="431"/>
      <c r="D17" s="425"/>
      <c r="E17" s="431"/>
      <c r="F17" s="432"/>
      <c r="G17" s="432"/>
      <c r="H17" s="427"/>
    </row>
    <row r="18" spans="1:8" ht="15" thickBot="1" x14ac:dyDescent="0.35">
      <c r="A18" s="445" t="s">
        <v>1029</v>
      </c>
      <c r="B18" s="427"/>
      <c r="C18" s="427"/>
      <c r="D18" s="427"/>
      <c r="E18" s="445" t="s">
        <v>1029</v>
      </c>
      <c r="F18" s="429" t="s">
        <v>1030</v>
      </c>
      <c r="G18" s="429" t="s">
        <v>1031</v>
      </c>
      <c r="H18" s="427"/>
    </row>
    <row r="19" spans="1:8" ht="15" thickBot="1" x14ac:dyDescent="0.35">
      <c r="A19" s="427" t="s">
        <v>1025</v>
      </c>
      <c r="B19" s="435" t="e">
        <f>+B8</f>
        <v>#N/A</v>
      </c>
      <c r="C19" s="436"/>
      <c r="D19" s="436"/>
      <c r="E19" s="427" t="s">
        <v>1032</v>
      </c>
      <c r="F19" s="446">
        <f>+Import!L229</f>
        <v>0</v>
      </c>
      <c r="G19" s="447" t="e">
        <f>+B21</f>
        <v>#N/A</v>
      </c>
      <c r="H19" s="427"/>
    </row>
    <row r="20" spans="1:8" ht="15" thickBot="1" x14ac:dyDescent="0.35">
      <c r="A20" s="427" t="s">
        <v>1033</v>
      </c>
      <c r="B20" s="448">
        <f>+Import!L243</f>
        <v>0</v>
      </c>
      <c r="C20" s="427"/>
      <c r="D20" s="427"/>
      <c r="E20" s="427"/>
      <c r="F20" s="449"/>
      <c r="G20" s="427"/>
      <c r="H20" s="427"/>
    </row>
    <row r="21" spans="1:8" ht="15" thickBot="1" x14ac:dyDescent="0.35">
      <c r="A21" s="427" t="s">
        <v>1026</v>
      </c>
      <c r="B21" s="437" t="e">
        <f>ROUND((B19/100)*B20,0)</f>
        <v>#N/A</v>
      </c>
      <c r="C21" s="450"/>
      <c r="D21" s="438"/>
      <c r="E21" s="427"/>
      <c r="F21" s="427"/>
      <c r="G21" s="427"/>
      <c r="H21" s="427"/>
    </row>
    <row r="22" spans="1:8" ht="15" thickBot="1" x14ac:dyDescent="0.35">
      <c r="A22" s="427"/>
      <c r="B22" s="427"/>
      <c r="C22" s="451"/>
      <c r="D22" s="451"/>
      <c r="E22" s="427"/>
      <c r="F22" s="427"/>
      <c r="G22" s="427"/>
      <c r="H22" s="427"/>
    </row>
    <row r="23" spans="1:8" ht="15" thickBot="1" x14ac:dyDescent="0.35">
      <c r="A23" s="441"/>
      <c r="B23" s="452"/>
      <c r="C23" s="427"/>
      <c r="D23" s="427"/>
      <c r="E23" s="453" t="s">
        <v>1034</v>
      </c>
      <c r="F23" s="437">
        <f>IF(F19=0,F14-F19,F14-MAX(F19,G19))</f>
        <v>0</v>
      </c>
      <c r="G23" s="454"/>
      <c r="H23" s="438"/>
    </row>
    <row r="24" spans="1:8" x14ac:dyDescent="0.3">
      <c r="A24" s="427"/>
      <c r="B24" s="427"/>
      <c r="C24" s="427"/>
      <c r="D24" s="427"/>
      <c r="E24" s="427"/>
      <c r="F24" s="450"/>
      <c r="G24" s="450"/>
      <c r="H24" s="438"/>
    </row>
    <row r="25" spans="1:8" x14ac:dyDescent="0.3">
      <c r="A25" s="431"/>
      <c r="B25" s="432"/>
      <c r="C25" s="431"/>
      <c r="D25" s="425"/>
      <c r="E25" s="431"/>
      <c r="F25" s="432"/>
      <c r="G25" s="432"/>
      <c r="H25" s="427"/>
    </row>
    <row r="26" spans="1:8" ht="15" thickBot="1" x14ac:dyDescent="0.35">
      <c r="A26" s="427"/>
      <c r="B26" s="427"/>
      <c r="C26" s="427"/>
      <c r="D26" s="445"/>
      <c r="E26" s="445" t="s">
        <v>1035</v>
      </c>
      <c r="F26" s="445"/>
      <c r="G26" s="445"/>
      <c r="H26" s="445"/>
    </row>
    <row r="27" spans="1:8" ht="15" thickBot="1" x14ac:dyDescent="0.35">
      <c r="A27" s="427"/>
      <c r="B27" s="427"/>
      <c r="C27" s="427"/>
      <c r="D27" s="451"/>
      <c r="E27" s="427" t="s">
        <v>1036</v>
      </c>
      <c r="F27" s="455" t="e">
        <f>MAX(B9,B13)</f>
        <v>#N/A</v>
      </c>
      <c r="G27" s="451"/>
      <c r="H27" s="427"/>
    </row>
    <row r="28" spans="1:8" ht="15" thickBot="1" x14ac:dyDescent="0.35">
      <c r="A28" s="427"/>
      <c r="B28" s="427"/>
      <c r="C28" s="427"/>
      <c r="D28" s="451"/>
      <c r="E28" s="427"/>
      <c r="F28" s="451"/>
      <c r="G28" s="451"/>
      <c r="H28" s="427"/>
    </row>
    <row r="29" spans="1:8" ht="33.75" customHeight="1" x14ac:dyDescent="0.3">
      <c r="A29" s="427"/>
      <c r="B29" s="427"/>
      <c r="C29" s="427"/>
      <c r="D29" s="456"/>
      <c r="E29" s="427" t="s">
        <v>1037</v>
      </c>
      <c r="F29" s="457" t="e">
        <f>IF(F23&lt;=F27,"Yes", "No, unit exceeds limit by:")</f>
        <v>#N/A</v>
      </c>
      <c r="G29" s="427"/>
      <c r="H29" s="427"/>
    </row>
    <row r="30" spans="1:8" ht="15" thickBot="1" x14ac:dyDescent="0.35">
      <c r="A30" s="427"/>
      <c r="B30" s="427"/>
      <c r="C30" s="427"/>
      <c r="D30" s="456"/>
      <c r="E30" s="427"/>
      <c r="F30" s="458" t="e">
        <f>IF(F23-F27&lt;=0,0,F23-F27)</f>
        <v>#N/A</v>
      </c>
      <c r="G30" s="459"/>
      <c r="H30" s="427"/>
    </row>
    <row r="31" spans="1:8" ht="15" thickBot="1" x14ac:dyDescent="0.35">
      <c r="A31" s="427"/>
      <c r="B31" s="427"/>
      <c r="C31" s="427"/>
      <c r="D31" s="427"/>
      <c r="E31" s="427"/>
      <c r="F31" s="427"/>
      <c r="G31" s="427"/>
      <c r="H31" s="427"/>
    </row>
    <row r="32" spans="1:8" x14ac:dyDescent="0.3">
      <c r="A32" s="427"/>
      <c r="B32" s="427"/>
      <c r="C32" s="427"/>
      <c r="D32" s="427"/>
      <c r="E32" s="453" t="s">
        <v>1038</v>
      </c>
      <c r="F32" s="460">
        <f>IF(F19=0,0,F19-G19)</f>
        <v>0</v>
      </c>
      <c r="G32" s="427"/>
      <c r="H32" s="427"/>
    </row>
    <row r="33" spans="1:7" ht="15" thickBot="1" x14ac:dyDescent="0.35">
      <c r="A33" s="427"/>
      <c r="B33" s="427"/>
      <c r="C33" s="427"/>
      <c r="D33" s="427"/>
      <c r="E33" s="427"/>
      <c r="F33" s="461" t="s">
        <v>704</v>
      </c>
      <c r="G33" s="427"/>
    </row>
    <row r="34" spans="1:7" x14ac:dyDescent="0.3">
      <c r="A34" s="425"/>
      <c r="B34" s="427"/>
      <c r="C34" s="427"/>
      <c r="D34" s="427"/>
      <c r="E34" s="425" t="s">
        <v>1039</v>
      </c>
      <c r="F34" s="427"/>
      <c r="G34" s="427"/>
    </row>
    <row r="35" spans="1:7" x14ac:dyDescent="0.3">
      <c r="A35" s="462"/>
      <c r="B35" s="462"/>
      <c r="C35" s="462"/>
      <c r="D35" s="427"/>
      <c r="E35" s="1317" t="s">
        <v>1379</v>
      </c>
      <c r="F35" s="1318"/>
      <c r="G35" s="1319"/>
    </row>
    <row r="36" spans="1:7" x14ac:dyDescent="0.3">
      <c r="A36" s="462"/>
      <c r="B36" s="462"/>
      <c r="C36" s="462"/>
      <c r="D36" s="427"/>
      <c r="E36" s="1320"/>
      <c r="F36" s="1321"/>
      <c r="G36" s="1322"/>
    </row>
    <row r="37" spans="1:7" x14ac:dyDescent="0.3">
      <c r="A37" s="462"/>
      <c r="B37" s="462"/>
      <c r="C37" s="462"/>
      <c r="D37" s="427"/>
      <c r="E37" s="1320"/>
      <c r="F37" s="1321"/>
      <c r="G37" s="1322"/>
    </row>
    <row r="38" spans="1:7" x14ac:dyDescent="0.3">
      <c r="A38" s="462"/>
      <c r="B38" s="462"/>
      <c r="C38" s="462"/>
      <c r="D38" s="427"/>
      <c r="E38" s="1323"/>
      <c r="F38" s="1324"/>
      <c r="G38" s="1325"/>
    </row>
    <row r="39" spans="1:7" x14ac:dyDescent="0.3">
      <c r="A39" s="462"/>
      <c r="B39" s="462"/>
      <c r="C39" s="462"/>
      <c r="D39" s="427"/>
      <c r="E39" s="463"/>
      <c r="F39" s="463"/>
      <c r="G39" s="463"/>
    </row>
    <row r="40" spans="1:7" x14ac:dyDescent="0.3">
      <c r="A40" s="462"/>
      <c r="B40" s="462"/>
      <c r="C40" s="462"/>
      <c r="D40" s="427"/>
      <c r="E40" s="1317" t="s">
        <v>1380</v>
      </c>
      <c r="F40" s="1318"/>
      <c r="G40" s="1319"/>
    </row>
    <row r="41" spans="1:7" x14ac:dyDescent="0.3">
      <c r="A41" s="427"/>
      <c r="B41" s="427"/>
      <c r="C41" s="427"/>
      <c r="D41" s="427"/>
      <c r="E41" s="1320"/>
      <c r="F41" s="1321"/>
      <c r="G41" s="1322"/>
    </row>
    <row r="42" spans="1:7" x14ac:dyDescent="0.3">
      <c r="A42" s="427"/>
      <c r="B42" s="427"/>
      <c r="C42" s="427"/>
      <c r="D42" s="427"/>
      <c r="E42" s="1323"/>
      <c r="F42" s="1324"/>
      <c r="G42" s="1325"/>
    </row>
    <row r="43" spans="1:7" x14ac:dyDescent="0.3">
      <c r="A43" s="427"/>
      <c r="B43" s="427"/>
      <c r="C43" s="427"/>
      <c r="D43" s="427"/>
      <c r="E43" s="427"/>
      <c r="F43" s="427"/>
      <c r="G43" s="427"/>
    </row>
    <row r="44" spans="1:7" ht="15" thickBot="1" x14ac:dyDescent="0.35">
      <c r="A44" s="427"/>
      <c r="B44" s="427"/>
      <c r="C44" s="427"/>
      <c r="D44" s="427"/>
      <c r="E44" s="1326" t="s">
        <v>1040</v>
      </c>
      <c r="F44" s="1326"/>
      <c r="G44" s="1326"/>
    </row>
    <row r="45" spans="1:7" x14ac:dyDescent="0.3">
      <c r="A45" s="427"/>
      <c r="B45" s="427"/>
      <c r="C45" s="427"/>
      <c r="D45" s="427"/>
      <c r="E45" s="1306"/>
      <c r="F45" s="1307"/>
      <c r="G45" s="1308"/>
    </row>
    <row r="46" spans="1:7" x14ac:dyDescent="0.3">
      <c r="A46" s="427"/>
      <c r="B46" s="427"/>
      <c r="C46" s="427"/>
      <c r="D46" s="427"/>
      <c r="E46" s="1309"/>
      <c r="F46" s="1310"/>
      <c r="G46" s="1311"/>
    </row>
    <row r="47" spans="1:7" x14ac:dyDescent="0.3">
      <c r="A47" s="427"/>
      <c r="B47" s="427"/>
      <c r="C47" s="427"/>
      <c r="D47" s="427"/>
      <c r="E47" s="1309"/>
      <c r="F47" s="1310"/>
      <c r="G47" s="1311"/>
    </row>
    <row r="48" spans="1:7" x14ac:dyDescent="0.3">
      <c r="A48" s="427"/>
      <c r="B48" s="427"/>
      <c r="C48" s="427"/>
      <c r="D48" s="427"/>
      <c r="E48" s="1309"/>
      <c r="F48" s="1310"/>
      <c r="G48" s="1311"/>
    </row>
    <row r="49" spans="5:7" x14ac:dyDescent="0.3">
      <c r="E49" s="1309"/>
      <c r="F49" s="1310"/>
      <c r="G49" s="1311"/>
    </row>
    <row r="50" spans="5:7" x14ac:dyDescent="0.3">
      <c r="E50" s="1309"/>
      <c r="F50" s="1310"/>
      <c r="G50" s="1311"/>
    </row>
    <row r="51" spans="5:7" x14ac:dyDescent="0.3">
      <c r="E51" s="1309"/>
      <c r="F51" s="1310"/>
      <c r="G51" s="1311"/>
    </row>
    <row r="52" spans="5:7" x14ac:dyDescent="0.3">
      <c r="E52" s="1309"/>
      <c r="F52" s="1310"/>
      <c r="G52" s="1311"/>
    </row>
    <row r="53" spans="5:7" x14ac:dyDescent="0.3">
      <c r="E53" s="1309"/>
      <c r="F53" s="1310"/>
      <c r="G53" s="1311"/>
    </row>
    <row r="54" spans="5:7" x14ac:dyDescent="0.3">
      <c r="E54" s="1309"/>
      <c r="F54" s="1310"/>
      <c r="G54" s="1311"/>
    </row>
    <row r="55" spans="5:7" x14ac:dyDescent="0.3">
      <c r="E55" s="1309"/>
      <c r="F55" s="1310"/>
      <c r="G55" s="1311"/>
    </row>
    <row r="56" spans="5:7" ht="15" thickBot="1" x14ac:dyDescent="0.35">
      <c r="E56" s="1312"/>
      <c r="F56" s="1313"/>
      <c r="G56" s="1314"/>
    </row>
  </sheetData>
  <sheetProtection algorithmName="SHA-512" hashValue="FUz0zsYFgbDYXqviFvupIFCA21BvrQjpVM8GzZiEAF9SSHiw3XZDhlCjM2NybxQxXvOa9ws2I7AkFtT1f6kQYA==" saltValue="RhUH7RXiVQczTL4fuIZYLw==" spinCount="100000" sheet="1" objects="1" scenarios="1"/>
  <mergeCells count="6">
    <mergeCell ref="E45:G56"/>
    <mergeCell ref="A5:C5"/>
    <mergeCell ref="E5:F5"/>
    <mergeCell ref="E35:G38"/>
    <mergeCell ref="E40:G42"/>
    <mergeCell ref="E44:G4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pageSetUpPr fitToPage="1"/>
  </sheetPr>
  <dimension ref="A1:BTI443"/>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18" customWidth="1"/>
    <col min="2" max="2" width="16.33203125" style="5" customWidth="1"/>
    <col min="3" max="3" width="17.44140625" style="5" customWidth="1"/>
    <col min="4" max="4" width="46.33203125" style="726" customWidth="1"/>
    <col min="5" max="5" width="17.109375" style="18" customWidth="1"/>
    <col min="6" max="6" width="21.5546875" style="726" customWidth="1"/>
    <col min="7" max="7" width="26.6640625" style="819" customWidth="1"/>
    <col min="8" max="8" width="25.109375" style="610" customWidth="1"/>
    <col min="9" max="9" width="24" style="726" customWidth="1"/>
    <col min="10" max="10" width="13.5546875" style="18" hidden="1" customWidth="1"/>
    <col min="11" max="11" width="11.6640625" style="18" hidden="1" customWidth="1"/>
    <col min="12" max="12" width="15.6640625" style="18" hidden="1" customWidth="1"/>
    <col min="13" max="13" width="11" style="18" hidden="1" customWidth="1"/>
    <col min="14" max="14" width="3.33203125" style="298" hidden="1" customWidth="1"/>
    <col min="15" max="15" width="2.109375" style="18" hidden="1" customWidth="1"/>
    <col min="16" max="16" width="0" style="18" hidden="1" customWidth="1"/>
    <col min="17" max="17" width="15.109375" style="18" hidden="1" customWidth="1"/>
    <col min="18" max="25" width="9.109375" style="18"/>
    <col min="26" max="26" width="30.6640625" style="652" customWidth="1"/>
    <col min="27" max="1881" width="9.109375" style="18"/>
    <col min="1882" max="16384" width="9.109375" style="726"/>
  </cols>
  <sheetData>
    <row r="1" spans="1:44" ht="15" thickBot="1" x14ac:dyDescent="0.35">
      <c r="B1" s="821" t="s">
        <v>757</v>
      </c>
      <c r="C1" s="821"/>
      <c r="E1" s="729" t="s">
        <v>36</v>
      </c>
      <c r="F1" s="730">
        <v>2021</v>
      </c>
      <c r="G1" s="123" t="s">
        <v>126</v>
      </c>
      <c r="H1" s="731"/>
      <c r="I1" s="732"/>
      <c r="J1" s="733" t="s">
        <v>1308</v>
      </c>
      <c r="M1" s="18" t="s">
        <v>51</v>
      </c>
      <c r="O1" s="18">
        <v>1</v>
      </c>
    </row>
    <row r="2" spans="1:44" ht="44.25" customHeight="1" thickBot="1" x14ac:dyDescent="0.35">
      <c r="B2" s="1171" t="s">
        <v>525</v>
      </c>
      <c r="C2" s="1172"/>
      <c r="D2" s="734" t="s">
        <v>1589</v>
      </c>
      <c r="E2" s="1169" t="s">
        <v>539</v>
      </c>
      <c r="F2" s="1169"/>
      <c r="G2" s="1170"/>
      <c r="H2" s="735"/>
      <c r="I2" s="1166" t="s">
        <v>1824</v>
      </c>
      <c r="M2" s="18" t="s">
        <v>52</v>
      </c>
      <c r="N2" s="298">
        <v>50</v>
      </c>
      <c r="O2" s="18">
        <v>2</v>
      </c>
    </row>
    <row r="3" spans="1:44" ht="15" thickBot="1" x14ac:dyDescent="0.35">
      <c r="B3" s="822" t="s">
        <v>0</v>
      </c>
      <c r="C3" s="823"/>
      <c r="D3" s="736" t="e">
        <f>VLOOKUP(D2,'Unit Names(H)'!A2:B142,2,FALSE)</f>
        <v>#N/A</v>
      </c>
      <c r="E3" s="931"/>
      <c r="F3" s="737"/>
      <c r="G3" s="738"/>
      <c r="H3" s="735"/>
      <c r="N3" s="298">
        <v>51</v>
      </c>
      <c r="O3" s="18">
        <v>3</v>
      </c>
    </row>
    <row r="4" spans="1:44" ht="15" thickBot="1" x14ac:dyDescent="0.35">
      <c r="B4" s="824" t="s">
        <v>1426</v>
      </c>
      <c r="C4" s="825"/>
      <c r="D4" s="739"/>
      <c r="E4" s="739"/>
      <c r="F4" s="740"/>
      <c r="G4" s="741"/>
      <c r="H4" s="735"/>
      <c r="I4" s="2"/>
      <c r="M4" s="18" t="s">
        <v>604</v>
      </c>
      <c r="N4" s="298">
        <v>52</v>
      </c>
      <c r="O4" s="18">
        <v>4</v>
      </c>
    </row>
    <row r="5" spans="1:44" ht="37.5" customHeight="1" x14ac:dyDescent="0.3">
      <c r="A5" s="688" t="s">
        <v>754</v>
      </c>
      <c r="B5" s="577" t="s">
        <v>111</v>
      </c>
      <c r="C5" s="577" t="s">
        <v>128</v>
      </c>
      <c r="D5" s="742" t="s">
        <v>1</v>
      </c>
      <c r="E5" s="742">
        <v>2020</v>
      </c>
      <c r="F5" s="743">
        <v>2021</v>
      </c>
      <c r="G5" s="744" t="s">
        <v>1548</v>
      </c>
      <c r="H5" s="745" t="s">
        <v>545</v>
      </c>
      <c r="I5" s="730" t="s">
        <v>13</v>
      </c>
      <c r="M5" s="18" t="s">
        <v>831</v>
      </c>
    </row>
    <row r="6" spans="1:44" ht="22.5" customHeight="1" x14ac:dyDescent="0.3">
      <c r="A6" s="576"/>
      <c r="B6" s="870" t="s">
        <v>127</v>
      </c>
      <c r="C6" s="871"/>
      <c r="D6" s="872"/>
      <c r="E6" s="873"/>
      <c r="F6" s="874"/>
      <c r="G6" s="866"/>
      <c r="H6" s="17"/>
      <c r="M6" s="18" t="s">
        <v>810</v>
      </c>
    </row>
    <row r="7" spans="1:44" s="18" customFormat="1" ht="63.75" customHeight="1" thickBot="1" x14ac:dyDescent="0.35">
      <c r="A7" s="108">
        <v>333</v>
      </c>
      <c r="B7" s="652" t="s">
        <v>67</v>
      </c>
      <c r="C7" s="652" t="s">
        <v>129</v>
      </c>
      <c r="D7" s="725" t="s">
        <v>1427</v>
      </c>
      <c r="E7" s="686" t="e">
        <f>HLOOKUP($D$2,'2020 Data(H)'!$C$1:$CR$399,99,FALSE)</f>
        <v>#N/A</v>
      </c>
      <c r="F7" s="297">
        <v>0</v>
      </c>
      <c r="G7" s="747">
        <f>IF(F7&lt;0,"Note: Number is normally positive.",)</f>
        <v>0</v>
      </c>
      <c r="H7" s="748"/>
      <c r="I7" s="749"/>
      <c r="J7" s="592" t="s">
        <v>1287</v>
      </c>
      <c r="L7" s="712"/>
      <c r="M7" s="18" t="s">
        <v>832</v>
      </c>
      <c r="N7" s="298"/>
      <c r="Q7" s="297">
        <v>475882</v>
      </c>
      <c r="Z7" s="108"/>
      <c r="AA7" s="108"/>
      <c r="AB7" s="108"/>
      <c r="AC7" s="108"/>
      <c r="AD7" s="108"/>
      <c r="AE7" s="108"/>
      <c r="AF7" s="108"/>
      <c r="AG7" s="108"/>
      <c r="AH7" s="108"/>
      <c r="AI7" s="108"/>
      <c r="AJ7" s="108"/>
      <c r="AK7" s="108"/>
      <c r="AL7" s="108"/>
      <c r="AM7" s="108"/>
      <c r="AN7" s="108"/>
      <c r="AO7" s="108"/>
      <c r="AP7" s="108"/>
      <c r="AQ7" s="108"/>
      <c r="AR7" s="108"/>
    </row>
    <row r="8" spans="1:44" s="18" customFormat="1" ht="51" customHeight="1" thickBot="1" x14ac:dyDescent="0.35">
      <c r="A8" s="108">
        <v>500</v>
      </c>
      <c r="B8" s="652" t="s">
        <v>55</v>
      </c>
      <c r="C8" s="652" t="s">
        <v>129</v>
      </c>
      <c r="D8" s="725" t="s">
        <v>1428</v>
      </c>
      <c r="E8" s="686" t="e">
        <f>HLOOKUP($D$2,'2020 Data(H)'!$C$1:$CR$399,150,FALSE)</f>
        <v>#N/A</v>
      </c>
      <c r="F8" s="297">
        <v>0</v>
      </c>
      <c r="G8" s="747">
        <f>IF(F8&lt;0,"Note: Number is normally positive.",)</f>
        <v>0</v>
      </c>
      <c r="H8" s="748"/>
      <c r="I8" s="748"/>
      <c r="J8" s="592"/>
      <c r="L8" s="721"/>
      <c r="M8" s="18" t="s">
        <v>833</v>
      </c>
      <c r="N8" s="298"/>
      <c r="Q8" s="297">
        <v>1528687</v>
      </c>
      <c r="Z8" s="108"/>
      <c r="AA8" s="108"/>
      <c r="AB8" s="108"/>
      <c r="AC8" s="108"/>
      <c r="AD8" s="108"/>
      <c r="AE8" s="108"/>
      <c r="AF8" s="108"/>
      <c r="AG8" s="108"/>
      <c r="AH8" s="108"/>
      <c r="AI8" s="108"/>
      <c r="AJ8" s="108"/>
      <c r="AK8" s="108"/>
      <c r="AL8" s="108"/>
      <c r="AM8" s="108"/>
      <c r="AN8" s="108"/>
      <c r="AO8" s="108"/>
      <c r="AP8" s="108"/>
      <c r="AQ8" s="108"/>
      <c r="AR8" s="108"/>
    </row>
    <row r="9" spans="1:44" ht="51" customHeight="1" thickBot="1" x14ac:dyDescent="0.35">
      <c r="A9" s="108">
        <v>385</v>
      </c>
      <c r="B9" s="610" t="s">
        <v>60</v>
      </c>
      <c r="C9" s="652" t="s">
        <v>129</v>
      </c>
      <c r="D9" s="107" t="s">
        <v>130</v>
      </c>
      <c r="E9" s="686" t="e">
        <f>HLOOKUP($D$2,'2020 Data(H)'!$C$1:$CR$399,144,FALSE)-E11</f>
        <v>#N/A</v>
      </c>
      <c r="F9" s="297">
        <v>0</v>
      </c>
      <c r="G9" s="747">
        <f>IF((F7+F8)&gt;F9,"Error: Please review Account numbers (333+500)&gt;385",)</f>
        <v>0</v>
      </c>
      <c r="H9" s="17"/>
      <c r="I9" s="748"/>
      <c r="J9" s="592"/>
      <c r="L9" s="721"/>
      <c r="Q9" s="297">
        <v>4566372</v>
      </c>
      <c r="Z9" s="108"/>
      <c r="AA9" s="108"/>
      <c r="AB9" s="108"/>
      <c r="AC9" s="108"/>
      <c r="AD9" s="108"/>
      <c r="AE9" s="108"/>
      <c r="AF9" s="108"/>
      <c r="AG9" s="108"/>
      <c r="AH9" s="108"/>
      <c r="AI9" s="108"/>
      <c r="AJ9" s="108"/>
      <c r="AK9" s="108"/>
      <c r="AL9" s="108"/>
      <c r="AM9" s="108"/>
      <c r="AN9" s="108"/>
      <c r="AO9" s="108"/>
      <c r="AP9" s="108"/>
      <c r="AQ9" s="108"/>
      <c r="AR9" s="108"/>
    </row>
    <row r="10" spans="1:44" s="18" customFormat="1" ht="90" customHeight="1" thickBot="1" x14ac:dyDescent="0.35">
      <c r="A10" s="108">
        <v>575</v>
      </c>
      <c r="B10" s="652" t="s">
        <v>70</v>
      </c>
      <c r="C10" s="652" t="s">
        <v>129</v>
      </c>
      <c r="D10" s="826" t="s">
        <v>1429</v>
      </c>
      <c r="E10" s="686" t="e">
        <f>HLOOKUP($D$2,'2020 Data(H)'!$C$1:$CR$399,225,FALSE)</f>
        <v>#N/A</v>
      </c>
      <c r="F10" s="297">
        <v>0</v>
      </c>
      <c r="G10" s="747">
        <f>IF(F10&lt;0,"Note: Number is normally positive.",)</f>
        <v>0</v>
      </c>
      <c r="H10" s="750"/>
      <c r="I10" s="751"/>
      <c r="L10" s="721"/>
      <c r="N10" s="298"/>
      <c r="Q10" s="297">
        <v>0</v>
      </c>
      <c r="Z10" s="108"/>
      <c r="AA10" s="108"/>
      <c r="AB10" s="108"/>
      <c r="AC10" s="108"/>
      <c r="AD10" s="108"/>
      <c r="AE10" s="108"/>
      <c r="AF10" s="108"/>
      <c r="AG10" s="108"/>
      <c r="AH10" s="108"/>
      <c r="AI10" s="108"/>
      <c r="AJ10" s="108"/>
      <c r="AK10" s="108"/>
      <c r="AL10" s="108"/>
      <c r="AM10" s="108"/>
      <c r="AN10" s="108"/>
      <c r="AO10" s="108"/>
      <c r="AP10" s="108"/>
      <c r="AQ10" s="108"/>
      <c r="AR10" s="108"/>
    </row>
    <row r="11" spans="1:44" s="18" customFormat="1" ht="93.75" customHeight="1" thickBot="1" x14ac:dyDescent="0.35">
      <c r="A11" s="108">
        <v>576</v>
      </c>
      <c r="B11" s="652" t="s">
        <v>70</v>
      </c>
      <c r="C11" s="652" t="s">
        <v>129</v>
      </c>
      <c r="D11" s="826" t="s">
        <v>1430</v>
      </c>
      <c r="E11" s="686" t="e">
        <f>HLOOKUP($D$2,'2020 Data(H)'!$C$1:$CR$399,226,FALSE)</f>
        <v>#N/A</v>
      </c>
      <c r="F11" s="297">
        <v>0</v>
      </c>
      <c r="G11" s="747">
        <f>IF(F11&lt;0,"Error: Enter as positive.",)</f>
        <v>0</v>
      </c>
      <c r="H11" s="750"/>
      <c r="I11" s="751"/>
      <c r="J11" s="592"/>
      <c r="L11" s="721"/>
      <c r="N11" s="298"/>
      <c r="Q11" s="297">
        <v>0</v>
      </c>
      <c r="Z11" s="108"/>
      <c r="AA11" s="108"/>
      <c r="AB11" s="108"/>
      <c r="AC11" s="108"/>
      <c r="AD11" s="108"/>
      <c r="AE11" s="108"/>
      <c r="AF11" s="108"/>
      <c r="AG11" s="108"/>
      <c r="AH11" s="108"/>
      <c r="AI11" s="108"/>
      <c r="AJ11" s="108"/>
      <c r="AK11" s="108"/>
      <c r="AL11" s="108"/>
      <c r="AM11" s="108"/>
      <c r="AN11" s="108"/>
      <c r="AO11" s="108"/>
      <c r="AP11" s="108"/>
      <c r="AQ11" s="108"/>
      <c r="AR11" s="108"/>
    </row>
    <row r="12" spans="1:44" ht="85.5" customHeight="1" thickBot="1" x14ac:dyDescent="0.35">
      <c r="A12" s="311">
        <v>626</v>
      </c>
      <c r="B12" s="827" t="s">
        <v>851</v>
      </c>
      <c r="C12" s="827" t="s">
        <v>129</v>
      </c>
      <c r="D12" s="342" t="s">
        <v>1431</v>
      </c>
      <c r="E12" s="686" t="e">
        <f>HLOOKUP($D$2,'2020 Data(H)'!$C$1:$CR$399,285,FALSE)-E11</f>
        <v>#N/A</v>
      </c>
      <c r="F12" s="297">
        <v>0</v>
      </c>
      <c r="G12" s="747">
        <f>IF(F12&lt;0,"Error: Enter as positive.",)</f>
        <v>0</v>
      </c>
      <c r="H12" s="752"/>
      <c r="I12" s="752"/>
      <c r="J12" s="592"/>
      <c r="L12" s="721"/>
      <c r="Q12" s="297">
        <v>136667</v>
      </c>
      <c r="Z12" s="311"/>
      <c r="AA12" s="311"/>
      <c r="AB12" s="311"/>
      <c r="AC12" s="311"/>
      <c r="AD12" s="311"/>
      <c r="AE12" s="311"/>
      <c r="AF12" s="311"/>
      <c r="AG12" s="311"/>
      <c r="AH12" s="311"/>
      <c r="AI12" s="311"/>
      <c r="AJ12" s="311"/>
      <c r="AK12" s="311"/>
      <c r="AL12" s="311"/>
      <c r="AM12" s="311"/>
      <c r="AN12" s="311"/>
      <c r="AO12" s="311"/>
      <c r="AP12" s="311"/>
      <c r="AQ12" s="311"/>
      <c r="AR12" s="311"/>
    </row>
    <row r="13" spans="1:44" ht="89.25" customHeight="1" thickBot="1" x14ac:dyDescent="0.35">
      <c r="A13" s="310">
        <v>627</v>
      </c>
      <c r="B13" s="828" t="s">
        <v>722</v>
      </c>
      <c r="C13" s="827" t="s">
        <v>129</v>
      </c>
      <c r="D13" s="342" t="s">
        <v>1432</v>
      </c>
      <c r="E13" s="686" t="e">
        <f>HLOOKUP($D$2,'2020 Data(H)'!$C$1:$CR$399,286,FALSE)</f>
        <v>#N/A</v>
      </c>
      <c r="F13" s="297">
        <v>0</v>
      </c>
      <c r="G13" s="747">
        <f>IF(F13&gt;F12,"Please review account numbers 627 &gt;626",)</f>
        <v>0</v>
      </c>
      <c r="H13" s="752"/>
      <c r="I13" s="752"/>
      <c r="J13" s="592"/>
      <c r="L13" s="721"/>
      <c r="Q13" s="297">
        <v>0</v>
      </c>
      <c r="Z13" s="310"/>
      <c r="AA13" s="310"/>
      <c r="AB13" s="310"/>
      <c r="AC13" s="310"/>
      <c r="AD13" s="310"/>
      <c r="AE13" s="310"/>
      <c r="AF13" s="310"/>
      <c r="AG13" s="310"/>
      <c r="AH13" s="310"/>
      <c r="AI13" s="310"/>
      <c r="AJ13" s="310"/>
      <c r="AK13" s="310"/>
      <c r="AL13" s="310"/>
      <c r="AM13" s="310"/>
      <c r="AN13" s="310"/>
      <c r="AO13" s="310"/>
      <c r="AP13" s="310"/>
      <c r="AQ13" s="310"/>
      <c r="AR13" s="310"/>
    </row>
    <row r="14" spans="1:44" ht="105" customHeight="1" thickBot="1" x14ac:dyDescent="0.35">
      <c r="A14" s="310">
        <v>628</v>
      </c>
      <c r="B14" s="828" t="s">
        <v>722</v>
      </c>
      <c r="C14" s="827" t="s">
        <v>129</v>
      </c>
      <c r="D14" s="342" t="s">
        <v>1433</v>
      </c>
      <c r="E14" s="686" t="e">
        <f>HLOOKUP($D$2,'2020 Data(H)'!$C$1:$CR$399,287,FALSE)</f>
        <v>#N/A</v>
      </c>
      <c r="F14" s="297">
        <v>0</v>
      </c>
      <c r="G14" s="747">
        <f>IF(F14&gt;F12,"Please review account numbers 628 &gt; 626",)</f>
        <v>0</v>
      </c>
      <c r="H14" s="752"/>
      <c r="I14" s="752"/>
      <c r="J14" s="592"/>
      <c r="L14" s="721"/>
      <c r="Q14" s="297">
        <v>56141</v>
      </c>
      <c r="Z14" s="310"/>
      <c r="AA14" s="310"/>
      <c r="AB14" s="310"/>
      <c r="AC14" s="310"/>
      <c r="AD14" s="310"/>
      <c r="AE14" s="310"/>
      <c r="AF14" s="310"/>
      <c r="AG14" s="310"/>
      <c r="AH14" s="310"/>
      <c r="AI14" s="310"/>
      <c r="AJ14" s="310"/>
      <c r="AK14" s="310"/>
      <c r="AL14" s="310"/>
      <c r="AM14" s="310"/>
      <c r="AN14" s="310"/>
      <c r="AO14" s="310"/>
      <c r="AP14" s="310"/>
      <c r="AQ14" s="310"/>
      <c r="AR14" s="310"/>
    </row>
    <row r="15" spans="1:44" ht="95.25" customHeight="1" thickBot="1" x14ac:dyDescent="0.35">
      <c r="A15" s="310">
        <v>629</v>
      </c>
      <c r="B15" s="828" t="s">
        <v>722</v>
      </c>
      <c r="C15" s="827" t="s">
        <v>129</v>
      </c>
      <c r="D15" s="342" t="s">
        <v>1434</v>
      </c>
      <c r="E15" s="686" t="e">
        <f>HLOOKUP($D$2,'2020 Data(H)'!$C$1:$CR$399,288,FALSE)</f>
        <v>#N/A</v>
      </c>
      <c r="F15" s="297">
        <v>0</v>
      </c>
      <c r="G15" s="747">
        <f>IF(F15&gt;F12,"Please review account numbers 629 &gt; 626",)</f>
        <v>0</v>
      </c>
      <c r="H15" s="752"/>
      <c r="I15" s="752"/>
      <c r="J15" s="592"/>
      <c r="L15" s="721"/>
      <c r="Q15" s="297">
        <v>0</v>
      </c>
      <c r="Z15" s="310"/>
      <c r="AA15" s="310"/>
      <c r="AB15" s="310"/>
      <c r="AC15" s="310"/>
      <c r="AD15" s="310"/>
      <c r="AE15" s="310"/>
      <c r="AF15" s="310"/>
      <c r="AG15" s="310"/>
      <c r="AH15" s="310"/>
      <c r="AI15" s="310"/>
      <c r="AJ15" s="310"/>
      <c r="AK15" s="310"/>
      <c r="AL15" s="310"/>
      <c r="AM15" s="310"/>
      <c r="AN15" s="310"/>
      <c r="AO15" s="310"/>
      <c r="AP15" s="310"/>
      <c r="AQ15" s="310"/>
      <c r="AR15" s="310"/>
    </row>
    <row r="16" spans="1:44" ht="69" customHeight="1" thickBot="1" x14ac:dyDescent="0.35">
      <c r="A16" s="310">
        <v>630</v>
      </c>
      <c r="B16" s="828" t="s">
        <v>722</v>
      </c>
      <c r="C16" s="827" t="s">
        <v>129</v>
      </c>
      <c r="D16" s="342" t="s">
        <v>826</v>
      </c>
      <c r="E16" s="686" t="e">
        <f>HLOOKUP($D$2,'2020 Data(H)'!$C$1:$CR$399,289,FALSE)</f>
        <v>#N/A</v>
      </c>
      <c r="F16" s="297">
        <v>0</v>
      </c>
      <c r="G16" s="747">
        <f>IF(F16&gt;F12,"Please review account numbers 630 &gt; 626",)</f>
        <v>0</v>
      </c>
      <c r="H16" s="752"/>
      <c r="I16" s="752"/>
      <c r="J16" s="592"/>
      <c r="L16" s="721"/>
      <c r="Q16" s="297">
        <v>0</v>
      </c>
      <c r="Z16" s="310"/>
      <c r="AA16" s="310"/>
      <c r="AB16" s="310"/>
      <c r="AC16" s="310"/>
      <c r="AD16" s="310"/>
      <c r="AE16" s="310"/>
      <c r="AF16" s="310"/>
      <c r="AG16" s="310"/>
      <c r="AH16" s="310"/>
      <c r="AI16" s="310"/>
      <c r="AJ16" s="310"/>
      <c r="AK16" s="310"/>
      <c r="AL16" s="310"/>
      <c r="AM16" s="310"/>
      <c r="AN16" s="310"/>
      <c r="AO16" s="310"/>
      <c r="AP16" s="310"/>
      <c r="AQ16" s="310"/>
      <c r="AR16" s="310"/>
    </row>
    <row r="17" spans="1:44" ht="95.25" customHeight="1" thickBot="1" x14ac:dyDescent="0.35">
      <c r="A17" s="310">
        <v>631</v>
      </c>
      <c r="B17" s="828" t="s">
        <v>722</v>
      </c>
      <c r="C17" s="827" t="s">
        <v>129</v>
      </c>
      <c r="D17" s="342" t="s">
        <v>1435</v>
      </c>
      <c r="E17" s="686" t="e">
        <f>HLOOKUP($D$2,'2020 Data(H)'!$C$1:$CR$399,290,FALSE)</f>
        <v>#N/A</v>
      </c>
      <c r="F17" s="297">
        <v>0</v>
      </c>
      <c r="G17" s="747">
        <f>IF(F17&gt;F12,"Please review account numbers 631 &gt; 626",)</f>
        <v>0</v>
      </c>
      <c r="H17" s="752"/>
      <c r="I17" s="752"/>
      <c r="J17" s="592"/>
      <c r="L17" s="721"/>
      <c r="Q17" s="297">
        <v>0</v>
      </c>
      <c r="Z17" s="310"/>
      <c r="AA17" s="310"/>
      <c r="AB17" s="310"/>
      <c r="AC17" s="310"/>
      <c r="AD17" s="310"/>
      <c r="AE17" s="310"/>
      <c r="AF17" s="310"/>
      <c r="AG17" s="310"/>
      <c r="AH17" s="310"/>
      <c r="AI17" s="310"/>
      <c r="AJ17" s="310"/>
      <c r="AK17" s="310"/>
      <c r="AL17" s="310"/>
      <c r="AM17" s="310"/>
      <c r="AN17" s="310"/>
      <c r="AO17" s="310"/>
      <c r="AP17" s="310"/>
      <c r="AQ17" s="310"/>
      <c r="AR17" s="310"/>
    </row>
    <row r="18" spans="1:44" ht="111.75" customHeight="1" thickBot="1" x14ac:dyDescent="0.35">
      <c r="A18" s="310">
        <v>632</v>
      </c>
      <c r="B18" s="828" t="s">
        <v>722</v>
      </c>
      <c r="C18" s="827" t="s">
        <v>129</v>
      </c>
      <c r="D18" s="342" t="s">
        <v>1436</v>
      </c>
      <c r="E18" s="686" t="e">
        <f>HLOOKUP($D$2,'2020 Data(H)'!$C$1:$CR$399,291,FALSE)</f>
        <v>#N/A</v>
      </c>
      <c r="F18" s="297">
        <v>0</v>
      </c>
      <c r="G18" s="747">
        <f>IF(F18&gt;F12,"Please review account numbers 632 &gt; 626",)</f>
        <v>0</v>
      </c>
      <c r="H18" s="752"/>
      <c r="I18" s="752"/>
      <c r="J18" s="592"/>
      <c r="L18" s="721"/>
      <c r="Q18" s="297">
        <v>0</v>
      </c>
      <c r="Z18" s="310"/>
      <c r="AA18" s="310"/>
      <c r="AB18" s="310"/>
      <c r="AC18" s="310"/>
      <c r="AD18" s="310"/>
      <c r="AE18" s="310"/>
      <c r="AF18" s="310"/>
      <c r="AG18" s="310"/>
      <c r="AH18" s="310"/>
      <c r="AI18" s="310"/>
      <c r="AJ18" s="310"/>
      <c r="AK18" s="310"/>
      <c r="AL18" s="310"/>
      <c r="AM18" s="310"/>
      <c r="AN18" s="310"/>
      <c r="AO18" s="310"/>
      <c r="AP18" s="310"/>
      <c r="AQ18" s="310"/>
      <c r="AR18" s="310"/>
    </row>
    <row r="19" spans="1:44" ht="55.5" customHeight="1" thickBot="1" x14ac:dyDescent="0.35">
      <c r="A19" s="108">
        <v>338</v>
      </c>
      <c r="B19" s="610" t="s">
        <v>56</v>
      </c>
      <c r="C19" s="652" t="s">
        <v>129</v>
      </c>
      <c r="D19" s="107" t="s">
        <v>131</v>
      </c>
      <c r="E19" s="686" t="e">
        <f>HLOOKUP($D$2,'2020 Data(H)'!$C$1:$CR$399,104,FALSE)</f>
        <v>#N/A</v>
      </c>
      <c r="F19" s="297">
        <v>0</v>
      </c>
      <c r="G19" s="747" t="str">
        <f>IF(F12&gt;F19,"Error: Please review accts 626 &gt; 338","")</f>
        <v/>
      </c>
      <c r="H19" s="17"/>
      <c r="I19" s="748"/>
      <c r="J19" s="592"/>
      <c r="L19" s="721"/>
      <c r="Q19" s="297">
        <v>1131889</v>
      </c>
      <c r="Z19" s="108"/>
      <c r="AA19" s="108"/>
      <c r="AB19" s="108"/>
      <c r="AC19" s="108"/>
      <c r="AD19" s="108"/>
      <c r="AE19" s="108"/>
      <c r="AF19" s="108"/>
      <c r="AG19" s="108"/>
      <c r="AH19" s="108"/>
      <c r="AI19" s="108"/>
      <c r="AJ19" s="108"/>
      <c r="AK19" s="108"/>
      <c r="AL19" s="108"/>
      <c r="AM19" s="108"/>
      <c r="AN19" s="108"/>
      <c r="AO19" s="108"/>
      <c r="AP19" s="108"/>
      <c r="AQ19" s="108"/>
      <c r="AR19" s="108"/>
    </row>
    <row r="20" spans="1:44" ht="89.25" customHeight="1" thickBot="1" x14ac:dyDescent="0.35">
      <c r="A20" s="108">
        <v>335</v>
      </c>
      <c r="B20" s="610" t="s">
        <v>56</v>
      </c>
      <c r="C20" s="652" t="s">
        <v>129</v>
      </c>
      <c r="D20" s="725" t="s">
        <v>1437</v>
      </c>
      <c r="E20" s="686" t="e">
        <f>HLOOKUP($D$2,'2020 Data(H)'!$C$1:$CR$399,101,FALSE)</f>
        <v>#N/A</v>
      </c>
      <c r="F20" s="297">
        <v>0</v>
      </c>
      <c r="G20" s="747">
        <f>IF(F20&lt;0,"Error: Enter as positive.",)</f>
        <v>0</v>
      </c>
      <c r="H20" s="17"/>
      <c r="I20" s="377"/>
      <c r="J20" s="592"/>
      <c r="L20" s="721"/>
      <c r="Q20" s="297">
        <v>0</v>
      </c>
      <c r="Z20" s="108"/>
      <c r="AA20" s="108"/>
      <c r="AB20" s="108"/>
      <c r="AC20" s="108"/>
      <c r="AD20" s="108"/>
      <c r="AE20" s="108"/>
      <c r="AF20" s="108"/>
      <c r="AG20" s="108"/>
      <c r="AH20" s="108"/>
      <c r="AI20" s="108"/>
      <c r="AJ20" s="108"/>
      <c r="AK20" s="108"/>
      <c r="AL20" s="108"/>
      <c r="AM20" s="108"/>
      <c r="AN20" s="108"/>
      <c r="AO20" s="108"/>
      <c r="AP20" s="108"/>
      <c r="AQ20" s="108"/>
      <c r="AR20" s="108"/>
    </row>
    <row r="21" spans="1:44" ht="48.75" customHeight="1" thickBot="1" x14ac:dyDescent="0.35">
      <c r="A21" s="108">
        <v>252</v>
      </c>
      <c r="B21" s="610" t="s">
        <v>56</v>
      </c>
      <c r="C21" s="652" t="s">
        <v>129</v>
      </c>
      <c r="D21" s="107" t="s">
        <v>132</v>
      </c>
      <c r="E21" s="686" t="e">
        <f>HLOOKUP($D$2,'2020 Data(H)'!$C$1:$CR$399,78,FALSE)</f>
        <v>#N/A</v>
      </c>
      <c r="F21" s="297">
        <v>0</v>
      </c>
      <c r="G21" s="753"/>
      <c r="H21" s="17"/>
      <c r="I21" s="79"/>
      <c r="J21" s="592"/>
      <c r="L21" s="721"/>
      <c r="Q21" s="297">
        <v>1656465</v>
      </c>
      <c r="Z21" s="108"/>
      <c r="AA21" s="108"/>
      <c r="AB21" s="108"/>
      <c r="AC21" s="108"/>
      <c r="AD21" s="108"/>
      <c r="AE21" s="108"/>
      <c r="AF21" s="108"/>
      <c r="AG21" s="108"/>
      <c r="AH21" s="108"/>
      <c r="AI21" s="108"/>
      <c r="AJ21" s="108"/>
      <c r="AK21" s="108"/>
      <c r="AL21" s="108"/>
      <c r="AM21" s="108"/>
      <c r="AN21" s="108"/>
      <c r="AO21" s="108"/>
      <c r="AP21" s="108"/>
      <c r="AQ21" s="108"/>
      <c r="AR21" s="108"/>
    </row>
    <row r="22" spans="1:44" ht="43.8" thickBot="1" x14ac:dyDescent="0.35">
      <c r="A22" s="108">
        <v>253</v>
      </c>
      <c r="B22" s="610" t="s">
        <v>56</v>
      </c>
      <c r="C22" s="652" t="s">
        <v>129</v>
      </c>
      <c r="D22" s="107" t="s">
        <v>133</v>
      </c>
      <c r="E22" s="686" t="e">
        <f>HLOOKUP($D$2,'2020 Data(H)'!$C$1:$CR$399,79,FALSE)</f>
        <v>#N/A</v>
      </c>
      <c r="F22" s="297">
        <v>0</v>
      </c>
      <c r="G22" s="747"/>
      <c r="H22" s="17"/>
      <c r="I22" s="79"/>
      <c r="J22" s="592"/>
      <c r="L22" s="721"/>
      <c r="Q22" s="297">
        <v>172269</v>
      </c>
      <c r="Z22" s="108"/>
      <c r="AA22" s="108"/>
      <c r="AB22" s="108"/>
      <c r="AC22" s="108"/>
      <c r="AD22" s="108"/>
      <c r="AE22" s="108"/>
      <c r="AF22" s="108"/>
      <c r="AG22" s="108"/>
      <c r="AH22" s="108"/>
      <c r="AI22" s="108"/>
      <c r="AJ22" s="108"/>
      <c r="AK22" s="108"/>
      <c r="AL22" s="108"/>
      <c r="AM22" s="108"/>
      <c r="AN22" s="108"/>
      <c r="AO22" s="108"/>
      <c r="AP22" s="108"/>
      <c r="AQ22" s="108"/>
      <c r="AR22" s="108"/>
    </row>
    <row r="23" spans="1:44" ht="73.5" customHeight="1" thickBot="1" x14ac:dyDescent="0.35">
      <c r="A23" s="108">
        <v>254</v>
      </c>
      <c r="B23" s="610" t="s">
        <v>56</v>
      </c>
      <c r="C23" s="652" t="s">
        <v>129</v>
      </c>
      <c r="D23" s="107" t="s">
        <v>1438</v>
      </c>
      <c r="E23" s="686" t="e">
        <f>HLOOKUP($D$2,'2020 Data(H)'!$C$1:$CR$399,80,FALSE)</f>
        <v>#N/A</v>
      </c>
      <c r="F23" s="297">
        <v>0</v>
      </c>
      <c r="G23" s="747">
        <f>IF(H23=0,,"Error: Total assets and deferred outflows less total liabilities and deferred inflows do not equal total net position. Account numbers  385-338-252-253-254 = 0.  The amount the formula is off is located in the cell to the right")</f>
        <v>0</v>
      </c>
      <c r="H23" s="750">
        <f>F9-F19-F21-F22-F23</f>
        <v>0</v>
      </c>
      <c r="I23" s="79"/>
      <c r="J23" s="592"/>
      <c r="L23" s="721"/>
      <c r="Q23" s="297">
        <v>1605749</v>
      </c>
      <c r="Z23" s="108"/>
      <c r="AA23" s="108"/>
      <c r="AB23" s="108"/>
      <c r="AC23" s="108"/>
      <c r="AD23" s="108"/>
      <c r="AE23" s="108"/>
      <c r="AF23" s="108"/>
      <c r="AG23" s="108"/>
      <c r="AH23" s="108"/>
      <c r="AI23" s="108"/>
      <c r="AJ23" s="108"/>
      <c r="AK23" s="108"/>
      <c r="AL23" s="108"/>
      <c r="AM23" s="108"/>
      <c r="AN23" s="108"/>
      <c r="AO23" s="108"/>
      <c r="AP23" s="108"/>
      <c r="AQ23" s="108"/>
      <c r="AR23" s="108"/>
    </row>
    <row r="24" spans="1:44" ht="21.75" customHeight="1" thickBot="1" x14ac:dyDescent="0.35">
      <c r="A24" s="108"/>
      <c r="B24" s="858" t="s">
        <v>134</v>
      </c>
      <c r="C24" s="859"/>
      <c r="D24" s="863"/>
      <c r="E24" s="864"/>
      <c r="F24" s="875"/>
      <c r="G24" s="876"/>
      <c r="H24" s="17"/>
      <c r="I24" s="79"/>
      <c r="L24" s="721"/>
      <c r="Z24" s="108"/>
      <c r="AA24" s="108"/>
      <c r="AB24" s="108"/>
      <c r="AC24" s="108"/>
      <c r="AD24" s="108"/>
      <c r="AE24" s="108"/>
      <c r="AF24" s="108"/>
      <c r="AG24" s="108"/>
      <c r="AH24" s="108"/>
      <c r="AI24" s="108"/>
      <c r="AJ24" s="108"/>
      <c r="AK24" s="108"/>
      <c r="AL24" s="108"/>
      <c r="AM24" s="108"/>
      <c r="AN24" s="108"/>
      <c r="AO24" s="108"/>
      <c r="AP24" s="108"/>
      <c r="AQ24" s="108"/>
      <c r="AR24" s="108"/>
    </row>
    <row r="25" spans="1:44" ht="59.25" customHeight="1" thickBot="1" x14ac:dyDescent="0.35">
      <c r="A25" s="108">
        <v>502</v>
      </c>
      <c r="B25" s="610" t="s">
        <v>55</v>
      </c>
      <c r="C25" s="652" t="s">
        <v>136</v>
      </c>
      <c r="D25" s="725" t="s">
        <v>1439</v>
      </c>
      <c r="E25" s="686" t="e">
        <f>HLOOKUP($D$2,'2020 Data(H)'!$C$1:$CR$399,152,FALSE)</f>
        <v>#N/A</v>
      </c>
      <c r="F25" s="297">
        <v>0</v>
      </c>
      <c r="G25" s="747">
        <f>IF(F25&lt;0,"Note: Number is normally positive.",)</f>
        <v>0</v>
      </c>
      <c r="H25" s="17"/>
      <c r="I25" s="79"/>
      <c r="L25" s="721"/>
      <c r="Z25" s="108"/>
      <c r="AA25" s="108"/>
      <c r="AB25" s="108"/>
      <c r="AC25" s="108"/>
      <c r="AD25" s="108"/>
      <c r="AE25" s="108"/>
      <c r="AF25" s="108"/>
      <c r="AG25" s="108"/>
      <c r="AH25" s="108"/>
      <c r="AI25" s="108"/>
      <c r="AJ25" s="108"/>
      <c r="AK25" s="108"/>
      <c r="AL25" s="108"/>
      <c r="AM25" s="108"/>
      <c r="AN25" s="108"/>
      <c r="AO25" s="108"/>
      <c r="AP25" s="108"/>
      <c r="AQ25" s="108"/>
      <c r="AR25" s="108"/>
    </row>
    <row r="26" spans="1:44" ht="59.25" customHeight="1" thickBot="1" x14ac:dyDescent="0.35">
      <c r="A26" s="108">
        <v>503</v>
      </c>
      <c r="B26" s="610" t="s">
        <v>55</v>
      </c>
      <c r="C26" s="652" t="s">
        <v>136</v>
      </c>
      <c r="D26" s="107" t="s">
        <v>135</v>
      </c>
      <c r="E26" s="686" t="e">
        <f>HLOOKUP($D$2,'2020 Data(H)'!$C$1:$CR$399,153,FALSE)</f>
        <v>#N/A</v>
      </c>
      <c r="F26" s="275">
        <v>0</v>
      </c>
      <c r="G26" s="747">
        <f>IF(F26&lt;0,"Note: Number is normally positive.",)</f>
        <v>0</v>
      </c>
      <c r="H26" s="17"/>
      <c r="I26" s="79"/>
      <c r="L26" s="721"/>
      <c r="Z26" s="108"/>
      <c r="AA26" s="108"/>
      <c r="AB26" s="108"/>
      <c r="AC26" s="108"/>
      <c r="AD26" s="108"/>
      <c r="AE26" s="108"/>
      <c r="AF26" s="108"/>
      <c r="AG26" s="108"/>
      <c r="AH26" s="108"/>
      <c r="AI26" s="108"/>
      <c r="AJ26" s="108"/>
      <c r="AK26" s="108"/>
      <c r="AL26" s="108"/>
      <c r="AM26" s="108"/>
      <c r="AN26" s="108"/>
      <c r="AO26" s="108"/>
      <c r="AP26" s="108"/>
      <c r="AQ26" s="108"/>
      <c r="AR26" s="108"/>
    </row>
    <row r="27" spans="1:44" ht="27" customHeight="1" thickBot="1" x14ac:dyDescent="0.35">
      <c r="A27" s="108"/>
      <c r="B27" s="858" t="s">
        <v>137</v>
      </c>
      <c r="C27" s="859"/>
      <c r="D27" s="863"/>
      <c r="E27" s="864"/>
      <c r="F27" s="865"/>
      <c r="G27" s="866"/>
      <c r="H27" s="17"/>
      <c r="I27" s="79"/>
      <c r="L27" s="721"/>
      <c r="Z27" s="108"/>
      <c r="AA27" s="108"/>
      <c r="AB27" s="108"/>
      <c r="AC27" s="108"/>
      <c r="AD27" s="108"/>
      <c r="AE27" s="108"/>
      <c r="AF27" s="108"/>
      <c r="AG27" s="108"/>
      <c r="AH27" s="108"/>
      <c r="AI27" s="108"/>
      <c r="AJ27" s="108"/>
      <c r="AK27" s="108"/>
      <c r="AL27" s="108"/>
      <c r="AM27" s="108"/>
      <c r="AN27" s="108"/>
      <c r="AO27" s="108"/>
      <c r="AP27" s="108"/>
      <c r="AQ27" s="108"/>
      <c r="AR27" s="108"/>
    </row>
    <row r="28" spans="1:44" ht="49.5" customHeight="1" thickBot="1" x14ac:dyDescent="0.35">
      <c r="A28" s="108">
        <v>344</v>
      </c>
      <c r="B28" s="610" t="s">
        <v>56</v>
      </c>
      <c r="C28" s="610" t="s">
        <v>144</v>
      </c>
      <c r="D28" s="107" t="s">
        <v>138</v>
      </c>
      <c r="E28" s="686" t="e">
        <f>HLOOKUP($D$2,'2020 Data(H)'!$C$1:$CR$399,110,FALSE)</f>
        <v>#N/A</v>
      </c>
      <c r="F28" s="297">
        <v>0</v>
      </c>
      <c r="G28" s="747">
        <f t="shared" ref="G28:G35" si="0">IF(F28&lt;0,"Error: Enter as positive.",)</f>
        <v>0</v>
      </c>
      <c r="H28" s="17"/>
      <c r="I28" s="79"/>
      <c r="L28" s="721"/>
      <c r="Z28" s="108"/>
      <c r="AA28" s="108"/>
      <c r="AB28" s="108"/>
      <c r="AC28" s="108"/>
      <c r="AD28" s="108"/>
      <c r="AE28" s="108"/>
      <c r="AF28" s="108"/>
      <c r="AG28" s="108"/>
      <c r="AH28" s="108"/>
      <c r="AI28" s="108"/>
      <c r="AJ28" s="108"/>
      <c r="AK28" s="108"/>
      <c r="AL28" s="108"/>
      <c r="AM28" s="108"/>
      <c r="AN28" s="108"/>
      <c r="AO28" s="108"/>
      <c r="AP28" s="108"/>
      <c r="AQ28" s="108"/>
      <c r="AR28" s="108"/>
    </row>
    <row r="29" spans="1:44" ht="49.5" customHeight="1" thickBot="1" x14ac:dyDescent="0.35">
      <c r="A29" s="108">
        <v>388</v>
      </c>
      <c r="B29" s="610" t="s">
        <v>60</v>
      </c>
      <c r="C29" s="610" t="s">
        <v>144</v>
      </c>
      <c r="D29" s="107" t="s">
        <v>139</v>
      </c>
      <c r="E29" s="686" t="e">
        <f>HLOOKUP($D$2,'2020 Data(H)'!$C$1:$CR$399,147,FALSE)</f>
        <v>#N/A</v>
      </c>
      <c r="F29" s="297">
        <v>0</v>
      </c>
      <c r="G29" s="747">
        <f t="shared" si="0"/>
        <v>0</v>
      </c>
      <c r="H29" s="17"/>
      <c r="I29" s="79"/>
      <c r="J29" s="592"/>
      <c r="L29" s="721"/>
      <c r="Z29" s="108"/>
      <c r="AA29" s="108"/>
      <c r="AB29" s="108"/>
      <c r="AC29" s="108"/>
      <c r="AD29" s="108"/>
      <c r="AE29" s="108"/>
      <c r="AF29" s="108"/>
      <c r="AG29" s="108"/>
      <c r="AH29" s="108"/>
      <c r="AI29" s="108"/>
      <c r="AJ29" s="108"/>
      <c r="AK29" s="108"/>
      <c r="AL29" s="108"/>
      <c r="AM29" s="108"/>
      <c r="AN29" s="108"/>
      <c r="AO29" s="108"/>
      <c r="AP29" s="108"/>
      <c r="AQ29" s="108"/>
      <c r="AR29" s="108"/>
    </row>
    <row r="30" spans="1:44" ht="51.75" customHeight="1" thickBot="1" x14ac:dyDescent="0.35">
      <c r="A30" s="108">
        <v>339</v>
      </c>
      <c r="B30" s="610" t="s">
        <v>56</v>
      </c>
      <c r="C30" s="610" t="s">
        <v>144</v>
      </c>
      <c r="D30" s="107" t="s">
        <v>140</v>
      </c>
      <c r="E30" s="686" t="e">
        <f>HLOOKUP($D$2,'2020 Data(H)'!$C$1:$CR$399,105,FALSE)</f>
        <v>#N/A</v>
      </c>
      <c r="F30" s="297">
        <v>0</v>
      </c>
      <c r="G30" s="747">
        <f t="shared" si="0"/>
        <v>0</v>
      </c>
      <c r="H30" s="17"/>
      <c r="I30" s="79"/>
      <c r="J30" s="592"/>
      <c r="L30" s="721"/>
      <c r="Z30" s="108"/>
      <c r="AA30" s="108"/>
      <c r="AB30" s="108"/>
      <c r="AC30" s="108"/>
      <c r="AD30" s="108"/>
      <c r="AE30" s="108"/>
      <c r="AF30" s="108"/>
      <c r="AG30" s="108"/>
      <c r="AH30" s="108"/>
      <c r="AI30" s="108"/>
      <c r="AJ30" s="108"/>
      <c r="AK30" s="108"/>
      <c r="AL30" s="108"/>
      <c r="AM30" s="108"/>
      <c r="AN30" s="108"/>
      <c r="AO30" s="108"/>
      <c r="AP30" s="108"/>
      <c r="AQ30" s="108"/>
      <c r="AR30" s="108"/>
    </row>
    <row r="31" spans="1:44" ht="50.25" customHeight="1" thickBot="1" x14ac:dyDescent="0.35">
      <c r="A31" s="108">
        <v>504</v>
      </c>
      <c r="B31" s="610" t="s">
        <v>56</v>
      </c>
      <c r="C31" s="610" t="s">
        <v>144</v>
      </c>
      <c r="D31" s="107" t="s">
        <v>141</v>
      </c>
      <c r="E31" s="686" t="e">
        <f>HLOOKUP($D$2,'2020 Data(H)'!$C$1:$CR$399,154,FALSE)</f>
        <v>#N/A</v>
      </c>
      <c r="F31" s="297">
        <v>0</v>
      </c>
      <c r="G31" s="747">
        <f t="shared" si="0"/>
        <v>0</v>
      </c>
      <c r="H31" s="17"/>
      <c r="I31" s="79"/>
      <c r="J31" s="592"/>
      <c r="L31" s="721"/>
      <c r="Z31" s="108"/>
      <c r="AA31" s="108"/>
      <c r="AB31" s="108"/>
      <c r="AC31" s="108"/>
      <c r="AD31" s="108"/>
      <c r="AE31" s="108"/>
      <c r="AF31" s="108"/>
      <c r="AG31" s="108"/>
      <c r="AH31" s="108"/>
      <c r="AI31" s="108"/>
      <c r="AJ31" s="108"/>
      <c r="AK31" s="108"/>
      <c r="AL31" s="108"/>
      <c r="AM31" s="108"/>
      <c r="AN31" s="108"/>
      <c r="AO31" s="108"/>
      <c r="AP31" s="108"/>
      <c r="AQ31" s="108"/>
      <c r="AR31" s="108"/>
    </row>
    <row r="32" spans="1:44" ht="60" customHeight="1" thickBot="1" x14ac:dyDescent="0.35">
      <c r="A32" s="108">
        <v>505</v>
      </c>
      <c r="B32" s="610" t="s">
        <v>56</v>
      </c>
      <c r="C32" s="610" t="s">
        <v>144</v>
      </c>
      <c r="D32" s="705" t="s">
        <v>142</v>
      </c>
      <c r="E32" s="686" t="e">
        <f>HLOOKUP($D$2,'2020 Data(H)'!$C$1:$CR$399,155,FALSE)</f>
        <v>#N/A</v>
      </c>
      <c r="F32" s="297">
        <v>0</v>
      </c>
      <c r="G32" s="747">
        <f t="shared" si="0"/>
        <v>0</v>
      </c>
      <c r="H32" s="17"/>
      <c r="I32" s="79"/>
      <c r="J32" s="592"/>
      <c r="L32" s="721"/>
      <c r="Z32" s="108"/>
      <c r="AA32" s="108"/>
      <c r="AB32" s="108"/>
      <c r="AC32" s="108"/>
      <c r="AD32" s="108"/>
      <c r="AE32" s="108"/>
      <c r="AF32" s="108"/>
      <c r="AG32" s="108"/>
      <c r="AH32" s="108"/>
      <c r="AI32" s="108"/>
      <c r="AJ32" s="108"/>
      <c r="AK32" s="108"/>
      <c r="AL32" s="108"/>
      <c r="AM32" s="108"/>
      <c r="AN32" s="108"/>
      <c r="AO32" s="108"/>
      <c r="AP32" s="108"/>
      <c r="AQ32" s="108"/>
      <c r="AR32" s="108"/>
    </row>
    <row r="33" spans="1:44" ht="67.95" customHeight="1" thickBot="1" x14ac:dyDescent="0.35">
      <c r="A33" s="108">
        <v>341</v>
      </c>
      <c r="B33" s="610" t="s">
        <v>56</v>
      </c>
      <c r="C33" s="610" t="s">
        <v>144</v>
      </c>
      <c r="D33" s="725" t="s">
        <v>1440</v>
      </c>
      <c r="E33" s="686" t="e">
        <f>HLOOKUP($D$2,'2020 Data(H)'!$C$1:$CR$399,107,FALSE)</f>
        <v>#N/A</v>
      </c>
      <c r="F33" s="297">
        <v>0</v>
      </c>
      <c r="G33" s="747">
        <f t="shared" si="0"/>
        <v>0</v>
      </c>
      <c r="H33" s="17"/>
      <c r="I33" s="79"/>
      <c r="J33" s="592"/>
      <c r="L33" s="721"/>
      <c r="Z33" s="108"/>
      <c r="AA33" s="108"/>
      <c r="AB33" s="108"/>
      <c r="AC33" s="108"/>
      <c r="AD33" s="108"/>
      <c r="AE33" s="108"/>
      <c r="AF33" s="108"/>
      <c r="AG33" s="108"/>
      <c r="AH33" s="108"/>
      <c r="AI33" s="108"/>
      <c r="AJ33" s="108"/>
      <c r="AK33" s="108"/>
      <c r="AL33" s="108"/>
      <c r="AM33" s="108"/>
      <c r="AN33" s="108"/>
      <c r="AO33" s="108"/>
      <c r="AP33" s="108"/>
      <c r="AQ33" s="108"/>
      <c r="AR33" s="108"/>
    </row>
    <row r="34" spans="1:44" ht="44.25" customHeight="1" thickBot="1" x14ac:dyDescent="0.35">
      <c r="A34" s="108">
        <v>386</v>
      </c>
      <c r="B34" s="610" t="s">
        <v>56</v>
      </c>
      <c r="C34" s="610" t="s">
        <v>144</v>
      </c>
      <c r="D34" s="107" t="s">
        <v>1441</v>
      </c>
      <c r="E34" s="686" t="e">
        <f>HLOOKUP($D$2,'2020 Data(H)'!$C$1:$CR$399,145,FALSE)</f>
        <v>#N/A</v>
      </c>
      <c r="F34" s="297">
        <v>0</v>
      </c>
      <c r="G34" s="747">
        <f t="shared" si="0"/>
        <v>0</v>
      </c>
      <c r="H34" s="17"/>
      <c r="I34" s="79"/>
      <c r="L34" s="721"/>
      <c r="Z34" s="108"/>
      <c r="AA34" s="108"/>
      <c r="AB34" s="108"/>
      <c r="AC34" s="108"/>
      <c r="AD34" s="108"/>
      <c r="AE34" s="108"/>
      <c r="AF34" s="108"/>
      <c r="AG34" s="108"/>
      <c r="AH34" s="108"/>
      <c r="AI34" s="108"/>
      <c r="AJ34" s="108"/>
      <c r="AK34" s="108"/>
      <c r="AL34" s="108"/>
      <c r="AM34" s="108"/>
      <c r="AN34" s="108"/>
      <c r="AO34" s="108"/>
      <c r="AP34" s="108"/>
      <c r="AQ34" s="108"/>
      <c r="AR34" s="108"/>
    </row>
    <row r="35" spans="1:44" ht="48.75" customHeight="1" thickBot="1" x14ac:dyDescent="0.35">
      <c r="A35" s="108">
        <v>387</v>
      </c>
      <c r="B35" s="610" t="s">
        <v>60</v>
      </c>
      <c r="C35" s="610" t="s">
        <v>144</v>
      </c>
      <c r="D35" s="107" t="s">
        <v>1442</v>
      </c>
      <c r="E35" s="686" t="e">
        <f>HLOOKUP($D$2,'2020 Data(H)'!$C$1:$CR$399,146,FALSE)</f>
        <v>#N/A</v>
      </c>
      <c r="F35" s="297">
        <v>0</v>
      </c>
      <c r="G35" s="747">
        <f t="shared" si="0"/>
        <v>0</v>
      </c>
      <c r="H35" s="17"/>
      <c r="I35" s="79"/>
      <c r="L35" s="721"/>
      <c r="Z35" s="108"/>
      <c r="AA35" s="108"/>
      <c r="AB35" s="108"/>
      <c r="AC35" s="108"/>
      <c r="AD35" s="108"/>
      <c r="AE35" s="108"/>
      <c r="AF35" s="108"/>
      <c r="AG35" s="108"/>
      <c r="AH35" s="108"/>
      <c r="AI35" s="108"/>
      <c r="AJ35" s="108"/>
      <c r="AK35" s="108"/>
      <c r="AL35" s="108"/>
      <c r="AM35" s="108"/>
      <c r="AN35" s="108"/>
      <c r="AO35" s="108"/>
      <c r="AP35" s="108"/>
      <c r="AQ35" s="108"/>
      <c r="AR35" s="108"/>
    </row>
    <row r="36" spans="1:44" ht="92.25" customHeight="1" thickBot="1" x14ac:dyDescent="0.35">
      <c r="A36" s="108">
        <v>389</v>
      </c>
      <c r="B36" s="610" t="s">
        <v>60</v>
      </c>
      <c r="C36" s="610" t="s">
        <v>144</v>
      </c>
      <c r="D36" s="725" t="s">
        <v>1443</v>
      </c>
      <c r="E36" s="686" t="e">
        <f>HLOOKUP($D$2,'2020 Data(H)'!$C$1:$CR$399,148,FALSE)</f>
        <v>#N/A</v>
      </c>
      <c r="F36" s="297">
        <v>0</v>
      </c>
      <c r="G36" s="747"/>
      <c r="H36" s="17"/>
      <c r="I36" s="79"/>
      <c r="J36" s="592"/>
      <c r="L36" s="721"/>
      <c r="Z36" s="108"/>
      <c r="AA36" s="108"/>
      <c r="AB36" s="108"/>
      <c r="AC36" s="108"/>
      <c r="AD36" s="108"/>
      <c r="AE36" s="108"/>
      <c r="AF36" s="108"/>
      <c r="AG36" s="108"/>
      <c r="AH36" s="108"/>
      <c r="AI36" s="108"/>
      <c r="AJ36" s="108"/>
      <c r="AK36" s="108"/>
      <c r="AL36" s="108"/>
      <c r="AM36" s="108"/>
      <c r="AN36" s="108"/>
      <c r="AO36" s="108"/>
      <c r="AP36" s="108"/>
      <c r="AQ36" s="108"/>
      <c r="AR36" s="108"/>
    </row>
    <row r="37" spans="1:44" ht="84.75" customHeight="1" thickBot="1" x14ac:dyDescent="0.35">
      <c r="A37" s="108">
        <v>255</v>
      </c>
      <c r="B37" s="610" t="s">
        <v>56</v>
      </c>
      <c r="C37" s="610" t="s">
        <v>144</v>
      </c>
      <c r="D37" s="725" t="s">
        <v>1444</v>
      </c>
      <c r="E37" s="686" t="e">
        <f>HLOOKUP($D$2,'2020 Data(H)'!$C$1:$CR$399,81,FALSE)</f>
        <v>#N/A</v>
      </c>
      <c r="F37" s="297">
        <v>0</v>
      </c>
      <c r="G37" s="747">
        <f>IF(H37=0,,"Error: Total revenues less total expenses do not equal total change in net position. Account numbers 339+504+505+341+386-387+389-388-255 = 0  The amount the formula is off is located in the cell to the right")</f>
        <v>0</v>
      </c>
      <c r="H37" s="750">
        <f>F30+F31+F32+F33+F34-F35+F36-F29-F37</f>
        <v>0</v>
      </c>
      <c r="I37" s="79"/>
      <c r="J37" s="592"/>
      <c r="L37" s="721"/>
      <c r="Z37" s="108"/>
      <c r="AA37" s="108"/>
      <c r="AB37" s="108"/>
      <c r="AC37" s="108"/>
      <c r="AD37" s="108"/>
      <c r="AE37" s="108"/>
      <c r="AF37" s="108"/>
      <c r="AG37" s="108"/>
      <c r="AH37" s="108"/>
      <c r="AI37" s="108"/>
      <c r="AJ37" s="108"/>
      <c r="AK37" s="108"/>
      <c r="AL37" s="108"/>
      <c r="AM37" s="108"/>
      <c r="AN37" s="108"/>
      <c r="AO37" s="108"/>
      <c r="AP37" s="108"/>
      <c r="AQ37" s="108"/>
      <c r="AR37" s="108"/>
    </row>
    <row r="38" spans="1:44" ht="138" customHeight="1" thickBot="1" x14ac:dyDescent="0.35">
      <c r="A38" s="108">
        <v>376</v>
      </c>
      <c r="B38" s="610" t="s">
        <v>56</v>
      </c>
      <c r="C38" s="610" t="s">
        <v>144</v>
      </c>
      <c r="D38" s="725" t="s">
        <v>1445</v>
      </c>
      <c r="E38" s="686" t="e">
        <f>HLOOKUP($D$2,'2020 Data(H)'!$C$1:$CR$399,135,FALSE)</f>
        <v>#N/A</v>
      </c>
      <c r="F38" s="295">
        <v>0</v>
      </c>
      <c r="G38" s="928" t="e">
        <f>IF(H38=0,,"Error: Beginning Balance does not agree with our records.  Account numbers  252+253+254-255-376-(Prior Year 252+253+254)=0  The amount the formula is off is located in the cell to the right")</f>
        <v>#N/A</v>
      </c>
      <c r="H38" s="754" t="e">
        <f>F21+F22+F23-F37-F38-(E21+E22+E23)</f>
        <v>#N/A</v>
      </c>
      <c r="I38" s="1163" t="s">
        <v>1821</v>
      </c>
      <c r="J38" s="592"/>
      <c r="L38" s="721"/>
      <c r="Z38" s="108"/>
      <c r="AA38" s="108"/>
      <c r="AB38" s="108"/>
      <c r="AC38" s="108"/>
      <c r="AD38" s="108"/>
      <c r="AE38" s="108"/>
      <c r="AF38" s="108"/>
      <c r="AG38" s="108"/>
      <c r="AH38" s="108"/>
      <c r="AI38" s="108"/>
      <c r="AJ38" s="108"/>
      <c r="AK38" s="108"/>
      <c r="AL38" s="108"/>
      <c r="AM38" s="108"/>
      <c r="AN38" s="108"/>
      <c r="AO38" s="108"/>
      <c r="AP38" s="108"/>
      <c r="AQ38" s="108"/>
      <c r="AR38" s="108"/>
    </row>
    <row r="39" spans="1:44" s="18" customFormat="1" ht="141.75" customHeight="1" thickBot="1" x14ac:dyDescent="0.35">
      <c r="A39" s="108">
        <v>597</v>
      </c>
      <c r="B39" s="652" t="s">
        <v>606</v>
      </c>
      <c r="C39" s="652" t="s">
        <v>672</v>
      </c>
      <c r="D39" s="829" t="s">
        <v>1446</v>
      </c>
      <c r="E39" s="686" t="e">
        <f>HLOOKUP($D$2,'2020 Data(H)'!$C$1:$CR$399,256,FALSE)</f>
        <v>#N/A</v>
      </c>
      <c r="F39" s="295">
        <v>0</v>
      </c>
      <c r="G39" s="747">
        <f>IF(F39&lt;0,"Note: Number is normally positive.",)</f>
        <v>0</v>
      </c>
      <c r="H39" s="748"/>
      <c r="I39" s="749"/>
      <c r="J39" s="592"/>
      <c r="L39" s="721"/>
      <c r="N39" s="298"/>
      <c r="Z39" s="108"/>
      <c r="AA39" s="108"/>
      <c r="AB39" s="108"/>
      <c r="AC39" s="108"/>
      <c r="AD39" s="108"/>
      <c r="AE39" s="108"/>
      <c r="AF39" s="108"/>
      <c r="AG39" s="108"/>
      <c r="AH39" s="108"/>
      <c r="AI39" s="108"/>
      <c r="AJ39" s="108"/>
      <c r="AK39" s="108"/>
      <c r="AL39" s="108"/>
      <c r="AM39" s="108"/>
      <c r="AN39" s="108"/>
      <c r="AO39" s="108"/>
      <c r="AP39" s="108"/>
      <c r="AQ39" s="108"/>
      <c r="AR39" s="108"/>
    </row>
    <row r="40" spans="1:44" ht="25.5" customHeight="1" thickBot="1" x14ac:dyDescent="0.35">
      <c r="A40" s="108"/>
      <c r="B40" s="858" t="s">
        <v>605</v>
      </c>
      <c r="C40" s="859"/>
      <c r="D40" s="863"/>
      <c r="E40" s="864"/>
      <c r="F40" s="865"/>
      <c r="G40" s="866"/>
      <c r="H40" s="17"/>
      <c r="I40" s="79"/>
      <c r="L40" s="721"/>
      <c r="Z40" s="108"/>
      <c r="AA40" s="108"/>
      <c r="AB40" s="108"/>
      <c r="AC40" s="108"/>
      <c r="AD40" s="108"/>
      <c r="AE40" s="108"/>
      <c r="AF40" s="108"/>
      <c r="AG40" s="108"/>
      <c r="AH40" s="108"/>
      <c r="AI40" s="108"/>
      <c r="AJ40" s="108"/>
      <c r="AK40" s="108"/>
      <c r="AL40" s="108"/>
      <c r="AM40" s="108"/>
      <c r="AN40" s="108"/>
      <c r="AO40" s="108"/>
      <c r="AP40" s="108"/>
      <c r="AQ40" s="108"/>
      <c r="AR40" s="108"/>
    </row>
    <row r="41" spans="1:44" s="18" customFormat="1" ht="86.25" customHeight="1" thickBot="1" x14ac:dyDescent="0.35">
      <c r="A41" s="108">
        <v>592</v>
      </c>
      <c r="B41" s="652" t="s">
        <v>59</v>
      </c>
      <c r="C41" s="652" t="s">
        <v>607</v>
      </c>
      <c r="D41" s="725" t="s">
        <v>1447</v>
      </c>
      <c r="E41" s="686" t="e">
        <f>HLOOKUP($D$2,'2020 Data(H)'!$C$1:$CR$399,253,FALSE)</f>
        <v>#N/A</v>
      </c>
      <c r="F41" s="755">
        <v>0</v>
      </c>
      <c r="G41" s="747"/>
      <c r="H41" s="748"/>
      <c r="J41" s="592"/>
      <c r="L41" s="721"/>
      <c r="N41" s="298"/>
      <c r="Z41" s="108"/>
      <c r="AA41" s="108"/>
      <c r="AB41" s="108"/>
      <c r="AC41" s="108"/>
      <c r="AD41" s="108"/>
      <c r="AE41" s="108"/>
      <c r="AF41" s="108"/>
      <c r="AG41" s="108"/>
      <c r="AH41" s="108"/>
      <c r="AI41" s="108"/>
      <c r="AJ41" s="108"/>
      <c r="AK41" s="108"/>
      <c r="AL41" s="108"/>
      <c r="AM41" s="108"/>
      <c r="AN41" s="108"/>
      <c r="AO41" s="108"/>
      <c r="AP41" s="108"/>
      <c r="AQ41" s="108"/>
      <c r="AR41" s="108"/>
    </row>
    <row r="42" spans="1:44" s="18" customFormat="1" ht="71.25" customHeight="1" thickBot="1" x14ac:dyDescent="0.35">
      <c r="A42" s="108">
        <v>591</v>
      </c>
      <c r="B42" s="652" t="s">
        <v>59</v>
      </c>
      <c r="C42" s="652" t="s">
        <v>607</v>
      </c>
      <c r="D42" s="107" t="s">
        <v>608</v>
      </c>
      <c r="E42" s="686" t="e">
        <f>HLOOKUP($D$2,'2020 Data(H)'!$C$1:$CR$399,252,FALSE)</f>
        <v>#N/A</v>
      </c>
      <c r="F42" s="755">
        <v>0</v>
      </c>
      <c r="G42" s="747">
        <f>IF(F42&lt;0,"Error: Enter as positive.",)</f>
        <v>0</v>
      </c>
      <c r="H42" s="748"/>
      <c r="J42" s="592"/>
      <c r="L42" s="721"/>
      <c r="N42" s="298"/>
      <c r="Z42" s="108"/>
      <c r="AA42" s="108"/>
      <c r="AB42" s="108"/>
      <c r="AC42" s="108"/>
      <c r="AD42" s="108"/>
      <c r="AE42" s="108"/>
      <c r="AF42" s="108"/>
      <c r="AG42" s="108"/>
      <c r="AH42" s="108"/>
      <c r="AI42" s="108"/>
      <c r="AJ42" s="108"/>
      <c r="AK42" s="108"/>
      <c r="AL42" s="108"/>
      <c r="AM42" s="108"/>
      <c r="AN42" s="108"/>
      <c r="AO42" s="108"/>
      <c r="AP42" s="108"/>
      <c r="AQ42" s="108"/>
      <c r="AR42" s="108"/>
    </row>
    <row r="43" spans="1:44" s="18" customFormat="1" ht="71.25" hidden="1" customHeight="1" thickBot="1" x14ac:dyDescent="0.35">
      <c r="A43" s="108">
        <v>593</v>
      </c>
      <c r="B43" s="652" t="s">
        <v>59</v>
      </c>
      <c r="C43" s="830" t="s">
        <v>607</v>
      </c>
      <c r="D43" s="107" t="s">
        <v>1390</v>
      </c>
      <c r="E43" s="686" t="s">
        <v>1549</v>
      </c>
      <c r="F43" s="755">
        <v>0</v>
      </c>
      <c r="G43" s="747"/>
      <c r="H43" s="748"/>
      <c r="J43" s="592"/>
      <c r="L43" s="721"/>
      <c r="N43" s="298"/>
      <c r="Z43" s="108"/>
      <c r="AA43" s="108"/>
      <c r="AB43" s="108"/>
      <c r="AC43" s="108"/>
      <c r="AD43" s="108"/>
      <c r="AE43" s="108"/>
      <c r="AF43" s="108"/>
      <c r="AG43" s="108"/>
      <c r="AH43" s="108"/>
      <c r="AI43" s="108"/>
      <c r="AJ43" s="108"/>
      <c r="AK43" s="108"/>
      <c r="AL43" s="108"/>
      <c r="AM43" s="108"/>
      <c r="AN43" s="108"/>
      <c r="AO43" s="108"/>
      <c r="AP43" s="108"/>
      <c r="AQ43" s="108"/>
      <c r="AR43" s="108"/>
    </row>
    <row r="44" spans="1:44" s="18" customFormat="1" ht="71.25" hidden="1" customHeight="1" thickBot="1" x14ac:dyDescent="0.35">
      <c r="A44" s="108">
        <v>594</v>
      </c>
      <c r="B44" s="652" t="s">
        <v>59</v>
      </c>
      <c r="C44" s="830" t="s">
        <v>607</v>
      </c>
      <c r="D44" s="107" t="s">
        <v>1391</v>
      </c>
      <c r="E44" s="686" t="s">
        <v>1549</v>
      </c>
      <c r="F44" s="755">
        <v>0</v>
      </c>
      <c r="G44" s="747"/>
      <c r="H44" s="748"/>
      <c r="J44" s="592"/>
      <c r="L44" s="721"/>
      <c r="N44" s="298"/>
      <c r="Z44" s="108"/>
      <c r="AA44" s="108"/>
      <c r="AB44" s="108"/>
      <c r="AC44" s="108"/>
      <c r="AD44" s="108"/>
      <c r="AE44" s="108"/>
      <c r="AF44" s="108"/>
      <c r="AG44" s="108"/>
      <c r="AH44" s="108"/>
      <c r="AI44" s="108"/>
      <c r="AJ44" s="108"/>
      <c r="AK44" s="108"/>
      <c r="AL44" s="108"/>
      <c r="AM44" s="108"/>
      <c r="AN44" s="108"/>
      <c r="AO44" s="108"/>
      <c r="AP44" s="108"/>
      <c r="AQ44" s="108"/>
      <c r="AR44" s="108"/>
    </row>
    <row r="45" spans="1:44" s="18" customFormat="1" ht="27" hidden="1" customHeight="1" thickBot="1" x14ac:dyDescent="0.35">
      <c r="A45" s="108"/>
      <c r="B45" s="858" t="s">
        <v>1553</v>
      </c>
      <c r="C45" s="914"/>
      <c r="D45" s="915"/>
      <c r="E45" s="891"/>
      <c r="F45" s="865"/>
      <c r="G45" s="876"/>
      <c r="H45" s="748"/>
      <c r="J45" s="592"/>
      <c r="L45" s="721"/>
      <c r="N45" s="298"/>
      <c r="Z45" s="108"/>
      <c r="AA45" s="108"/>
      <c r="AB45" s="108"/>
      <c r="AC45" s="108"/>
      <c r="AD45" s="108"/>
      <c r="AE45" s="108"/>
      <c r="AF45" s="108"/>
      <c r="AG45" s="108"/>
      <c r="AH45" s="108"/>
      <c r="AI45" s="108"/>
      <c r="AJ45" s="108"/>
      <c r="AK45" s="108"/>
      <c r="AL45" s="108"/>
      <c r="AM45" s="108"/>
      <c r="AN45" s="108"/>
      <c r="AO45" s="108"/>
      <c r="AP45" s="108"/>
      <c r="AQ45" s="108"/>
      <c r="AR45" s="108"/>
    </row>
    <row r="46" spans="1:44" s="18" customFormat="1" ht="71.25" hidden="1" customHeight="1" thickBot="1" x14ac:dyDescent="0.35">
      <c r="A46" s="108">
        <v>558</v>
      </c>
      <c r="B46" s="652" t="s">
        <v>59</v>
      </c>
      <c r="C46" s="830" t="s">
        <v>1392</v>
      </c>
      <c r="D46" s="107" t="s">
        <v>1397</v>
      </c>
      <c r="E46" s="686" t="e">
        <f>HLOOKUP($D$2,'2020 Data(H)'!$C$1:$CR$399,208,FALSE)</f>
        <v>#N/A</v>
      </c>
      <c r="F46" s="755">
        <v>0</v>
      </c>
      <c r="G46" s="747"/>
      <c r="H46" s="748"/>
      <c r="J46" s="592"/>
      <c r="L46" s="721"/>
      <c r="N46" s="298"/>
      <c r="Z46" s="108"/>
      <c r="AA46" s="108"/>
      <c r="AB46" s="108"/>
      <c r="AC46" s="108"/>
      <c r="AD46" s="108"/>
      <c r="AE46" s="108"/>
      <c r="AF46" s="108"/>
      <c r="AG46" s="108"/>
      <c r="AH46" s="108"/>
      <c r="AI46" s="108"/>
      <c r="AJ46" s="108"/>
      <c r="AK46" s="108"/>
      <c r="AL46" s="108"/>
      <c r="AM46" s="108"/>
      <c r="AN46" s="108"/>
      <c r="AO46" s="108"/>
      <c r="AP46" s="108"/>
      <c r="AQ46" s="108"/>
      <c r="AR46" s="108"/>
    </row>
    <row r="47" spans="1:44" s="18" customFormat="1" ht="71.25" hidden="1" customHeight="1" thickBot="1" x14ac:dyDescent="0.35">
      <c r="A47" s="108">
        <v>559</v>
      </c>
      <c r="B47" s="652" t="s">
        <v>59</v>
      </c>
      <c r="C47" s="830" t="s">
        <v>1392</v>
      </c>
      <c r="D47" s="107" t="s">
        <v>146</v>
      </c>
      <c r="E47" s="686" t="e">
        <f>HLOOKUP($D$2,'2020 Data(H)'!$C$1:$CR$399,209,FALSE)</f>
        <v>#N/A</v>
      </c>
      <c r="F47" s="755">
        <v>0</v>
      </c>
      <c r="G47" s="747"/>
      <c r="H47" s="748"/>
      <c r="J47" s="592"/>
      <c r="L47" s="721"/>
      <c r="N47" s="298"/>
      <c r="Z47" s="108"/>
      <c r="AA47" s="108"/>
      <c r="AB47" s="108"/>
      <c r="AC47" s="108"/>
      <c r="AD47" s="108"/>
      <c r="AE47" s="108"/>
      <c r="AF47" s="108"/>
      <c r="AG47" s="108"/>
      <c r="AH47" s="108"/>
      <c r="AI47" s="108"/>
      <c r="AJ47" s="108"/>
      <c r="AK47" s="108"/>
      <c r="AL47" s="108"/>
      <c r="AM47" s="108"/>
      <c r="AN47" s="108"/>
      <c r="AO47" s="108"/>
      <c r="AP47" s="108"/>
      <c r="AQ47" s="108"/>
      <c r="AR47" s="108"/>
    </row>
    <row r="48" spans="1:44" s="18" customFormat="1" ht="108" hidden="1" customHeight="1" thickBot="1" x14ac:dyDescent="0.35">
      <c r="A48" s="108">
        <v>560</v>
      </c>
      <c r="B48" s="652" t="s">
        <v>59</v>
      </c>
      <c r="C48" s="830" t="s">
        <v>1392</v>
      </c>
      <c r="D48" s="725" t="s">
        <v>1394</v>
      </c>
      <c r="E48" s="686" t="e">
        <f>HLOOKUP($D$2,'2020 Data(H)'!$C$1:$CR$399,210,FALSE)</f>
        <v>#N/A</v>
      </c>
      <c r="F48" s="755">
        <v>0</v>
      </c>
      <c r="G48" s="747"/>
      <c r="H48" s="748"/>
      <c r="J48" s="592"/>
      <c r="L48" s="721"/>
      <c r="N48" s="298"/>
      <c r="Z48" s="108"/>
      <c r="AA48" s="108"/>
      <c r="AB48" s="108"/>
      <c r="AC48" s="108"/>
      <c r="AD48" s="108"/>
      <c r="AE48" s="108"/>
      <c r="AF48" s="108"/>
      <c r="AG48" s="108"/>
      <c r="AH48" s="108"/>
      <c r="AI48" s="108"/>
      <c r="AJ48" s="108"/>
      <c r="AK48" s="108"/>
      <c r="AL48" s="108"/>
      <c r="AM48" s="108"/>
      <c r="AN48" s="108"/>
      <c r="AO48" s="108"/>
      <c r="AP48" s="108"/>
      <c r="AQ48" s="108"/>
      <c r="AR48" s="108"/>
    </row>
    <row r="49" spans="1:44" s="18" customFormat="1" ht="71.25" hidden="1" customHeight="1" thickBot="1" x14ac:dyDescent="0.35">
      <c r="A49" s="108">
        <v>561</v>
      </c>
      <c r="B49" s="652" t="s">
        <v>59</v>
      </c>
      <c r="C49" s="830" t="s">
        <v>1392</v>
      </c>
      <c r="D49" s="725" t="s">
        <v>1395</v>
      </c>
      <c r="E49" s="686" t="e">
        <f>HLOOKUP($D$2,'2020 Data(H)'!$C$1:$CR$399,211,FALSE)</f>
        <v>#N/A</v>
      </c>
      <c r="F49" s="755">
        <v>0</v>
      </c>
      <c r="G49" s="747"/>
      <c r="H49" s="748"/>
      <c r="J49" s="592"/>
      <c r="L49" s="721"/>
      <c r="N49" s="298"/>
      <c r="Z49" s="108"/>
      <c r="AA49" s="108"/>
      <c r="AB49" s="108"/>
      <c r="AC49" s="108"/>
      <c r="AD49" s="108"/>
      <c r="AE49" s="108"/>
      <c r="AF49" s="108"/>
      <c r="AG49" s="108"/>
      <c r="AH49" s="108"/>
      <c r="AI49" s="108"/>
      <c r="AJ49" s="108"/>
      <c r="AK49" s="108"/>
      <c r="AL49" s="108"/>
      <c r="AM49" s="108"/>
      <c r="AN49" s="108"/>
      <c r="AO49" s="108"/>
      <c r="AP49" s="108"/>
      <c r="AQ49" s="108"/>
      <c r="AR49" s="108"/>
    </row>
    <row r="50" spans="1:44" s="18" customFormat="1" ht="122.25" hidden="1" customHeight="1" thickBot="1" x14ac:dyDescent="0.35">
      <c r="A50" s="108">
        <v>563</v>
      </c>
      <c r="B50" s="652" t="s">
        <v>59</v>
      </c>
      <c r="C50" s="830" t="s">
        <v>1392</v>
      </c>
      <c r="D50" s="725" t="s">
        <v>1393</v>
      </c>
      <c r="E50" s="686" t="e">
        <f>HLOOKUP($D$2,'2020 Data(H)'!$C$1:$CR$399,213,FALSE)</f>
        <v>#N/A</v>
      </c>
      <c r="F50" s="755">
        <v>0</v>
      </c>
      <c r="G50" s="747"/>
      <c r="H50" s="748"/>
      <c r="J50" s="592"/>
      <c r="L50" s="721"/>
      <c r="N50" s="298"/>
      <c r="Z50" s="108"/>
      <c r="AA50" s="108"/>
      <c r="AB50" s="108"/>
      <c r="AC50" s="108"/>
      <c r="AD50" s="108"/>
      <c r="AE50" s="108"/>
      <c r="AF50" s="108"/>
      <c r="AG50" s="108"/>
      <c r="AH50" s="108"/>
      <c r="AI50" s="108"/>
      <c r="AJ50" s="108"/>
      <c r="AK50" s="108"/>
      <c r="AL50" s="108"/>
      <c r="AM50" s="108"/>
      <c r="AN50" s="108"/>
      <c r="AO50" s="108"/>
      <c r="AP50" s="108"/>
      <c r="AQ50" s="108"/>
      <c r="AR50" s="108"/>
    </row>
    <row r="51" spans="1:44" s="18" customFormat="1" ht="96.75" hidden="1" customHeight="1" thickBot="1" x14ac:dyDescent="0.35">
      <c r="A51" s="108">
        <v>564</v>
      </c>
      <c r="B51" s="652" t="s">
        <v>59</v>
      </c>
      <c r="C51" s="830" t="s">
        <v>1399</v>
      </c>
      <c r="D51" s="725" t="s">
        <v>1396</v>
      </c>
      <c r="E51" s="686" t="e">
        <f>HLOOKUP($D$2,'2020 Data(H)'!$C$1:$CR$399,214,FALSE)</f>
        <v>#N/A</v>
      </c>
      <c r="F51" s="755">
        <v>0</v>
      </c>
      <c r="G51" s="747"/>
      <c r="H51" s="748"/>
      <c r="J51" s="592"/>
      <c r="L51" s="721"/>
      <c r="N51" s="298"/>
      <c r="Z51" s="108"/>
      <c r="AA51" s="108"/>
      <c r="AB51" s="108"/>
      <c r="AC51" s="108"/>
      <c r="AD51" s="108"/>
      <c r="AE51" s="108"/>
      <c r="AF51" s="108"/>
      <c r="AG51" s="108"/>
      <c r="AH51" s="108"/>
      <c r="AI51" s="108"/>
      <c r="AJ51" s="108"/>
      <c r="AK51" s="108"/>
      <c r="AL51" s="108"/>
      <c r="AM51" s="108"/>
      <c r="AN51" s="108"/>
      <c r="AO51" s="108"/>
      <c r="AP51" s="108"/>
      <c r="AQ51" s="108"/>
      <c r="AR51" s="108"/>
    </row>
    <row r="52" spans="1:44" s="18" customFormat="1" ht="93.75" hidden="1" customHeight="1" thickBot="1" x14ac:dyDescent="0.35">
      <c r="A52" s="108">
        <v>568</v>
      </c>
      <c r="B52" s="652" t="s">
        <v>59</v>
      </c>
      <c r="C52" s="830" t="s">
        <v>1399</v>
      </c>
      <c r="D52" s="725" t="s">
        <v>1398</v>
      </c>
      <c r="E52" s="686" t="e">
        <f>HLOOKUP($D$2,'2020 Data(H)'!$C$1:$CR$399,218,FALSE)</f>
        <v>#N/A</v>
      </c>
      <c r="F52" s="755">
        <v>0</v>
      </c>
      <c r="G52" s="747"/>
      <c r="H52" s="748"/>
      <c r="J52" s="592"/>
      <c r="L52" s="721"/>
      <c r="N52" s="298"/>
      <c r="Z52" s="108"/>
      <c r="AA52" s="108"/>
      <c r="AB52" s="108"/>
      <c r="AC52" s="108"/>
      <c r="AD52" s="108"/>
      <c r="AE52" s="108"/>
      <c r="AF52" s="108"/>
      <c r="AG52" s="108"/>
      <c r="AH52" s="108"/>
      <c r="AI52" s="108"/>
      <c r="AJ52" s="108"/>
      <c r="AK52" s="108"/>
      <c r="AL52" s="108"/>
      <c r="AM52" s="108"/>
      <c r="AN52" s="108"/>
      <c r="AO52" s="108"/>
      <c r="AP52" s="108"/>
      <c r="AQ52" s="108"/>
      <c r="AR52" s="108"/>
    </row>
    <row r="53" spans="1:44" s="18" customFormat="1" ht="100.5" hidden="1" customHeight="1" thickBot="1" x14ac:dyDescent="0.35">
      <c r="A53" s="108">
        <v>565</v>
      </c>
      <c r="B53" s="652" t="s">
        <v>59</v>
      </c>
      <c r="C53" s="830" t="s">
        <v>1399</v>
      </c>
      <c r="D53" s="725" t="s">
        <v>533</v>
      </c>
      <c r="E53" s="686" t="e">
        <f>HLOOKUP($D$2,'2020 Data(H)'!$C$1:$CR$399,215,FALSE)</f>
        <v>#N/A</v>
      </c>
      <c r="F53" s="755">
        <v>0</v>
      </c>
      <c r="G53" s="747"/>
      <c r="H53" s="748"/>
      <c r="J53" s="592"/>
      <c r="L53" s="721"/>
      <c r="N53" s="298"/>
      <c r="Z53" s="108"/>
      <c r="AA53" s="108"/>
      <c r="AB53" s="108"/>
      <c r="AC53" s="108"/>
      <c r="AD53" s="108"/>
      <c r="AE53" s="108"/>
      <c r="AF53" s="108"/>
      <c r="AG53" s="108"/>
      <c r="AH53" s="108"/>
      <c r="AI53" s="108"/>
      <c r="AJ53" s="108"/>
      <c r="AK53" s="108"/>
      <c r="AL53" s="108"/>
      <c r="AM53" s="108"/>
      <c r="AN53" s="108"/>
      <c r="AO53" s="108"/>
      <c r="AP53" s="108"/>
      <c r="AQ53" s="108"/>
      <c r="AR53" s="108"/>
    </row>
    <row r="54" spans="1:44" s="18" customFormat="1" ht="98.25" hidden="1" customHeight="1" thickBot="1" x14ac:dyDescent="0.35">
      <c r="A54" s="108">
        <v>566</v>
      </c>
      <c r="B54" s="652" t="s">
        <v>59</v>
      </c>
      <c r="C54" s="830" t="s">
        <v>1399</v>
      </c>
      <c r="D54" s="725" t="s">
        <v>535</v>
      </c>
      <c r="E54" s="686" t="e">
        <f>HLOOKUP($D$2,'2020 Data(H)'!$C$1:$CR$399,216,FALSE)</f>
        <v>#N/A</v>
      </c>
      <c r="F54" s="755">
        <v>0</v>
      </c>
      <c r="G54" s="747"/>
      <c r="H54" s="748"/>
      <c r="J54" s="592"/>
      <c r="L54" s="721"/>
      <c r="N54" s="298"/>
      <c r="Z54" s="108"/>
      <c r="AA54" s="108"/>
      <c r="AB54" s="108"/>
      <c r="AC54" s="108"/>
      <c r="AD54" s="108"/>
      <c r="AE54" s="108"/>
      <c r="AF54" s="108"/>
      <c r="AG54" s="108"/>
      <c r="AH54" s="108"/>
      <c r="AI54" s="108"/>
      <c r="AJ54" s="108"/>
      <c r="AK54" s="108"/>
      <c r="AL54" s="108"/>
      <c r="AM54" s="108"/>
      <c r="AN54" s="108"/>
      <c r="AO54" s="108"/>
      <c r="AP54" s="108"/>
      <c r="AQ54" s="108"/>
      <c r="AR54" s="108"/>
    </row>
    <row r="55" spans="1:44" s="18" customFormat="1" ht="111" hidden="1" customHeight="1" thickBot="1" x14ac:dyDescent="0.35">
      <c r="A55" s="108">
        <v>567</v>
      </c>
      <c r="B55" s="652" t="s">
        <v>59</v>
      </c>
      <c r="C55" s="830" t="s">
        <v>1399</v>
      </c>
      <c r="D55" s="725" t="s">
        <v>1391</v>
      </c>
      <c r="E55" s="686" t="e">
        <f>HLOOKUP($D$2,'2020 Data(H)'!$C$1:$CR$399,217,FALSE)</f>
        <v>#N/A</v>
      </c>
      <c r="F55" s="755">
        <v>0</v>
      </c>
      <c r="G55" s="747"/>
      <c r="H55" s="748"/>
      <c r="J55" s="592"/>
      <c r="L55" s="721"/>
      <c r="N55" s="298"/>
      <c r="Z55" s="108"/>
      <c r="AA55" s="108"/>
      <c r="AB55" s="108"/>
      <c r="AC55" s="108"/>
      <c r="AD55" s="108"/>
      <c r="AE55" s="108"/>
      <c r="AF55" s="108"/>
      <c r="AG55" s="108"/>
      <c r="AH55" s="108"/>
      <c r="AI55" s="108"/>
      <c r="AJ55" s="108"/>
      <c r="AK55" s="108"/>
      <c r="AL55" s="108"/>
      <c r="AM55" s="108"/>
      <c r="AN55" s="108"/>
      <c r="AO55" s="108"/>
      <c r="AP55" s="108"/>
      <c r="AQ55" s="108"/>
      <c r="AR55" s="108"/>
    </row>
    <row r="56" spans="1:44" s="18" customFormat="1" ht="71.25" hidden="1" customHeight="1" thickBot="1" x14ac:dyDescent="0.35">
      <c r="A56" s="108">
        <v>562</v>
      </c>
      <c r="B56" s="652" t="s">
        <v>59</v>
      </c>
      <c r="C56" s="830" t="s">
        <v>13</v>
      </c>
      <c r="D56" s="124" t="s">
        <v>1400</v>
      </c>
      <c r="E56" s="686" t="e">
        <f>HLOOKUP($D$2,'2020 Data(H)'!$C$1:$CR$399,212,FALSE)</f>
        <v>#N/A</v>
      </c>
      <c r="F56" s="755">
        <v>0</v>
      </c>
      <c r="G56" s="747"/>
      <c r="H56" s="748"/>
      <c r="J56" s="592"/>
      <c r="L56" s="721"/>
      <c r="N56" s="298"/>
      <c r="Z56" s="108"/>
      <c r="AA56" s="108"/>
      <c r="AB56" s="108"/>
      <c r="AC56" s="108"/>
      <c r="AD56" s="108"/>
      <c r="AE56" s="108"/>
      <c r="AF56" s="108"/>
      <c r="AG56" s="108"/>
      <c r="AH56" s="108"/>
      <c r="AI56" s="108"/>
      <c r="AJ56" s="108"/>
      <c r="AK56" s="108"/>
      <c r="AL56" s="108"/>
      <c r="AM56" s="108"/>
      <c r="AN56" s="108"/>
      <c r="AO56" s="108"/>
      <c r="AP56" s="108"/>
      <c r="AQ56" s="108"/>
      <c r="AR56" s="108"/>
    </row>
    <row r="57" spans="1:44" s="18" customFormat="1" ht="71.25" hidden="1" customHeight="1" thickBot="1" x14ac:dyDescent="0.35">
      <c r="A57" s="108">
        <v>569</v>
      </c>
      <c r="B57" s="652" t="s">
        <v>59</v>
      </c>
      <c r="C57" s="830" t="s">
        <v>13</v>
      </c>
      <c r="D57" s="725" t="s">
        <v>1401</v>
      </c>
      <c r="E57" s="686" t="e">
        <f>HLOOKUP($D$2,'2020 Data(H)'!$C$1:$CR$399,219,FALSE)</f>
        <v>#N/A</v>
      </c>
      <c r="F57" s="755">
        <v>0</v>
      </c>
      <c r="G57" s="747"/>
      <c r="H57" s="748"/>
      <c r="J57" s="592"/>
      <c r="L57" s="721"/>
      <c r="N57" s="298"/>
      <c r="Z57" s="108"/>
      <c r="AA57" s="108"/>
      <c r="AB57" s="108"/>
      <c r="AC57" s="108"/>
      <c r="AD57" s="108"/>
      <c r="AE57" s="108"/>
      <c r="AF57" s="108"/>
      <c r="AG57" s="108"/>
      <c r="AH57" s="108"/>
      <c r="AI57" s="108"/>
      <c r="AJ57" s="108"/>
      <c r="AK57" s="108"/>
      <c r="AL57" s="108"/>
      <c r="AM57" s="108"/>
      <c r="AN57" s="108"/>
      <c r="AO57" s="108"/>
      <c r="AP57" s="108"/>
      <c r="AQ57" s="108"/>
      <c r="AR57" s="108"/>
    </row>
    <row r="58" spans="1:44" ht="27" customHeight="1" thickBot="1" x14ac:dyDescent="0.35">
      <c r="A58" s="108"/>
      <c r="B58" s="858" t="s">
        <v>145</v>
      </c>
      <c r="C58" s="859"/>
      <c r="D58" s="867"/>
      <c r="E58" s="864"/>
      <c r="F58" s="868"/>
      <c r="G58" s="869"/>
      <c r="H58" s="17"/>
      <c r="I58" s="79"/>
      <c r="L58" s="721"/>
      <c r="Z58" s="108"/>
      <c r="AA58" s="108"/>
      <c r="AB58" s="108"/>
      <c r="AC58" s="108"/>
      <c r="AD58" s="108"/>
      <c r="AE58" s="108"/>
      <c r="AF58" s="108"/>
      <c r="AG58" s="108"/>
      <c r="AH58" s="108"/>
      <c r="AI58" s="108"/>
      <c r="AJ58" s="108"/>
      <c r="AK58" s="108"/>
      <c r="AL58" s="108"/>
      <c r="AM58" s="108"/>
      <c r="AN58" s="108"/>
      <c r="AO58" s="108"/>
      <c r="AP58" s="108"/>
      <c r="AQ58" s="108"/>
      <c r="AR58" s="108"/>
    </row>
    <row r="59" spans="1:44" s="18" customFormat="1" ht="55.5" customHeight="1" thickBot="1" x14ac:dyDescent="0.35">
      <c r="A59" s="108">
        <v>506</v>
      </c>
      <c r="B59" s="831" t="s">
        <v>55</v>
      </c>
      <c r="C59" s="831" t="s">
        <v>149</v>
      </c>
      <c r="D59" s="107" t="s">
        <v>1448</v>
      </c>
      <c r="E59" s="944" t="e">
        <f>HLOOKUP($D$2,'2020 Data(H)'!$C$1:$CR$399,156,FALSE)</f>
        <v>#N/A</v>
      </c>
      <c r="F59" s="297">
        <v>0</v>
      </c>
      <c r="G59" s="747">
        <f>IF(F59&lt;0,"Note: Number is normally positive.",)</f>
        <v>0</v>
      </c>
      <c r="H59" s="748"/>
      <c r="I59" s="79"/>
      <c r="J59" s="592"/>
      <c r="L59" s="721"/>
      <c r="N59" s="298"/>
      <c r="Z59" s="108"/>
      <c r="AA59" s="108"/>
      <c r="AB59" s="108"/>
      <c r="AC59" s="108"/>
      <c r="AD59" s="108"/>
      <c r="AE59" s="108"/>
      <c r="AF59" s="108"/>
      <c r="AG59" s="108"/>
      <c r="AH59" s="108"/>
      <c r="AI59" s="108"/>
      <c r="AJ59" s="108"/>
      <c r="AK59" s="108"/>
      <c r="AL59" s="108"/>
      <c r="AM59" s="108"/>
      <c r="AN59" s="108"/>
      <c r="AO59" s="108"/>
      <c r="AP59" s="108"/>
      <c r="AQ59" s="108"/>
      <c r="AR59" s="108"/>
    </row>
    <row r="60" spans="1:44" s="18" customFormat="1" ht="45.75" customHeight="1" thickBot="1" x14ac:dyDescent="0.35">
      <c r="A60" s="108">
        <v>536</v>
      </c>
      <c r="B60" s="831" t="s">
        <v>55</v>
      </c>
      <c r="C60" s="831" t="s">
        <v>149</v>
      </c>
      <c r="D60" s="107" t="s">
        <v>146</v>
      </c>
      <c r="E60" s="686" t="e">
        <f>HLOOKUP($D$2,'2020 Data(H)'!$C$1:$CR$399,186,FALSE)</f>
        <v>#N/A</v>
      </c>
      <c r="F60" s="297">
        <v>0</v>
      </c>
      <c r="G60" s="747">
        <f>IF(F60&lt;0,"Note: Number is normally positive.",)</f>
        <v>0</v>
      </c>
      <c r="H60" s="748"/>
      <c r="I60" s="749"/>
      <c r="J60" s="592"/>
      <c r="L60" s="721"/>
      <c r="N60" s="298"/>
      <c r="Z60" s="108"/>
      <c r="AA60" s="108"/>
      <c r="AB60" s="108"/>
      <c r="AC60" s="108"/>
      <c r="AD60" s="108"/>
      <c r="AE60" s="108"/>
      <c r="AF60" s="108"/>
      <c r="AG60" s="108"/>
      <c r="AH60" s="108"/>
      <c r="AI60" s="108"/>
      <c r="AJ60" s="108"/>
      <c r="AK60" s="108"/>
      <c r="AL60" s="108"/>
      <c r="AM60" s="108"/>
      <c r="AN60" s="108"/>
      <c r="AO60" s="108"/>
      <c r="AP60" s="108"/>
      <c r="AQ60" s="108"/>
      <c r="AR60" s="108"/>
    </row>
    <row r="61" spans="1:44" s="18" customFormat="1" ht="51.75" customHeight="1" thickBot="1" x14ac:dyDescent="0.35">
      <c r="A61" s="108">
        <v>586</v>
      </c>
      <c r="B61" s="831" t="s">
        <v>59</v>
      </c>
      <c r="C61" s="831" t="s">
        <v>149</v>
      </c>
      <c r="D61" s="697" t="s">
        <v>561</v>
      </c>
      <c r="E61" s="686" t="e">
        <f>HLOOKUP($D$2,'2020 Data(H)'!$C$1:$CR$399,236,FALSE)</f>
        <v>#N/A</v>
      </c>
      <c r="F61" s="297">
        <v>0</v>
      </c>
      <c r="G61" s="747">
        <f>IF(F61&lt;0,"Note: Number is normally positive.",)</f>
        <v>0</v>
      </c>
      <c r="H61" s="748"/>
      <c r="I61" s="749"/>
      <c r="L61" s="721"/>
      <c r="N61" s="298"/>
      <c r="Z61" s="108"/>
      <c r="AA61" s="108"/>
      <c r="AB61" s="108"/>
      <c r="AC61" s="108"/>
      <c r="AD61" s="108"/>
      <c r="AE61" s="108"/>
      <c r="AF61" s="108"/>
      <c r="AG61" s="108"/>
      <c r="AH61" s="108"/>
      <c r="AI61" s="108"/>
      <c r="AJ61" s="108"/>
      <c r="AK61" s="108"/>
      <c r="AL61" s="108"/>
      <c r="AM61" s="108"/>
      <c r="AN61" s="108"/>
      <c r="AO61" s="108"/>
      <c r="AP61" s="108"/>
      <c r="AQ61" s="108"/>
      <c r="AR61" s="108"/>
    </row>
    <row r="62" spans="1:44" ht="37.5" customHeight="1" thickBot="1" x14ac:dyDescent="0.35">
      <c r="A62" s="108">
        <v>379</v>
      </c>
      <c r="B62" s="831" t="s">
        <v>60</v>
      </c>
      <c r="C62" s="831" t="s">
        <v>149</v>
      </c>
      <c r="D62" s="107" t="s">
        <v>130</v>
      </c>
      <c r="E62" s="686" t="e">
        <f>HLOOKUP($D$2,'2020 Data(H)'!$C$1:$CR$399,138,FALSE)</f>
        <v>#N/A</v>
      </c>
      <c r="F62" s="297">
        <v>0</v>
      </c>
      <c r="G62" s="747">
        <f>IF((F59+F60)&gt;F62,"Error: Please review account numbers (506+536)&gt;379",)</f>
        <v>0</v>
      </c>
      <c r="H62" s="17"/>
      <c r="I62" s="79"/>
      <c r="J62" s="592"/>
      <c r="L62" s="721"/>
      <c r="Z62" s="108"/>
      <c r="AA62" s="108"/>
      <c r="AB62" s="108"/>
      <c r="AC62" s="108"/>
      <c r="AD62" s="108"/>
      <c r="AE62" s="108"/>
      <c r="AF62" s="108"/>
      <c r="AG62" s="108"/>
      <c r="AH62" s="108"/>
      <c r="AI62" s="108"/>
      <c r="AJ62" s="108"/>
      <c r="AK62" s="108"/>
      <c r="AL62" s="108"/>
      <c r="AM62" s="108"/>
      <c r="AN62" s="108"/>
      <c r="AO62" s="108"/>
      <c r="AP62" s="108"/>
      <c r="AQ62" s="108"/>
      <c r="AR62" s="108"/>
    </row>
    <row r="63" spans="1:44" ht="93" customHeight="1" thickBot="1" x14ac:dyDescent="0.35">
      <c r="A63" s="108">
        <v>368</v>
      </c>
      <c r="B63" s="831" t="s">
        <v>69</v>
      </c>
      <c r="C63" s="831" t="s">
        <v>149</v>
      </c>
      <c r="D63" s="725" t="s">
        <v>1449</v>
      </c>
      <c r="E63" s="686" t="e">
        <f>HLOOKUP($D$2,'2020 Data(H)'!$C$1:$CR$399,129,FALSE)</f>
        <v>#N/A</v>
      </c>
      <c r="F63" s="297">
        <v>0</v>
      </c>
      <c r="G63" s="747">
        <f t="shared" ref="G63:G69" si="1">IF(F63&lt;0,"Error: Enter as positive.",)</f>
        <v>0</v>
      </c>
      <c r="H63" s="17"/>
      <c r="I63" s="748"/>
      <c r="J63" s="592"/>
      <c r="L63" s="721"/>
      <c r="Z63" s="108"/>
      <c r="AA63" s="108"/>
      <c r="AB63" s="108"/>
      <c r="AC63" s="108"/>
      <c r="AD63" s="108"/>
      <c r="AE63" s="108"/>
      <c r="AF63" s="108"/>
      <c r="AG63" s="108"/>
      <c r="AH63" s="108"/>
      <c r="AI63" s="108"/>
      <c r="AJ63" s="108"/>
      <c r="AK63" s="108"/>
      <c r="AL63" s="108"/>
      <c r="AM63" s="108"/>
      <c r="AN63" s="108"/>
      <c r="AO63" s="108"/>
      <c r="AP63" s="108"/>
      <c r="AQ63" s="108"/>
      <c r="AR63" s="108"/>
    </row>
    <row r="64" spans="1:44" ht="99.75" customHeight="1" thickBot="1" x14ac:dyDescent="0.35">
      <c r="A64" s="108">
        <v>4</v>
      </c>
      <c r="B64" s="831" t="s">
        <v>55</v>
      </c>
      <c r="C64" s="831" t="s">
        <v>149</v>
      </c>
      <c r="D64" s="309" t="s">
        <v>1450</v>
      </c>
      <c r="E64" s="686" t="e">
        <f>HLOOKUP($D$2,'2020 Data(H)'!$C$1:$CR$399,3,FALSE)</f>
        <v>#N/A</v>
      </c>
      <c r="F64" s="297">
        <v>0</v>
      </c>
      <c r="G64" s="747">
        <f t="shared" si="1"/>
        <v>0</v>
      </c>
      <c r="H64" s="17"/>
      <c r="I64" s="79"/>
      <c r="J64" s="592"/>
      <c r="L64" s="721"/>
      <c r="Z64" s="108"/>
      <c r="AA64" s="108"/>
      <c r="AB64" s="108"/>
      <c r="AC64" s="108"/>
      <c r="AD64" s="108"/>
      <c r="AE64" s="108"/>
      <c r="AF64" s="108"/>
      <c r="AG64" s="108"/>
      <c r="AH64" s="108"/>
      <c r="AI64" s="108"/>
      <c r="AJ64" s="108"/>
      <c r="AK64" s="108"/>
      <c r="AL64" s="108"/>
      <c r="AM64" s="108"/>
      <c r="AN64" s="108"/>
      <c r="AO64" s="108"/>
      <c r="AP64" s="108"/>
      <c r="AQ64" s="108"/>
      <c r="AR64" s="108"/>
    </row>
    <row r="65" spans="1:44" ht="132" customHeight="1" thickBot="1" x14ac:dyDescent="0.35">
      <c r="A65" s="108">
        <v>5</v>
      </c>
      <c r="B65" s="831" t="s">
        <v>55</v>
      </c>
      <c r="C65" s="831" t="s">
        <v>149</v>
      </c>
      <c r="D65" s="339" t="s">
        <v>1451</v>
      </c>
      <c r="E65" s="686" t="e">
        <f>HLOOKUP($D$2,'2020 Data(H)'!$C$1:$CR$399,4,FALSE)</f>
        <v>#N/A</v>
      </c>
      <c r="F65" s="297">
        <v>0</v>
      </c>
      <c r="G65" s="747">
        <f t="shared" si="1"/>
        <v>0</v>
      </c>
      <c r="H65" s="17"/>
      <c r="I65" s="79"/>
      <c r="J65" s="592"/>
      <c r="L65" s="721"/>
      <c r="Z65" s="108"/>
      <c r="AA65" s="108"/>
      <c r="AB65" s="108"/>
      <c r="AC65" s="108"/>
      <c r="AD65" s="108"/>
      <c r="AE65" s="108"/>
      <c r="AF65" s="108"/>
      <c r="AG65" s="108"/>
      <c r="AH65" s="108"/>
      <c r="AI65" s="108"/>
      <c r="AJ65" s="108"/>
      <c r="AK65" s="108"/>
      <c r="AL65" s="108"/>
      <c r="AM65" s="108"/>
      <c r="AN65" s="108"/>
      <c r="AO65" s="108"/>
      <c r="AP65" s="108"/>
      <c r="AQ65" s="108"/>
      <c r="AR65" s="108"/>
    </row>
    <row r="66" spans="1:44" ht="93.75" customHeight="1" thickBot="1" x14ac:dyDescent="0.35">
      <c r="A66" s="108">
        <v>380</v>
      </c>
      <c r="B66" s="831" t="s">
        <v>60</v>
      </c>
      <c r="C66" s="831" t="s">
        <v>149</v>
      </c>
      <c r="D66" s="339" t="s">
        <v>1452</v>
      </c>
      <c r="E66" s="686" t="e">
        <f>HLOOKUP($D$2,'2020 Data(H)'!$C$1:$CR$399,139,FALSE)</f>
        <v>#N/A</v>
      </c>
      <c r="F66" s="297">
        <v>0</v>
      </c>
      <c r="G66" s="747">
        <f t="shared" si="1"/>
        <v>0</v>
      </c>
      <c r="H66" s="17"/>
      <c r="I66" s="79"/>
      <c r="J66" s="592"/>
      <c r="L66" s="721"/>
      <c r="Z66" s="108"/>
      <c r="AA66" s="108"/>
      <c r="AB66" s="108"/>
      <c r="AC66" s="108"/>
      <c r="AD66" s="108"/>
      <c r="AE66" s="108"/>
      <c r="AF66" s="108"/>
      <c r="AG66" s="108"/>
      <c r="AH66" s="108"/>
      <c r="AI66" s="108"/>
      <c r="AJ66" s="108"/>
      <c r="AK66" s="108"/>
      <c r="AL66" s="108"/>
      <c r="AM66" s="108"/>
      <c r="AN66" s="108"/>
      <c r="AO66" s="108"/>
      <c r="AP66" s="108"/>
      <c r="AQ66" s="108"/>
      <c r="AR66" s="108"/>
    </row>
    <row r="67" spans="1:44" ht="48.75" customHeight="1" thickBot="1" x14ac:dyDescent="0.35">
      <c r="A67" s="108">
        <v>391</v>
      </c>
      <c r="B67" s="831" t="s">
        <v>69</v>
      </c>
      <c r="C67" s="831" t="s">
        <v>149</v>
      </c>
      <c r="D67" s="107" t="s">
        <v>147</v>
      </c>
      <c r="E67" s="686" t="e">
        <f>HLOOKUP($D$2,'2020 Data(H)'!$C$1:$CR$399,149,FALSE)</f>
        <v>#N/A</v>
      </c>
      <c r="F67" s="297">
        <v>0</v>
      </c>
      <c r="G67" s="747">
        <f t="shared" si="1"/>
        <v>0</v>
      </c>
      <c r="H67" s="17"/>
      <c r="I67" s="79"/>
      <c r="J67" s="592"/>
      <c r="L67" s="721"/>
      <c r="Z67" s="108"/>
      <c r="AA67" s="108"/>
      <c r="AB67" s="108"/>
      <c r="AC67" s="108"/>
      <c r="AD67" s="108"/>
      <c r="AE67" s="108"/>
      <c r="AF67" s="108"/>
      <c r="AG67" s="108"/>
      <c r="AH67" s="108"/>
      <c r="AI67" s="108"/>
      <c r="AJ67" s="108"/>
      <c r="AK67" s="108"/>
      <c r="AL67" s="108"/>
      <c r="AM67" s="108"/>
      <c r="AN67" s="108"/>
      <c r="AO67" s="108"/>
      <c r="AP67" s="108"/>
      <c r="AQ67" s="108"/>
      <c r="AR67" s="108"/>
    </row>
    <row r="68" spans="1:44" ht="51.75" customHeight="1" thickBot="1" x14ac:dyDescent="0.35">
      <c r="A68" s="108">
        <v>7</v>
      </c>
      <c r="B68" s="831" t="s">
        <v>69</v>
      </c>
      <c r="C68" s="831" t="s">
        <v>149</v>
      </c>
      <c r="D68" s="107" t="s">
        <v>148</v>
      </c>
      <c r="E68" s="686" t="e">
        <f>HLOOKUP($D$2,'2020 Data(H)'!$C$1:$CR$399,6,FALSE)</f>
        <v>#N/A</v>
      </c>
      <c r="F68" s="297">
        <v>0</v>
      </c>
      <c r="G68" s="747">
        <f t="shared" si="1"/>
        <v>0</v>
      </c>
      <c r="H68" s="17"/>
      <c r="I68" s="79"/>
      <c r="J68" s="592"/>
      <c r="L68" s="721"/>
      <c r="Z68" s="108"/>
      <c r="AA68" s="108"/>
      <c r="AB68" s="108"/>
      <c r="AC68" s="108"/>
      <c r="AD68" s="108"/>
      <c r="AE68" s="108"/>
      <c r="AF68" s="108"/>
      <c r="AG68" s="108"/>
      <c r="AH68" s="108"/>
      <c r="AI68" s="108"/>
      <c r="AJ68" s="108"/>
      <c r="AK68" s="108"/>
      <c r="AL68" s="108"/>
      <c r="AM68" s="108"/>
      <c r="AN68" s="108"/>
      <c r="AO68" s="108"/>
      <c r="AP68" s="108"/>
      <c r="AQ68" s="108"/>
      <c r="AR68" s="108"/>
    </row>
    <row r="69" spans="1:44" ht="78.75" customHeight="1" thickBot="1" x14ac:dyDescent="0.35">
      <c r="A69" s="108">
        <v>11</v>
      </c>
      <c r="B69" s="831" t="s">
        <v>69</v>
      </c>
      <c r="C69" s="831" t="s">
        <v>149</v>
      </c>
      <c r="D69" s="725" t="s">
        <v>1453</v>
      </c>
      <c r="E69" s="686" t="e">
        <f>HLOOKUP($D$2,'2020 Data(H)'!$C$1:$CR$399,8,FALSE)</f>
        <v>#N/A</v>
      </c>
      <c r="F69" s="297">
        <v>0</v>
      </c>
      <c r="G69" s="747">
        <f t="shared" si="1"/>
        <v>0</v>
      </c>
      <c r="H69" s="17"/>
      <c r="I69" s="79"/>
      <c r="J69" s="592"/>
      <c r="L69" s="721"/>
      <c r="Z69" s="108"/>
      <c r="AA69" s="108"/>
      <c r="AB69" s="108"/>
      <c r="AC69" s="108"/>
      <c r="AD69" s="108"/>
      <c r="AE69" s="108"/>
      <c r="AF69" s="108"/>
      <c r="AG69" s="108"/>
      <c r="AH69" s="108"/>
      <c r="AI69" s="108"/>
      <c r="AJ69" s="108"/>
      <c r="AK69" s="108"/>
      <c r="AL69" s="108"/>
      <c r="AM69" s="108"/>
      <c r="AN69" s="108"/>
      <c r="AO69" s="108"/>
      <c r="AP69" s="108"/>
      <c r="AQ69" s="108"/>
      <c r="AR69" s="108"/>
    </row>
    <row r="70" spans="1:44" ht="78.75" customHeight="1" thickBot="1" x14ac:dyDescent="0.35">
      <c r="A70" s="310">
        <v>645</v>
      </c>
      <c r="B70" s="828" t="s">
        <v>722</v>
      </c>
      <c r="C70" s="828" t="s">
        <v>149</v>
      </c>
      <c r="D70" s="720" t="s">
        <v>755</v>
      </c>
      <c r="E70" s="686" t="e">
        <f>HLOOKUP($D$2,'2020 Data(H)'!$C$1:$CR$399,304,FALSE)</f>
        <v>#N/A</v>
      </c>
      <c r="F70" s="297">
        <v>0</v>
      </c>
      <c r="G70" s="747">
        <f>IF(F70&lt;0,"Note: Number is normally positive.",)</f>
        <v>0</v>
      </c>
      <c r="H70" s="748"/>
      <c r="I70" s="749"/>
      <c r="J70" s="592"/>
      <c r="L70" s="721"/>
      <c r="Z70" s="310"/>
      <c r="AA70" s="310"/>
      <c r="AB70" s="310"/>
      <c r="AC70" s="310"/>
      <c r="AD70" s="310"/>
      <c r="AE70" s="310"/>
      <c r="AF70" s="310"/>
      <c r="AG70" s="310"/>
      <c r="AH70" s="310"/>
      <c r="AI70" s="310"/>
      <c r="AJ70" s="310"/>
      <c r="AK70" s="310"/>
      <c r="AL70" s="310"/>
      <c r="AM70" s="310"/>
      <c r="AN70" s="310"/>
      <c r="AO70" s="310"/>
      <c r="AP70" s="310"/>
      <c r="AQ70" s="310"/>
      <c r="AR70" s="310"/>
    </row>
    <row r="71" spans="1:44" ht="78.75" customHeight="1" thickBot="1" x14ac:dyDescent="0.35">
      <c r="A71" s="310">
        <v>646</v>
      </c>
      <c r="B71" s="828" t="s">
        <v>722</v>
      </c>
      <c r="C71" s="828" t="s">
        <v>149</v>
      </c>
      <c r="D71" s="309" t="s">
        <v>723</v>
      </c>
      <c r="E71" s="686" t="e">
        <f>HLOOKUP($D$2,'2020 Data(H)'!$C$1:$CR$399,305,FALSE)</f>
        <v>#N/A</v>
      </c>
      <c r="F71" s="297">
        <v>0</v>
      </c>
      <c r="G71" s="747">
        <f>IF(F71&lt;0,"Note: Number is normally positive.",)</f>
        <v>0</v>
      </c>
      <c r="H71" s="748"/>
      <c r="I71" s="749"/>
      <c r="J71" s="592"/>
      <c r="L71" s="721"/>
      <c r="Z71" s="310"/>
      <c r="AA71" s="310"/>
      <c r="AB71" s="310"/>
      <c r="AC71" s="310"/>
      <c r="AD71" s="310"/>
      <c r="AE71" s="310"/>
      <c r="AF71" s="310"/>
      <c r="AG71" s="310"/>
      <c r="AH71" s="310"/>
      <c r="AI71" s="310"/>
      <c r="AJ71" s="310"/>
      <c r="AK71" s="310"/>
      <c r="AL71" s="310"/>
      <c r="AM71" s="310"/>
      <c r="AN71" s="310"/>
      <c r="AO71" s="310"/>
      <c r="AP71" s="310"/>
      <c r="AQ71" s="310"/>
      <c r="AR71" s="310"/>
    </row>
    <row r="72" spans="1:44" ht="57.75" customHeight="1" thickBot="1" x14ac:dyDescent="0.35">
      <c r="A72" s="108">
        <v>9</v>
      </c>
      <c r="B72" s="831" t="s">
        <v>60</v>
      </c>
      <c r="C72" s="831" t="s">
        <v>149</v>
      </c>
      <c r="D72" s="725" t="s">
        <v>1454</v>
      </c>
      <c r="E72" s="686" t="e">
        <f>HLOOKUP($D$2,'2020 Data(H)'!$C$1:$CR$399,7,FALSE)</f>
        <v>#N/A</v>
      </c>
      <c r="F72" s="297">
        <v>0</v>
      </c>
      <c r="G72" s="747">
        <f>IF(F62-F64-F65-F66-F72=0,,"Error: Total assets less total liabilities do not equal total fund balance. Account numbers 379-4-5-380-9= 0  The amount of the formula is in the cell to the right")</f>
        <v>0</v>
      </c>
      <c r="H72" s="750">
        <f>F62-F64-F65-F66-F72</f>
        <v>0</v>
      </c>
      <c r="I72" s="79"/>
      <c r="J72" s="592"/>
      <c r="L72" s="721"/>
      <c r="Z72" s="108"/>
      <c r="AA72" s="108"/>
      <c r="AB72" s="108"/>
      <c r="AC72" s="108"/>
      <c r="AD72" s="108"/>
      <c r="AE72" s="108"/>
      <c r="AF72" s="108"/>
      <c r="AG72" s="108"/>
      <c r="AH72" s="108"/>
      <c r="AI72" s="108"/>
      <c r="AJ72" s="108"/>
      <c r="AK72" s="108"/>
      <c r="AL72" s="108"/>
      <c r="AM72" s="108"/>
      <c r="AN72" s="108"/>
      <c r="AO72" s="108"/>
      <c r="AP72" s="108"/>
      <c r="AQ72" s="108"/>
      <c r="AR72" s="108"/>
    </row>
    <row r="73" spans="1:44" s="18" customFormat="1" ht="63.75" customHeight="1" thickBot="1" x14ac:dyDescent="0.35">
      <c r="A73" s="108">
        <v>540</v>
      </c>
      <c r="B73" s="652" t="s">
        <v>59</v>
      </c>
      <c r="C73" s="652" t="s">
        <v>1455</v>
      </c>
      <c r="D73" s="107" t="s">
        <v>756</v>
      </c>
      <c r="E73" s="686" t="e">
        <f>HLOOKUP($D$2,'2020 Data(H)'!$C$1:$CR$399,190,FALSE)</f>
        <v>#N/A</v>
      </c>
      <c r="F73" s="297">
        <v>0</v>
      </c>
      <c r="G73" s="747"/>
      <c r="H73" s="748"/>
      <c r="I73" s="749"/>
      <c r="J73" s="592"/>
      <c r="L73" s="721"/>
      <c r="N73" s="298"/>
      <c r="Z73" s="108"/>
      <c r="AA73" s="108"/>
      <c r="AB73" s="108"/>
      <c r="AC73" s="108"/>
      <c r="AD73" s="108"/>
      <c r="AE73" s="108"/>
      <c r="AF73" s="108"/>
      <c r="AG73" s="108"/>
      <c r="AH73" s="108"/>
      <c r="AI73" s="108"/>
      <c r="AJ73" s="108"/>
      <c r="AK73" s="108"/>
      <c r="AL73" s="108"/>
      <c r="AM73" s="108"/>
      <c r="AN73" s="108"/>
      <c r="AO73" s="108"/>
      <c r="AP73" s="108"/>
      <c r="AQ73" s="108"/>
      <c r="AR73" s="108"/>
    </row>
    <row r="74" spans="1:44" ht="30" customHeight="1" thickBot="1" x14ac:dyDescent="0.35">
      <c r="A74" s="108"/>
      <c r="B74" s="858" t="s">
        <v>151</v>
      </c>
      <c r="C74" s="859"/>
      <c r="D74" s="863"/>
      <c r="E74" s="864"/>
      <c r="F74" s="865"/>
      <c r="G74" s="866"/>
      <c r="H74" s="17"/>
      <c r="I74" s="79"/>
      <c r="L74" s="721"/>
      <c r="Z74" s="108"/>
      <c r="AA74" s="108"/>
      <c r="AB74" s="108"/>
      <c r="AC74" s="108"/>
      <c r="AD74" s="108"/>
      <c r="AE74" s="108"/>
      <c r="AF74" s="108"/>
      <c r="AG74" s="108"/>
      <c r="AH74" s="108"/>
      <c r="AI74" s="108"/>
      <c r="AJ74" s="108"/>
      <c r="AK74" s="108"/>
      <c r="AL74" s="108"/>
      <c r="AM74" s="108"/>
      <c r="AN74" s="108"/>
      <c r="AO74" s="108"/>
      <c r="AP74" s="108"/>
      <c r="AQ74" s="108"/>
      <c r="AR74" s="108"/>
    </row>
    <row r="75" spans="1:44" ht="82.5" customHeight="1" thickBot="1" x14ac:dyDescent="0.35">
      <c r="A75" s="108">
        <v>984</v>
      </c>
      <c r="B75" s="731" t="s">
        <v>1048</v>
      </c>
      <c r="C75" s="731" t="s">
        <v>1455</v>
      </c>
      <c r="D75" s="756" t="s">
        <v>1550</v>
      </c>
      <c r="E75" s="686" t="s">
        <v>1049</v>
      </c>
      <c r="F75" s="297">
        <v>0</v>
      </c>
      <c r="G75" s="747"/>
      <c r="H75" s="17"/>
      <c r="I75" s="79"/>
      <c r="J75" s="592"/>
      <c r="L75" s="721"/>
      <c r="Z75" s="108"/>
      <c r="AA75" s="108"/>
      <c r="AB75" s="108"/>
      <c r="AC75" s="108"/>
      <c r="AD75" s="108"/>
      <c r="AE75" s="108"/>
      <c r="AF75" s="108"/>
      <c r="AG75" s="108"/>
      <c r="AH75" s="108"/>
      <c r="AI75" s="108"/>
      <c r="AJ75" s="108"/>
      <c r="AK75" s="108"/>
      <c r="AL75" s="108"/>
      <c r="AM75" s="108"/>
      <c r="AN75" s="108"/>
      <c r="AO75" s="108"/>
      <c r="AP75" s="108"/>
      <c r="AQ75" s="108"/>
      <c r="AR75" s="108"/>
    </row>
    <row r="76" spans="1:44" ht="69" customHeight="1" thickBot="1" x14ac:dyDescent="0.35">
      <c r="A76" s="108">
        <v>985</v>
      </c>
      <c r="B76" s="731" t="s">
        <v>1048</v>
      </c>
      <c r="C76" s="731" t="s">
        <v>1455</v>
      </c>
      <c r="D76" s="756" t="s">
        <v>1551</v>
      </c>
      <c r="E76" s="686" t="s">
        <v>1049</v>
      </c>
      <c r="F76" s="297">
        <v>0</v>
      </c>
      <c r="G76" s="747"/>
      <c r="H76" s="17"/>
      <c r="I76" s="79"/>
      <c r="J76" s="592"/>
      <c r="L76" s="721"/>
      <c r="Z76" s="108"/>
      <c r="AA76" s="108"/>
      <c r="AB76" s="108"/>
      <c r="AC76" s="108"/>
      <c r="AD76" s="108"/>
      <c r="AE76" s="108"/>
      <c r="AF76" s="108"/>
      <c r="AG76" s="108"/>
      <c r="AH76" s="108"/>
      <c r="AI76" s="108"/>
      <c r="AJ76" s="108"/>
      <c r="AK76" s="108"/>
      <c r="AL76" s="108"/>
      <c r="AM76" s="108"/>
      <c r="AN76" s="108"/>
      <c r="AO76" s="108"/>
      <c r="AP76" s="108"/>
      <c r="AQ76" s="108"/>
      <c r="AR76" s="108"/>
    </row>
    <row r="77" spans="1:44" ht="52.5" customHeight="1" thickBot="1" x14ac:dyDescent="0.35">
      <c r="A77" s="108">
        <v>369</v>
      </c>
      <c r="B77" s="610" t="s">
        <v>56</v>
      </c>
      <c r="C77" s="610" t="s">
        <v>152</v>
      </c>
      <c r="D77" s="725" t="s">
        <v>1456</v>
      </c>
      <c r="E77" s="686" t="e">
        <f>HLOOKUP($D$2,'2020 Data(H)'!$C$1:$CR$399,130,FALSE)</f>
        <v>#N/A</v>
      </c>
      <c r="F77" s="297">
        <v>0</v>
      </c>
      <c r="G77" s="747"/>
      <c r="H77" s="17"/>
      <c r="I77" s="79"/>
      <c r="J77" s="592"/>
      <c r="L77" s="721"/>
      <c r="Z77" s="108"/>
      <c r="AA77" s="108"/>
      <c r="AB77" s="108"/>
      <c r="AC77" s="108"/>
      <c r="AD77" s="108"/>
      <c r="AE77" s="108"/>
      <c r="AF77" s="108"/>
      <c r="AG77" s="108"/>
      <c r="AH77" s="108"/>
      <c r="AI77" s="108"/>
      <c r="AJ77" s="108"/>
      <c r="AK77" s="108"/>
      <c r="AL77" s="108"/>
      <c r="AM77" s="108"/>
      <c r="AN77" s="108"/>
      <c r="AO77" s="108"/>
      <c r="AP77" s="108"/>
      <c r="AQ77" s="108"/>
      <c r="AR77" s="108"/>
    </row>
    <row r="78" spans="1:44" ht="57.75" customHeight="1" thickBot="1" x14ac:dyDescent="0.35">
      <c r="A78" s="108">
        <v>16</v>
      </c>
      <c r="B78" s="610" t="s">
        <v>66</v>
      </c>
      <c r="C78" s="610" t="s">
        <v>152</v>
      </c>
      <c r="D78" s="107" t="s">
        <v>150</v>
      </c>
      <c r="E78" s="686" t="e">
        <f>HLOOKUP($D$2,'2020 Data(H)'!$C$1:$CR$399,12,FALSE)</f>
        <v>#N/A</v>
      </c>
      <c r="F78" s="297">
        <v>0</v>
      </c>
      <c r="G78" s="747"/>
      <c r="H78" s="17"/>
      <c r="I78" s="79"/>
      <c r="J78" s="592"/>
      <c r="L78" s="721"/>
      <c r="Z78" s="108"/>
      <c r="AA78" s="108"/>
      <c r="AB78" s="108"/>
      <c r="AC78" s="108"/>
      <c r="AD78" s="108"/>
      <c r="AE78" s="108"/>
      <c r="AF78" s="108"/>
      <c r="AG78" s="108"/>
      <c r="AH78" s="108"/>
      <c r="AI78" s="108"/>
      <c r="AJ78" s="108"/>
      <c r="AK78" s="108"/>
      <c r="AL78" s="108"/>
      <c r="AM78" s="108"/>
      <c r="AN78" s="108"/>
      <c r="AO78" s="108"/>
      <c r="AP78" s="108"/>
      <c r="AQ78" s="108"/>
      <c r="AR78" s="108"/>
    </row>
    <row r="79" spans="1:44" ht="65.25" customHeight="1" thickBot="1" x14ac:dyDescent="0.35">
      <c r="A79" s="108">
        <v>370</v>
      </c>
      <c r="B79" s="610" t="s">
        <v>56</v>
      </c>
      <c r="C79" s="610" t="s">
        <v>152</v>
      </c>
      <c r="D79" s="725" t="s">
        <v>1457</v>
      </c>
      <c r="E79" s="686" t="e">
        <f>HLOOKUP($D$2,'2020 Data(H)'!$C$1:$CR$399,131,FALSE)</f>
        <v>#N/A</v>
      </c>
      <c r="F79" s="297">
        <v>0</v>
      </c>
      <c r="G79" s="747">
        <f>IF(F79&lt;0,"Error: Enter as positive.",)</f>
        <v>0</v>
      </c>
      <c r="H79" s="17"/>
      <c r="I79" s="79"/>
      <c r="J79" s="592"/>
      <c r="L79" s="721"/>
      <c r="Z79" s="108"/>
      <c r="AA79" s="108"/>
      <c r="AB79" s="108"/>
      <c r="AC79" s="108"/>
      <c r="AD79" s="108"/>
      <c r="AE79" s="108"/>
      <c r="AF79" s="108"/>
      <c r="AG79" s="108"/>
      <c r="AH79" s="108"/>
      <c r="AI79" s="108"/>
      <c r="AJ79" s="108"/>
      <c r="AK79" s="108"/>
      <c r="AL79" s="108"/>
      <c r="AM79" s="108"/>
      <c r="AN79" s="108"/>
      <c r="AO79" s="108"/>
      <c r="AP79" s="108"/>
      <c r="AQ79" s="108"/>
      <c r="AR79" s="108"/>
    </row>
    <row r="80" spans="1:44" ht="69.75" customHeight="1" thickBot="1" x14ac:dyDescent="0.35">
      <c r="A80" s="108">
        <v>532</v>
      </c>
      <c r="B80" s="610" t="s">
        <v>55</v>
      </c>
      <c r="C80" s="610" t="s">
        <v>152</v>
      </c>
      <c r="D80" s="710" t="s">
        <v>1458</v>
      </c>
      <c r="E80" s="686" t="e">
        <f>HLOOKUP($D$2,'2020 Data(H)'!$C$1:$CR$399,182,FALSE)</f>
        <v>#N/A</v>
      </c>
      <c r="F80" s="297">
        <v>0</v>
      </c>
      <c r="G80" s="747">
        <f>IF(F80&lt;0,"Error: Enter as positive.",)</f>
        <v>0</v>
      </c>
      <c r="H80" s="17"/>
      <c r="I80" s="79"/>
      <c r="J80" s="592"/>
      <c r="L80" s="721"/>
      <c r="Z80" s="108"/>
      <c r="AA80" s="108"/>
      <c r="AB80" s="108"/>
      <c r="AC80" s="108"/>
      <c r="AD80" s="108"/>
      <c r="AE80" s="108"/>
      <c r="AF80" s="108"/>
      <c r="AG80" s="108"/>
      <c r="AH80" s="108"/>
      <c r="AI80" s="108"/>
      <c r="AJ80" s="108"/>
      <c r="AK80" s="108"/>
      <c r="AL80" s="108"/>
      <c r="AM80" s="108"/>
      <c r="AN80" s="108"/>
      <c r="AO80" s="108"/>
      <c r="AP80" s="108"/>
      <c r="AQ80" s="108"/>
      <c r="AR80" s="108"/>
    </row>
    <row r="81" spans="1:44" ht="54" customHeight="1" thickBot="1" x14ac:dyDescent="0.35">
      <c r="A81" s="108">
        <v>17</v>
      </c>
      <c r="B81" s="610" t="s">
        <v>60</v>
      </c>
      <c r="C81" s="610" t="s">
        <v>152</v>
      </c>
      <c r="D81" s="107" t="s">
        <v>1459</v>
      </c>
      <c r="E81" s="686" t="e">
        <f>HLOOKUP($D$2,'2020 Data(H)'!$C$1:$CR$399,13,FALSE)</f>
        <v>#N/A</v>
      </c>
      <c r="F81" s="297">
        <v>0</v>
      </c>
      <c r="G81" s="747"/>
      <c r="H81" s="17"/>
      <c r="I81" s="79"/>
      <c r="L81" s="721"/>
      <c r="Z81" s="108"/>
      <c r="AA81" s="108"/>
      <c r="AB81" s="108"/>
      <c r="AC81" s="108"/>
      <c r="AD81" s="108"/>
      <c r="AE81" s="108"/>
      <c r="AF81" s="108"/>
      <c r="AG81" s="108"/>
      <c r="AH81" s="108"/>
      <c r="AI81" s="108"/>
      <c r="AJ81" s="108"/>
      <c r="AK81" s="108"/>
      <c r="AL81" s="108"/>
      <c r="AM81" s="108"/>
      <c r="AN81" s="108"/>
      <c r="AO81" s="108"/>
      <c r="AP81" s="108"/>
      <c r="AQ81" s="108"/>
      <c r="AR81" s="108"/>
    </row>
    <row r="82" spans="1:44" ht="58.5" customHeight="1" thickBot="1" x14ac:dyDescent="0.35">
      <c r="A82" s="108">
        <v>20</v>
      </c>
      <c r="B82" s="610" t="s">
        <v>55</v>
      </c>
      <c r="C82" s="610" t="s">
        <v>152</v>
      </c>
      <c r="D82" s="107" t="s">
        <v>1460</v>
      </c>
      <c r="E82" s="686" t="e">
        <f>HLOOKUP($D$2,'2020 Data(H)'!$C$1:$CR$399,15,FALSE)</f>
        <v>#N/A</v>
      </c>
      <c r="F82" s="297">
        <v>0</v>
      </c>
      <c r="G82" s="747">
        <f>IF(F82&lt;0,"Error: Enter as positive.",)</f>
        <v>0</v>
      </c>
      <c r="H82" s="17"/>
      <c r="I82" s="79"/>
      <c r="L82" s="721"/>
      <c r="Z82" s="108"/>
      <c r="AA82" s="108"/>
      <c r="AB82" s="108"/>
      <c r="AC82" s="108"/>
      <c r="AD82" s="108"/>
      <c r="AE82" s="108"/>
      <c r="AF82" s="108"/>
      <c r="AG82" s="108"/>
      <c r="AH82" s="108"/>
      <c r="AI82" s="108"/>
      <c r="AJ82" s="108"/>
      <c r="AK82" s="108"/>
      <c r="AL82" s="108"/>
      <c r="AM82" s="108"/>
      <c r="AN82" s="108"/>
      <c r="AO82" s="108"/>
      <c r="AP82" s="108"/>
      <c r="AQ82" s="108"/>
      <c r="AR82" s="108"/>
    </row>
    <row r="83" spans="1:44" ht="54" customHeight="1" thickBot="1" x14ac:dyDescent="0.35">
      <c r="A83" s="108">
        <v>533</v>
      </c>
      <c r="B83" s="610" t="s">
        <v>55</v>
      </c>
      <c r="C83" s="610" t="s">
        <v>152</v>
      </c>
      <c r="D83" s="710" t="s">
        <v>1461</v>
      </c>
      <c r="E83" s="686" t="e">
        <f>HLOOKUP($D$2,'2020 Data(H)'!$C$1:$CR$399,183,FALSE)</f>
        <v>#N/A</v>
      </c>
      <c r="F83" s="297">
        <v>0</v>
      </c>
      <c r="G83" s="757"/>
      <c r="H83" s="17"/>
      <c r="I83" s="79"/>
      <c r="L83" s="721"/>
      <c r="Z83" s="108"/>
      <c r="AA83" s="108"/>
      <c r="AB83" s="108"/>
      <c r="AC83" s="108"/>
      <c r="AD83" s="108"/>
      <c r="AE83" s="108"/>
      <c r="AF83" s="108"/>
      <c r="AG83" s="108"/>
      <c r="AH83" s="108"/>
      <c r="AI83" s="108"/>
      <c r="AJ83" s="108"/>
      <c r="AK83" s="108"/>
      <c r="AL83" s="108"/>
      <c r="AM83" s="108"/>
      <c r="AN83" s="108"/>
      <c r="AO83" s="108"/>
      <c r="AP83" s="108"/>
      <c r="AQ83" s="108"/>
      <c r="AR83" s="108"/>
    </row>
    <row r="84" spans="1:44" s="18" customFormat="1" ht="62.25" customHeight="1" thickBot="1" x14ac:dyDescent="0.35">
      <c r="A84" s="108">
        <v>508</v>
      </c>
      <c r="B84" s="610" t="s">
        <v>55</v>
      </c>
      <c r="C84" s="610" t="s">
        <v>152</v>
      </c>
      <c r="D84" s="107" t="s">
        <v>535</v>
      </c>
      <c r="E84" s="686" t="e">
        <f>HLOOKUP($D$2,'2020 Data(H)'!$C$1:$CR$399,158,FALSE)</f>
        <v>#N/A</v>
      </c>
      <c r="F84" s="297">
        <v>0</v>
      </c>
      <c r="G84" s="747"/>
      <c r="H84" s="748"/>
      <c r="I84" s="749"/>
      <c r="L84" s="721"/>
      <c r="N84" s="298"/>
      <c r="Z84" s="108"/>
      <c r="AA84" s="108"/>
      <c r="AB84" s="108"/>
      <c r="AC84" s="108"/>
      <c r="AD84" s="108"/>
      <c r="AE84" s="108"/>
      <c r="AF84" s="108"/>
      <c r="AG84" s="108"/>
      <c r="AH84" s="108"/>
      <c r="AI84" s="108"/>
      <c r="AJ84" s="108"/>
      <c r="AK84" s="108"/>
      <c r="AL84" s="108"/>
      <c r="AM84" s="108"/>
      <c r="AN84" s="108"/>
      <c r="AO84" s="108"/>
      <c r="AP84" s="108"/>
      <c r="AQ84" s="108"/>
      <c r="AR84" s="108"/>
    </row>
    <row r="85" spans="1:44" s="18" customFormat="1" ht="81.75" customHeight="1" thickBot="1" x14ac:dyDescent="0.35">
      <c r="A85" s="108">
        <v>509</v>
      </c>
      <c r="B85" s="610" t="s">
        <v>55</v>
      </c>
      <c r="C85" s="610" t="s">
        <v>152</v>
      </c>
      <c r="D85" s="107" t="s">
        <v>533</v>
      </c>
      <c r="E85" s="686" t="e">
        <f>HLOOKUP($D$2,'2020 Data(H)'!$C$1:$CR$399,159,FALSE)</f>
        <v>#N/A</v>
      </c>
      <c r="F85" s="297">
        <v>0</v>
      </c>
      <c r="G85" s="747">
        <f>IF(F85&lt;0,"Error: Enter as positive.",)</f>
        <v>0</v>
      </c>
      <c r="H85" s="748"/>
      <c r="I85" s="749"/>
      <c r="L85" s="721"/>
      <c r="N85" s="298"/>
      <c r="Z85" s="108"/>
      <c r="AA85" s="108"/>
      <c r="AB85" s="108"/>
      <c r="AC85" s="108"/>
      <c r="AD85" s="108"/>
      <c r="AE85" s="108"/>
      <c r="AF85" s="108"/>
      <c r="AG85" s="108"/>
      <c r="AH85" s="108"/>
      <c r="AI85" s="108"/>
      <c r="AJ85" s="108"/>
      <c r="AK85" s="108"/>
      <c r="AL85" s="108"/>
      <c r="AM85" s="108"/>
      <c r="AN85" s="108"/>
      <c r="AO85" s="108"/>
      <c r="AP85" s="108"/>
      <c r="AQ85" s="108"/>
      <c r="AR85" s="108"/>
    </row>
    <row r="86" spans="1:44" ht="69" customHeight="1" thickBot="1" x14ac:dyDescent="0.35">
      <c r="A86" s="108">
        <v>22</v>
      </c>
      <c r="B86" s="610" t="s">
        <v>60</v>
      </c>
      <c r="C86" s="610" t="s">
        <v>152</v>
      </c>
      <c r="D86" s="107" t="s">
        <v>534</v>
      </c>
      <c r="E86" s="686" t="e">
        <f>HLOOKUP($D$2,'2020 Data(H)'!$C$1:$CR$399,17,FALSE)</f>
        <v>#N/A</v>
      </c>
      <c r="F86" s="297">
        <v>0</v>
      </c>
      <c r="G86" s="757"/>
      <c r="H86" s="17"/>
      <c r="I86" s="79"/>
      <c r="J86" s="592"/>
      <c r="L86" s="721"/>
      <c r="Z86" s="108"/>
      <c r="AA86" s="108"/>
      <c r="AB86" s="108"/>
      <c r="AC86" s="108"/>
      <c r="AD86" s="108"/>
      <c r="AE86" s="108"/>
      <c r="AF86" s="108"/>
      <c r="AG86" s="108"/>
      <c r="AH86" s="108"/>
      <c r="AI86" s="108"/>
      <c r="AJ86" s="108"/>
      <c r="AK86" s="108"/>
      <c r="AL86" s="108"/>
      <c r="AM86" s="108"/>
      <c r="AN86" s="108"/>
      <c r="AO86" s="108"/>
      <c r="AP86" s="108"/>
      <c r="AQ86" s="108"/>
      <c r="AR86" s="108"/>
    </row>
    <row r="87" spans="1:44" ht="72" customHeight="1" thickBot="1" x14ac:dyDescent="0.35">
      <c r="A87" s="108">
        <v>23</v>
      </c>
      <c r="B87" s="610" t="s">
        <v>60</v>
      </c>
      <c r="C87" s="610" t="s">
        <v>152</v>
      </c>
      <c r="D87" s="725" t="s">
        <v>1462</v>
      </c>
      <c r="E87" s="686" t="e">
        <f>HLOOKUP($D$2,'2020 Data(H)'!$C$1:$CR$399,18,FALSE)</f>
        <v>#N/A</v>
      </c>
      <c r="F87" s="297">
        <v>0</v>
      </c>
      <c r="G87" s="747">
        <f>IF(H87=0,,"Error: Total revenues less total expenditures do not equal total change in fund balance.  Account numbers 16-532+17-20+533+22+508-509-23=0  The amount of the formula is located in the cell to the right")</f>
        <v>0</v>
      </c>
      <c r="H87" s="750">
        <f>+F78-F80+F81-F82+F83+F86+F84-F85-F87</f>
        <v>0</v>
      </c>
      <c r="I87" s="79"/>
      <c r="J87" s="592"/>
      <c r="L87" s="721"/>
      <c r="Z87" s="108"/>
      <c r="AA87" s="108"/>
      <c r="AB87" s="108"/>
      <c r="AC87" s="108"/>
      <c r="AD87" s="108"/>
      <c r="AE87" s="108"/>
      <c r="AF87" s="108"/>
      <c r="AG87" s="108"/>
      <c r="AH87" s="108"/>
      <c r="AI87" s="108"/>
      <c r="AJ87" s="108"/>
      <c r="AK87" s="108"/>
      <c r="AL87" s="108"/>
      <c r="AM87" s="108"/>
      <c r="AN87" s="108"/>
      <c r="AO87" s="108"/>
      <c r="AP87" s="108"/>
      <c r="AQ87" s="108"/>
      <c r="AR87" s="108"/>
    </row>
    <row r="88" spans="1:44" ht="194.25" customHeight="1" thickBot="1" x14ac:dyDescent="0.35">
      <c r="A88" s="108">
        <v>590</v>
      </c>
      <c r="B88" s="610" t="s">
        <v>603</v>
      </c>
      <c r="C88" s="610"/>
      <c r="D88" s="725" t="s">
        <v>1827</v>
      </c>
      <c r="E88" s="924"/>
      <c r="F88" s="297"/>
      <c r="G88" s="297"/>
      <c r="H88" s="750"/>
      <c r="I88" s="79"/>
      <c r="K88" s="758"/>
      <c r="L88" s="721"/>
      <c r="Z88" s="108"/>
      <c r="AA88" s="108"/>
      <c r="AB88" s="108"/>
      <c r="AC88" s="108"/>
      <c r="AD88" s="108"/>
      <c r="AE88" s="108"/>
      <c r="AF88" s="108"/>
      <c r="AG88" s="108"/>
      <c r="AH88" s="108"/>
      <c r="AI88" s="108"/>
      <c r="AJ88" s="108"/>
      <c r="AK88" s="108"/>
      <c r="AL88" s="108"/>
      <c r="AM88" s="108"/>
      <c r="AN88" s="108"/>
      <c r="AO88" s="108"/>
      <c r="AP88" s="108"/>
      <c r="AQ88" s="108"/>
      <c r="AR88" s="108"/>
    </row>
    <row r="89" spans="1:44" ht="115.5" customHeight="1" thickBot="1" x14ac:dyDescent="0.35">
      <c r="A89" s="108">
        <v>507</v>
      </c>
      <c r="B89" s="610" t="s">
        <v>60</v>
      </c>
      <c r="C89" s="610" t="s">
        <v>152</v>
      </c>
      <c r="D89" s="725" t="s">
        <v>1463</v>
      </c>
      <c r="E89" s="686" t="e">
        <f>HLOOKUP($D$2,'2020 Data(H)'!$C$1:$CR$399,157,FALSE)</f>
        <v>#N/A</v>
      </c>
      <c r="F89" s="297">
        <v>0</v>
      </c>
      <c r="G89" s="747" t="e">
        <f>IF(F72-F87-F89=E72,,"Error: Beginning Balance does not agree with our records.  (Acct# 9-23-507)= Prior Years Acct # 9 The amount of the formula is in the cell to the right")</f>
        <v>#N/A</v>
      </c>
      <c r="H89" s="750" t="e">
        <f>+F72-F87-F89-E72</f>
        <v>#N/A</v>
      </c>
      <c r="I89" s="1163" t="s">
        <v>1821</v>
      </c>
      <c r="L89" s="721"/>
      <c r="Z89" s="108"/>
      <c r="AA89" s="108"/>
      <c r="AB89" s="108"/>
      <c r="AC89" s="108"/>
      <c r="AD89" s="108"/>
      <c r="AE89" s="108"/>
      <c r="AF89" s="108"/>
      <c r="AG89" s="108"/>
      <c r="AH89" s="108"/>
      <c r="AI89" s="108"/>
      <c r="AJ89" s="108"/>
      <c r="AK89" s="108"/>
      <c r="AL89" s="108"/>
      <c r="AM89" s="108"/>
      <c r="AN89" s="108"/>
      <c r="AO89" s="108"/>
      <c r="AP89" s="108"/>
      <c r="AQ89" s="108"/>
      <c r="AR89" s="108"/>
    </row>
    <row r="90" spans="1:44" ht="169.5" hidden="1" customHeight="1" thickBot="1" x14ac:dyDescent="0.35">
      <c r="A90" s="108">
        <v>147</v>
      </c>
      <c r="B90" s="832" t="s">
        <v>1274</v>
      </c>
      <c r="C90" s="832" t="s">
        <v>1275</v>
      </c>
      <c r="D90" s="725" t="s">
        <v>1276</v>
      </c>
      <c r="E90" s="686" t="e">
        <f>HLOOKUP($D$2,'2020 Data(H)'!$C$1:$CR$399,67,FALSE)</f>
        <v>#N/A</v>
      </c>
      <c r="F90" s="297">
        <v>0</v>
      </c>
      <c r="G90" s="747"/>
      <c r="H90" s="750"/>
      <c r="I90" s="79"/>
      <c r="L90" s="721"/>
      <c r="Z90" s="108"/>
      <c r="AA90" s="108"/>
      <c r="AB90" s="108"/>
      <c r="AC90" s="108"/>
      <c r="AD90" s="108"/>
      <c r="AE90" s="108"/>
      <c r="AF90" s="108"/>
      <c r="AG90" s="108"/>
      <c r="AH90" s="108"/>
      <c r="AI90" s="108"/>
      <c r="AJ90" s="108"/>
      <c r="AK90" s="108"/>
      <c r="AL90" s="108"/>
      <c r="AM90" s="108"/>
      <c r="AN90" s="108"/>
      <c r="AO90" s="108"/>
      <c r="AP90" s="108"/>
      <c r="AQ90" s="108"/>
      <c r="AR90" s="108"/>
    </row>
    <row r="91" spans="1:44" ht="115.5" hidden="1" customHeight="1" thickBot="1" x14ac:dyDescent="0.35">
      <c r="A91" s="108">
        <v>585</v>
      </c>
      <c r="B91" s="832" t="s">
        <v>1274</v>
      </c>
      <c r="C91" s="832" t="s">
        <v>1275</v>
      </c>
      <c r="D91" s="725" t="s">
        <v>1277</v>
      </c>
      <c r="E91" s="686" t="e">
        <f>HLOOKUP($D$2,'2020 Data(H)'!$C$1:$CR$399,235,FALSE)</f>
        <v>#N/A</v>
      </c>
      <c r="F91" s="297">
        <v>0</v>
      </c>
      <c r="G91" s="747"/>
      <c r="H91" s="750"/>
      <c r="I91" s="79"/>
      <c r="L91" s="721"/>
      <c r="Z91" s="108"/>
      <c r="AA91" s="108"/>
      <c r="AB91" s="108"/>
      <c r="AC91" s="108"/>
      <c r="AD91" s="108"/>
      <c r="AE91" s="108"/>
      <c r="AF91" s="108"/>
      <c r="AG91" s="108"/>
      <c r="AH91" s="108"/>
      <c r="AI91" s="108"/>
      <c r="AJ91" s="108"/>
      <c r="AK91" s="108"/>
      <c r="AL91" s="108"/>
      <c r="AM91" s="108"/>
      <c r="AN91" s="108"/>
      <c r="AO91" s="108"/>
      <c r="AP91" s="108"/>
      <c r="AQ91" s="108"/>
      <c r="AR91" s="108"/>
    </row>
    <row r="92" spans="1:44" ht="115.5" hidden="1" customHeight="1" thickBot="1" x14ac:dyDescent="0.35">
      <c r="A92" s="108">
        <v>546</v>
      </c>
      <c r="B92" s="832" t="s">
        <v>1274</v>
      </c>
      <c r="C92" s="832" t="s">
        <v>1275</v>
      </c>
      <c r="D92" s="725" t="s">
        <v>1278</v>
      </c>
      <c r="E92" s="686" t="e">
        <f>HLOOKUP($D$2,'2020 Data(H)'!$C$1:$CR$399,196,FALSE)</f>
        <v>#N/A</v>
      </c>
      <c r="F92" s="297">
        <v>0</v>
      </c>
      <c r="G92" s="747"/>
      <c r="H92" s="750"/>
      <c r="I92" s="79"/>
      <c r="L92" s="721"/>
      <c r="Z92" s="108"/>
      <c r="AA92" s="108"/>
      <c r="AB92" s="108"/>
      <c r="AC92" s="108"/>
      <c r="AD92" s="108"/>
      <c r="AE92" s="108"/>
      <c r="AF92" s="108"/>
      <c r="AG92" s="108"/>
      <c r="AH92" s="108"/>
      <c r="AI92" s="108"/>
      <c r="AJ92" s="108"/>
      <c r="AK92" s="108"/>
      <c r="AL92" s="108"/>
      <c r="AM92" s="108"/>
      <c r="AN92" s="108"/>
      <c r="AO92" s="108"/>
      <c r="AP92" s="108"/>
      <c r="AQ92" s="108"/>
      <c r="AR92" s="108"/>
    </row>
    <row r="93" spans="1:44" ht="115.5" hidden="1" customHeight="1" thickBot="1" x14ac:dyDescent="0.35">
      <c r="A93" s="108">
        <v>589</v>
      </c>
      <c r="B93" s="832" t="s">
        <v>1274</v>
      </c>
      <c r="C93" s="832" t="s">
        <v>1275</v>
      </c>
      <c r="D93" s="725" t="s">
        <v>1279</v>
      </c>
      <c r="E93" s="686" t="e">
        <f>HLOOKUP($D$2,'2020 Data(H)'!$C$1:$CR$399,239,FALSE)</f>
        <v>#N/A</v>
      </c>
      <c r="F93" s="297">
        <v>0</v>
      </c>
      <c r="G93" s="747"/>
      <c r="H93" s="750"/>
      <c r="I93" s="79"/>
      <c r="L93" s="721"/>
      <c r="Z93" s="108"/>
      <c r="AA93" s="108"/>
      <c r="AB93" s="108"/>
      <c r="AC93" s="108"/>
      <c r="AD93" s="108"/>
      <c r="AE93" s="108"/>
      <c r="AF93" s="108"/>
      <c r="AG93" s="108"/>
      <c r="AH93" s="108"/>
      <c r="AI93" s="108"/>
      <c r="AJ93" s="108"/>
      <c r="AK93" s="108"/>
      <c r="AL93" s="108"/>
      <c r="AM93" s="108"/>
      <c r="AN93" s="108"/>
      <c r="AO93" s="108"/>
      <c r="AP93" s="108"/>
      <c r="AQ93" s="108"/>
      <c r="AR93" s="108"/>
    </row>
    <row r="94" spans="1:44" ht="143.25" hidden="1" customHeight="1" thickBot="1" x14ac:dyDescent="0.35">
      <c r="A94" s="576">
        <v>149</v>
      </c>
      <c r="B94" s="610" t="s">
        <v>1274</v>
      </c>
      <c r="C94" s="610" t="s">
        <v>1275</v>
      </c>
      <c r="D94" s="725" t="s">
        <v>1356</v>
      </c>
      <c r="E94" s="686" t="e">
        <f>HLOOKUP($D$2,'2020 Data(H)'!$C$1:$CR$399,69,FALSE)</f>
        <v>#N/A</v>
      </c>
      <c r="F94" s="297">
        <v>0</v>
      </c>
      <c r="G94" s="747"/>
      <c r="H94" s="750"/>
      <c r="I94" s="79"/>
      <c r="L94" s="721"/>
      <c r="Z94" s="576"/>
      <c r="AA94" s="576"/>
      <c r="AB94" s="576"/>
      <c r="AC94" s="576"/>
      <c r="AD94" s="576"/>
      <c r="AE94" s="576"/>
      <c r="AF94" s="576"/>
      <c r="AG94" s="576"/>
      <c r="AH94" s="576"/>
      <c r="AI94" s="576"/>
      <c r="AJ94" s="576"/>
      <c r="AK94" s="576"/>
      <c r="AL94" s="576"/>
      <c r="AM94" s="576"/>
      <c r="AN94" s="576"/>
      <c r="AO94" s="576"/>
      <c r="AP94" s="576"/>
      <c r="AQ94" s="576"/>
      <c r="AR94" s="576"/>
    </row>
    <row r="95" spans="1:44" ht="115.5" hidden="1" customHeight="1" thickBot="1" x14ac:dyDescent="0.35">
      <c r="A95" s="108">
        <v>150</v>
      </c>
      <c r="B95" s="610" t="s">
        <v>1274</v>
      </c>
      <c r="C95" s="610" t="s">
        <v>1275</v>
      </c>
      <c r="D95" s="725" t="s">
        <v>1357</v>
      </c>
      <c r="E95" s="686" t="e">
        <f>HLOOKUP($D$2,'2020 Data(H)'!$C$1:$CR$399,70,FALSE)</f>
        <v>#N/A</v>
      </c>
      <c r="F95" s="297">
        <v>0</v>
      </c>
      <c r="G95" s="747"/>
      <c r="H95" s="750"/>
      <c r="I95" s="79"/>
      <c r="L95" s="721"/>
      <c r="Z95" s="108"/>
      <c r="AA95" s="108"/>
      <c r="AB95" s="108"/>
      <c r="AC95" s="108"/>
      <c r="AD95" s="108"/>
      <c r="AE95" s="108"/>
      <c r="AF95" s="108"/>
      <c r="AG95" s="108"/>
      <c r="AH95" s="108"/>
      <c r="AI95" s="108"/>
      <c r="AJ95" s="108"/>
      <c r="AK95" s="108"/>
      <c r="AL95" s="108"/>
      <c r="AM95" s="108"/>
      <c r="AN95" s="108"/>
      <c r="AO95" s="108"/>
      <c r="AP95" s="108"/>
      <c r="AQ95" s="108"/>
      <c r="AR95" s="108"/>
    </row>
    <row r="96" spans="1:44" ht="115.5" hidden="1" customHeight="1" thickBot="1" x14ac:dyDescent="0.35">
      <c r="A96" s="108">
        <v>587</v>
      </c>
      <c r="B96" s="652" t="s">
        <v>1358</v>
      </c>
      <c r="C96" s="652" t="s">
        <v>1359</v>
      </c>
      <c r="D96" s="725" t="s">
        <v>1464</v>
      </c>
      <c r="E96" s="686" t="e">
        <f>HLOOKUP($D$2,'2020 Data(H)'!$C$1:$CR$399,237,FALSE)</f>
        <v>#N/A</v>
      </c>
      <c r="F96" s="297">
        <v>0</v>
      </c>
      <c r="G96" s="747"/>
      <c r="H96" s="750"/>
      <c r="I96" s="79"/>
      <c r="L96" s="721"/>
      <c r="Z96" s="108"/>
      <c r="AA96" s="108"/>
      <c r="AB96" s="108"/>
      <c r="AC96" s="108"/>
      <c r="AD96" s="108"/>
      <c r="AE96" s="108"/>
      <c r="AF96" s="108"/>
      <c r="AG96" s="108"/>
      <c r="AH96" s="108"/>
      <c r="AI96" s="108"/>
      <c r="AJ96" s="108"/>
      <c r="AK96" s="108"/>
      <c r="AL96" s="108"/>
      <c r="AM96" s="108"/>
      <c r="AN96" s="108"/>
      <c r="AO96" s="108"/>
      <c r="AP96" s="108"/>
      <c r="AQ96" s="108"/>
      <c r="AR96" s="108"/>
    </row>
    <row r="97" spans="1:44" ht="115.5" hidden="1" customHeight="1" thickBot="1" x14ac:dyDescent="0.35">
      <c r="A97" s="108">
        <v>588</v>
      </c>
      <c r="B97" s="652" t="s">
        <v>1358</v>
      </c>
      <c r="C97" s="652" t="s">
        <v>1359</v>
      </c>
      <c r="D97" s="725" t="s">
        <v>1465</v>
      </c>
      <c r="E97" s="686" t="e">
        <f>HLOOKUP($D$2,'2020 Data(H)'!$C$1:$CR$399,238,FALSE)</f>
        <v>#N/A</v>
      </c>
      <c r="F97" s="297">
        <v>0</v>
      </c>
      <c r="G97" s="747"/>
      <c r="H97" s="750"/>
      <c r="I97" s="79"/>
      <c r="L97" s="721"/>
      <c r="Z97" s="108"/>
      <c r="AA97" s="108"/>
      <c r="AB97" s="108"/>
      <c r="AC97" s="108"/>
      <c r="AD97" s="108"/>
      <c r="AE97" s="108"/>
      <c r="AF97" s="108"/>
      <c r="AG97" s="108"/>
      <c r="AH97" s="108"/>
      <c r="AI97" s="108"/>
      <c r="AJ97" s="108"/>
      <c r="AK97" s="108"/>
      <c r="AL97" s="108"/>
      <c r="AM97" s="108"/>
      <c r="AN97" s="108"/>
      <c r="AO97" s="108"/>
      <c r="AP97" s="108"/>
      <c r="AQ97" s="108"/>
      <c r="AR97" s="108"/>
    </row>
    <row r="98" spans="1:44" ht="82.5" customHeight="1" thickBot="1" x14ac:dyDescent="0.35">
      <c r="A98" s="310">
        <v>647</v>
      </c>
      <c r="B98" s="828" t="s">
        <v>722</v>
      </c>
      <c r="C98" s="827" t="s">
        <v>724</v>
      </c>
      <c r="D98" s="309" t="s">
        <v>725</v>
      </c>
      <c r="E98" s="686" t="e">
        <f>HLOOKUP($D$2,'2020 Data(H)'!$C$1:$CR$399,306,FALSE)</f>
        <v>#N/A</v>
      </c>
      <c r="F98" s="297">
        <v>0</v>
      </c>
      <c r="G98" s="747">
        <f>IF(F98&lt;0,"Error: Enter as positive.",)</f>
        <v>0</v>
      </c>
      <c r="H98" s="759"/>
      <c r="I98" s="79"/>
      <c r="L98" s="721"/>
      <c r="Z98" s="310"/>
      <c r="AA98" s="310"/>
      <c r="AB98" s="310"/>
      <c r="AC98" s="310"/>
      <c r="AD98" s="310"/>
      <c r="AE98" s="310"/>
      <c r="AF98" s="310"/>
      <c r="AG98" s="310"/>
      <c r="AH98" s="310"/>
      <c r="AI98" s="310"/>
      <c r="AJ98" s="310"/>
      <c r="AK98" s="310"/>
      <c r="AL98" s="310"/>
      <c r="AM98" s="310"/>
      <c r="AN98" s="310"/>
      <c r="AO98" s="310"/>
      <c r="AP98" s="310"/>
      <c r="AQ98" s="310"/>
      <c r="AR98" s="310"/>
    </row>
    <row r="99" spans="1:44" ht="25.5" customHeight="1" thickBot="1" x14ac:dyDescent="0.35">
      <c r="A99" s="108"/>
      <c r="B99" s="858" t="s">
        <v>11</v>
      </c>
      <c r="C99" s="859"/>
      <c r="D99" s="860"/>
      <c r="E99" s="856"/>
      <c r="F99" s="861"/>
      <c r="G99" s="862"/>
      <c r="H99" s="17"/>
      <c r="I99" s="79"/>
      <c r="L99" s="721"/>
      <c r="Z99" s="108"/>
      <c r="AA99" s="108"/>
      <c r="AB99" s="108"/>
      <c r="AC99" s="108"/>
      <c r="AD99" s="108"/>
      <c r="AE99" s="108"/>
      <c r="AF99" s="108"/>
      <c r="AG99" s="108"/>
      <c r="AH99" s="108"/>
      <c r="AI99" s="108"/>
      <c r="AJ99" s="108"/>
      <c r="AK99" s="108"/>
      <c r="AL99" s="108"/>
      <c r="AM99" s="108"/>
      <c r="AN99" s="108"/>
      <c r="AO99" s="108"/>
      <c r="AP99" s="108"/>
      <c r="AQ99" s="108"/>
      <c r="AR99" s="108"/>
    </row>
    <row r="100" spans="1:44" ht="76.5" hidden="1" customHeight="1" thickBot="1" x14ac:dyDescent="0.35">
      <c r="A100" s="108">
        <v>148</v>
      </c>
      <c r="B100" s="610" t="s">
        <v>1282</v>
      </c>
      <c r="C100" s="652" t="s">
        <v>1280</v>
      </c>
      <c r="D100" s="652" t="s">
        <v>1281</v>
      </c>
      <c r="E100" s="686" t="e">
        <f>HLOOKUP($D$2,'2020 Data(H)'!$C$1:$CR$399,68,FALSE)</f>
        <v>#N/A</v>
      </c>
      <c r="F100" s="297">
        <v>0</v>
      </c>
      <c r="G100" s="760"/>
      <c r="H100" s="17"/>
      <c r="I100" s="79"/>
      <c r="L100" s="721"/>
      <c r="Z100" s="108"/>
      <c r="AA100" s="108"/>
      <c r="AB100" s="108"/>
      <c r="AC100" s="108"/>
      <c r="AD100" s="108"/>
      <c r="AE100" s="108"/>
      <c r="AF100" s="108"/>
      <c r="AG100" s="108"/>
      <c r="AH100" s="108"/>
      <c r="AI100" s="108"/>
      <c r="AJ100" s="108"/>
      <c r="AK100" s="108"/>
      <c r="AL100" s="108"/>
      <c r="AM100" s="108"/>
      <c r="AN100" s="108"/>
      <c r="AO100" s="108"/>
      <c r="AP100" s="108"/>
      <c r="AQ100" s="108"/>
      <c r="AR100" s="108"/>
    </row>
    <row r="101" spans="1:44" ht="78" customHeight="1" thickBot="1" x14ac:dyDescent="0.35">
      <c r="A101" s="108">
        <v>171</v>
      </c>
      <c r="B101" s="610" t="s">
        <v>538</v>
      </c>
      <c r="C101" s="610" t="s">
        <v>537</v>
      </c>
      <c r="D101" s="687" t="s">
        <v>1466</v>
      </c>
      <c r="E101" s="686" t="e">
        <f>HLOOKUP($D$2,'2020 Data(H)'!$C$1:$CR$399,71,FALSE)</f>
        <v>#N/A</v>
      </c>
      <c r="F101" s="275">
        <v>0</v>
      </c>
      <c r="G101" s="747">
        <f>IF(F101&lt;0,"Error: Enter as positive.",)</f>
        <v>0</v>
      </c>
      <c r="H101" s="17"/>
      <c r="I101" s="79"/>
      <c r="J101" s="592"/>
      <c r="L101" s="721"/>
      <c r="Z101" s="108"/>
      <c r="AA101" s="108"/>
      <c r="AB101" s="108"/>
      <c r="AC101" s="108"/>
      <c r="AD101" s="108"/>
      <c r="AE101" s="108"/>
      <c r="AF101" s="108"/>
      <c r="AG101" s="108"/>
      <c r="AH101" s="108"/>
      <c r="AI101" s="108"/>
      <c r="AJ101" s="108"/>
      <c r="AK101" s="108"/>
      <c r="AL101" s="108"/>
      <c r="AM101" s="108"/>
      <c r="AN101" s="108"/>
      <c r="AO101" s="108"/>
      <c r="AP101" s="108"/>
      <c r="AQ101" s="108"/>
      <c r="AR101" s="108"/>
    </row>
    <row r="102" spans="1:44" ht="30.75" hidden="1" customHeight="1" thickBot="1" x14ac:dyDescent="0.35">
      <c r="A102" s="108"/>
      <c r="B102" s="857" t="s">
        <v>1348</v>
      </c>
      <c r="C102" s="856"/>
      <c r="D102" s="856"/>
      <c r="E102" s="856"/>
      <c r="F102" s="856"/>
      <c r="G102" s="856"/>
      <c r="H102" s="17"/>
      <c r="I102" s="79"/>
      <c r="J102" s="592"/>
      <c r="L102" s="721"/>
      <c r="Z102" s="108"/>
      <c r="AA102" s="108"/>
      <c r="AB102" s="108"/>
      <c r="AC102" s="108"/>
      <c r="AD102" s="108"/>
      <c r="AE102" s="108"/>
      <c r="AF102" s="108"/>
      <c r="AG102" s="108"/>
      <c r="AH102" s="108"/>
      <c r="AI102" s="108"/>
      <c r="AJ102" s="108"/>
      <c r="AK102" s="108"/>
      <c r="AL102" s="108"/>
      <c r="AM102" s="108"/>
      <c r="AN102" s="108"/>
      <c r="AO102" s="108"/>
      <c r="AP102" s="108"/>
      <c r="AQ102" s="108"/>
      <c r="AR102" s="108"/>
    </row>
    <row r="103" spans="1:44" ht="48.75" hidden="1" customHeight="1" thickBot="1" x14ac:dyDescent="0.35">
      <c r="A103" s="108">
        <v>36</v>
      </c>
      <c r="B103" s="833" t="s">
        <v>722</v>
      </c>
      <c r="C103" s="339" t="s">
        <v>1362</v>
      </c>
      <c r="D103" s="685" t="s">
        <v>1385</v>
      </c>
      <c r="E103" s="686" t="e">
        <f>HLOOKUP($D$2,'2020 Data(H)'!$C$1:$CR$399,24,FALSE)</f>
        <v>#N/A</v>
      </c>
      <c r="F103" s="297">
        <v>0</v>
      </c>
      <c r="G103" s="834"/>
      <c r="H103" s="17"/>
      <c r="I103" s="79"/>
      <c r="J103" s="592"/>
      <c r="L103" s="721"/>
      <c r="Z103" s="108"/>
      <c r="AA103" s="108"/>
      <c r="AB103" s="108"/>
      <c r="AC103" s="108"/>
      <c r="AD103" s="108"/>
      <c r="AE103" s="108"/>
      <c r="AF103" s="108"/>
      <c r="AG103" s="108"/>
      <c r="AH103" s="108"/>
      <c r="AI103" s="108"/>
      <c r="AJ103" s="108"/>
      <c r="AK103" s="108"/>
      <c r="AL103" s="108"/>
      <c r="AM103" s="108"/>
      <c r="AN103" s="108"/>
      <c r="AO103" s="108"/>
      <c r="AP103" s="108"/>
      <c r="AQ103" s="108"/>
      <c r="AR103" s="108"/>
    </row>
    <row r="104" spans="1:44" ht="56.25" hidden="1" customHeight="1" thickBot="1" x14ac:dyDescent="0.35">
      <c r="A104" s="108">
        <v>534</v>
      </c>
      <c r="B104" s="833" t="s">
        <v>722</v>
      </c>
      <c r="C104" s="339" t="s">
        <v>1362</v>
      </c>
      <c r="D104" s="725" t="s">
        <v>1386</v>
      </c>
      <c r="E104" s="686" t="e">
        <f>HLOOKUP($D$2,'2020 Data(H)'!$C$1:$CR$399,184,FALSE)</f>
        <v>#N/A</v>
      </c>
      <c r="F104" s="297">
        <v>0</v>
      </c>
      <c r="G104" s="834"/>
      <c r="H104" s="17"/>
      <c r="I104" s="79"/>
      <c r="J104" s="592"/>
      <c r="L104" s="721"/>
      <c r="Z104" s="108"/>
      <c r="AA104" s="108"/>
      <c r="AB104" s="108"/>
      <c r="AC104" s="108"/>
      <c r="AD104" s="108"/>
      <c r="AE104" s="108"/>
      <c r="AF104" s="108"/>
      <c r="AG104" s="108"/>
      <c r="AH104" s="108"/>
      <c r="AI104" s="108"/>
      <c r="AJ104" s="108"/>
      <c r="AK104" s="108"/>
      <c r="AL104" s="108"/>
      <c r="AM104" s="108"/>
      <c r="AN104" s="108"/>
      <c r="AO104" s="108"/>
      <c r="AP104" s="108"/>
      <c r="AQ104" s="108"/>
      <c r="AR104" s="108"/>
    </row>
    <row r="105" spans="1:44" ht="78" hidden="1" customHeight="1" thickBot="1" x14ac:dyDescent="0.35">
      <c r="A105" s="617">
        <v>13</v>
      </c>
      <c r="B105" s="833" t="s">
        <v>603</v>
      </c>
      <c r="C105" s="836" t="s">
        <v>1349</v>
      </c>
      <c r="D105" s="836" t="s">
        <v>1552</v>
      </c>
      <c r="E105" s="686" t="e">
        <f>HLOOKUP($D$2,'2020 Data(H)'!$C$1:$CR$399,10,FALSE)</f>
        <v>#N/A</v>
      </c>
      <c r="F105" s="297">
        <v>0</v>
      </c>
      <c r="G105" s="747"/>
      <c r="H105" s="17"/>
      <c r="I105" s="79"/>
      <c r="J105" s="592"/>
      <c r="L105" s="721"/>
      <c r="Z105" s="835"/>
      <c r="AA105" s="835"/>
      <c r="AB105" s="835"/>
      <c r="AC105" s="835"/>
      <c r="AD105" s="835"/>
      <c r="AE105" s="835"/>
      <c r="AF105" s="835"/>
      <c r="AG105" s="835"/>
      <c r="AH105" s="835"/>
      <c r="AI105" s="835"/>
      <c r="AJ105" s="835"/>
      <c r="AK105" s="835"/>
      <c r="AL105" s="835"/>
      <c r="AM105" s="835"/>
      <c r="AN105" s="835"/>
      <c r="AO105" s="835"/>
      <c r="AP105" s="835"/>
      <c r="AQ105" s="835"/>
      <c r="AR105" s="835"/>
    </row>
    <row r="106" spans="1:44" ht="191.25" hidden="1" customHeight="1" thickBot="1" x14ac:dyDescent="0.35">
      <c r="A106" s="617">
        <v>14</v>
      </c>
      <c r="B106" s="833" t="s">
        <v>603</v>
      </c>
      <c r="C106" s="836" t="s">
        <v>1349</v>
      </c>
      <c r="D106" s="836" t="s">
        <v>1351</v>
      </c>
      <c r="E106" s="686" t="e">
        <f>HLOOKUP($D$2,'2020 Data(H)'!$C$1:$CR$399,11,FALSE)</f>
        <v>#N/A</v>
      </c>
      <c r="F106" s="297">
        <v>0</v>
      </c>
      <c r="G106" s="747"/>
      <c r="H106" s="17"/>
      <c r="I106" s="79"/>
      <c r="J106" s="592"/>
      <c r="L106" s="721"/>
      <c r="Z106" s="835"/>
      <c r="AA106" s="835"/>
      <c r="AB106" s="835"/>
      <c r="AC106" s="835"/>
      <c r="AD106" s="835"/>
      <c r="AE106" s="835"/>
      <c r="AF106" s="835"/>
      <c r="AG106" s="835"/>
      <c r="AH106" s="835"/>
      <c r="AI106" s="835"/>
      <c r="AJ106" s="835"/>
      <c r="AK106" s="835"/>
      <c r="AL106" s="835"/>
      <c r="AM106" s="835"/>
      <c r="AN106" s="835"/>
      <c r="AO106" s="835"/>
      <c r="AP106" s="835"/>
      <c r="AQ106" s="835"/>
      <c r="AR106" s="835"/>
    </row>
    <row r="107" spans="1:44" ht="129.75" hidden="1" customHeight="1" thickBot="1" x14ac:dyDescent="0.35">
      <c r="A107" s="617">
        <v>571</v>
      </c>
      <c r="B107" s="833" t="s">
        <v>603</v>
      </c>
      <c r="C107" s="837" t="s">
        <v>1387</v>
      </c>
      <c r="D107" s="837" t="s">
        <v>1388</v>
      </c>
      <c r="E107" s="686" t="e">
        <f>HLOOKUP($D$2,'2020 Data(H)'!$C$1:$CR$399,221,FALSE)</f>
        <v>#N/A</v>
      </c>
      <c r="F107" s="297">
        <v>0</v>
      </c>
      <c r="G107" s="747"/>
      <c r="H107" s="17"/>
      <c r="I107" s="79"/>
      <c r="J107" s="592"/>
      <c r="L107" s="721"/>
      <c r="Z107" s="835"/>
      <c r="AA107" s="835"/>
      <c r="AB107" s="835"/>
      <c r="AC107" s="835"/>
      <c r="AD107" s="835"/>
      <c r="AE107" s="835"/>
      <c r="AF107" s="835"/>
      <c r="AG107" s="835"/>
      <c r="AH107" s="835"/>
      <c r="AI107" s="835"/>
      <c r="AJ107" s="835"/>
      <c r="AK107" s="835"/>
      <c r="AL107" s="835"/>
      <c r="AM107" s="835"/>
      <c r="AN107" s="835"/>
      <c r="AO107" s="835"/>
      <c r="AP107" s="835"/>
      <c r="AQ107" s="835"/>
      <c r="AR107" s="835"/>
    </row>
    <row r="108" spans="1:44" ht="128.25" hidden="1" customHeight="1" thickBot="1" x14ac:dyDescent="0.35">
      <c r="A108" s="617">
        <v>572</v>
      </c>
      <c r="B108" s="833" t="s">
        <v>59</v>
      </c>
      <c r="C108" s="837" t="s">
        <v>1387</v>
      </c>
      <c r="D108" s="837" t="s">
        <v>1389</v>
      </c>
      <c r="E108" s="686" t="e">
        <f>HLOOKUP($D$2,'2020 Data(H)'!$C$1:$CR$399,222,FALSE)</f>
        <v>#N/A</v>
      </c>
      <c r="F108" s="297">
        <v>0</v>
      </c>
      <c r="G108" s="747"/>
      <c r="H108" s="17"/>
      <c r="I108" s="79"/>
      <c r="J108" s="592"/>
      <c r="L108" s="721"/>
      <c r="Z108" s="835"/>
      <c r="AA108" s="835"/>
      <c r="AB108" s="835"/>
      <c r="AC108" s="835"/>
      <c r="AD108" s="835"/>
      <c r="AE108" s="835"/>
      <c r="AF108" s="835"/>
      <c r="AG108" s="835"/>
      <c r="AH108" s="835"/>
      <c r="AI108" s="835"/>
      <c r="AJ108" s="835"/>
      <c r="AK108" s="835"/>
      <c r="AL108" s="835"/>
      <c r="AM108" s="835"/>
      <c r="AN108" s="835"/>
      <c r="AO108" s="835"/>
      <c r="AP108" s="835"/>
      <c r="AQ108" s="835"/>
      <c r="AR108" s="835"/>
    </row>
    <row r="109" spans="1:44" ht="120.75" hidden="1" customHeight="1" thickBot="1" x14ac:dyDescent="0.35">
      <c r="A109" s="617">
        <v>573</v>
      </c>
      <c r="B109" s="833" t="s">
        <v>603</v>
      </c>
      <c r="C109" s="837" t="s">
        <v>1387</v>
      </c>
      <c r="D109" s="837" t="s">
        <v>1547</v>
      </c>
      <c r="E109" s="686" t="e">
        <f>HLOOKUP($D$2,'2020 Data(H)'!$C$1:$CR$399,223,FALSE)</f>
        <v>#N/A</v>
      </c>
      <c r="F109" s="297">
        <v>0</v>
      </c>
      <c r="G109" s="747"/>
      <c r="H109" s="17"/>
      <c r="I109" s="79"/>
      <c r="J109" s="592"/>
      <c r="L109" s="721"/>
      <c r="Z109" s="835"/>
      <c r="AA109" s="835"/>
      <c r="AB109" s="835"/>
      <c r="AC109" s="835"/>
      <c r="AD109" s="835"/>
      <c r="AE109" s="835"/>
      <c r="AF109" s="835"/>
      <c r="AG109" s="835"/>
      <c r="AH109" s="835"/>
      <c r="AI109" s="835"/>
      <c r="AJ109" s="835"/>
      <c r="AK109" s="835"/>
      <c r="AL109" s="835"/>
      <c r="AM109" s="835"/>
      <c r="AN109" s="835"/>
      <c r="AO109" s="835"/>
      <c r="AP109" s="835"/>
      <c r="AQ109" s="835"/>
      <c r="AR109" s="835"/>
    </row>
    <row r="110" spans="1:44" ht="99.75" hidden="1" customHeight="1" thickBot="1" x14ac:dyDescent="0.35">
      <c r="A110" s="617">
        <v>34</v>
      </c>
      <c r="B110" s="833" t="s">
        <v>603</v>
      </c>
      <c r="C110" s="4" t="s">
        <v>1362</v>
      </c>
      <c r="D110" s="676" t="s">
        <v>1542</v>
      </c>
      <c r="E110" s="686" t="e">
        <f>HLOOKUP($D$2,'2020 Data(H)'!$C$1:$CR$399,22,FALSE)</f>
        <v>#N/A</v>
      </c>
      <c r="F110" s="297">
        <v>0</v>
      </c>
      <c r="G110" s="747"/>
      <c r="H110" s="17"/>
      <c r="I110" s="79"/>
      <c r="J110" s="592"/>
      <c r="L110" s="721"/>
      <c r="Z110" s="835"/>
      <c r="AA110" s="835"/>
      <c r="AB110" s="835"/>
      <c r="AC110" s="835"/>
      <c r="AD110" s="835"/>
      <c r="AE110" s="835"/>
      <c r="AF110" s="835"/>
      <c r="AG110" s="835"/>
      <c r="AH110" s="835"/>
      <c r="AI110" s="835"/>
      <c r="AJ110" s="835"/>
      <c r="AK110" s="835"/>
      <c r="AL110" s="835"/>
      <c r="AM110" s="835"/>
      <c r="AN110" s="835"/>
      <c r="AO110" s="835"/>
      <c r="AP110" s="835"/>
      <c r="AQ110" s="835"/>
      <c r="AR110" s="835"/>
    </row>
    <row r="111" spans="1:44" ht="117" hidden="1" customHeight="1" thickBot="1" x14ac:dyDescent="0.35">
      <c r="A111" s="617">
        <v>35</v>
      </c>
      <c r="B111" s="833" t="s">
        <v>603</v>
      </c>
      <c r="C111" s="4" t="s">
        <v>1362</v>
      </c>
      <c r="D111" s="676" t="s">
        <v>1554</v>
      </c>
      <c r="E111" s="686" t="e">
        <f>HLOOKUP($D$2,'2020 Data(H)'!$C$1:$CR$399,23,FALSE)</f>
        <v>#N/A</v>
      </c>
      <c r="F111" s="297">
        <v>0</v>
      </c>
      <c r="G111" s="747"/>
      <c r="H111" s="17"/>
      <c r="I111" s="79"/>
      <c r="J111" s="592"/>
      <c r="L111" s="721"/>
      <c r="Z111" s="835"/>
      <c r="AA111" s="835"/>
      <c r="AB111" s="835"/>
      <c r="AC111" s="835"/>
      <c r="AD111" s="835"/>
      <c r="AE111" s="835"/>
      <c r="AF111" s="835"/>
      <c r="AG111" s="835"/>
      <c r="AH111" s="835"/>
      <c r="AI111" s="835"/>
      <c r="AJ111" s="835"/>
      <c r="AK111" s="835"/>
      <c r="AL111" s="835"/>
      <c r="AM111" s="835"/>
      <c r="AN111" s="835"/>
      <c r="AO111" s="835"/>
      <c r="AP111" s="835"/>
      <c r="AQ111" s="835"/>
      <c r="AR111" s="835"/>
    </row>
    <row r="112" spans="1:44" ht="108.75" hidden="1" customHeight="1" thickBot="1" x14ac:dyDescent="0.35">
      <c r="A112" s="617">
        <v>37</v>
      </c>
      <c r="B112" s="833" t="s">
        <v>603</v>
      </c>
      <c r="C112" s="4" t="s">
        <v>1362</v>
      </c>
      <c r="D112" s="676" t="s">
        <v>1467</v>
      </c>
      <c r="E112" s="686" t="e">
        <f>HLOOKUP($D$2,'2020 Data(H)'!$C$1:$CR$399,25,FALSE)</f>
        <v>#N/A</v>
      </c>
      <c r="F112" s="297">
        <v>0</v>
      </c>
      <c r="G112" s="747"/>
      <c r="H112" s="17"/>
      <c r="I112" s="79"/>
      <c r="J112" s="592"/>
      <c r="L112" s="721"/>
      <c r="Z112" s="835"/>
      <c r="AA112" s="835"/>
      <c r="AB112" s="835"/>
      <c r="AC112" s="835"/>
      <c r="AD112" s="835"/>
      <c r="AE112" s="835"/>
      <c r="AF112" s="835"/>
      <c r="AG112" s="835"/>
      <c r="AH112" s="835"/>
      <c r="AI112" s="835"/>
      <c r="AJ112" s="835"/>
      <c r="AK112" s="835"/>
      <c r="AL112" s="835"/>
      <c r="AM112" s="835"/>
      <c r="AN112" s="835"/>
      <c r="AO112" s="835"/>
      <c r="AP112" s="835"/>
      <c r="AQ112" s="835"/>
      <c r="AR112" s="835"/>
    </row>
    <row r="113" spans="1:44" ht="102.75" hidden="1" customHeight="1" thickBot="1" x14ac:dyDescent="0.35">
      <c r="A113" s="617">
        <v>38</v>
      </c>
      <c r="B113" s="833" t="s">
        <v>603</v>
      </c>
      <c r="C113" s="4" t="s">
        <v>1362</v>
      </c>
      <c r="D113" s="676" t="s">
        <v>1365</v>
      </c>
      <c r="E113" s="686" t="e">
        <f>HLOOKUP($D$2,'2020 Data(H)'!$C$1:$CR$399,26,FALSE)</f>
        <v>#N/A</v>
      </c>
      <c r="F113" s="297">
        <v>0</v>
      </c>
      <c r="G113" s="747"/>
      <c r="H113" s="17"/>
      <c r="I113" s="79"/>
      <c r="J113" s="592"/>
      <c r="L113" s="721"/>
      <c r="Z113" s="835"/>
      <c r="AA113" s="835"/>
      <c r="AB113" s="835"/>
      <c r="AC113" s="835"/>
      <c r="AD113" s="835"/>
      <c r="AE113" s="835"/>
      <c r="AF113" s="835"/>
      <c r="AG113" s="835"/>
      <c r="AH113" s="835"/>
      <c r="AI113" s="835"/>
      <c r="AJ113" s="835"/>
      <c r="AK113" s="835"/>
      <c r="AL113" s="835"/>
      <c r="AM113" s="835"/>
      <c r="AN113" s="835"/>
      <c r="AO113" s="835"/>
      <c r="AP113" s="835"/>
      <c r="AQ113" s="835"/>
      <c r="AR113" s="835"/>
    </row>
    <row r="114" spans="1:44" ht="117.75" hidden="1" customHeight="1" thickBot="1" x14ac:dyDescent="0.35">
      <c r="A114" s="617">
        <v>32</v>
      </c>
      <c r="B114" s="833" t="s">
        <v>722</v>
      </c>
      <c r="C114" s="836" t="s">
        <v>1352</v>
      </c>
      <c r="D114" s="836" t="s">
        <v>1353</v>
      </c>
      <c r="E114" s="686" t="e">
        <f>HLOOKUP($D$2,'2020 Data(H)'!$C$1:$CR$399,20,FALSE)</f>
        <v>#N/A</v>
      </c>
      <c r="F114" s="297">
        <v>0</v>
      </c>
      <c r="G114" s="747"/>
      <c r="H114" s="17"/>
      <c r="I114" s="79"/>
      <c r="J114" s="592"/>
      <c r="L114" s="721"/>
      <c r="Z114" s="835"/>
      <c r="AA114" s="835"/>
      <c r="AB114" s="835"/>
      <c r="AC114" s="835"/>
      <c r="AD114" s="835"/>
      <c r="AE114" s="835"/>
      <c r="AF114" s="835"/>
      <c r="AG114" s="835"/>
      <c r="AH114" s="835"/>
      <c r="AI114" s="835"/>
      <c r="AJ114" s="835"/>
      <c r="AK114" s="835"/>
      <c r="AL114" s="835"/>
      <c r="AM114" s="835"/>
      <c r="AN114" s="835"/>
      <c r="AO114" s="835"/>
      <c r="AP114" s="835"/>
      <c r="AQ114" s="835"/>
      <c r="AR114" s="835"/>
    </row>
    <row r="115" spans="1:44" ht="116.25" hidden="1" customHeight="1" thickBot="1" x14ac:dyDescent="0.35">
      <c r="A115" s="617">
        <v>40</v>
      </c>
      <c r="B115" s="833" t="s">
        <v>603</v>
      </c>
      <c r="C115" s="836" t="s">
        <v>1366</v>
      </c>
      <c r="D115" s="676" t="s">
        <v>1367</v>
      </c>
      <c r="E115" s="686" t="e">
        <f>HLOOKUP($D$2,'2020 Data(H)'!$C$1:$CR$399,28,FALSE)</f>
        <v>#N/A</v>
      </c>
      <c r="F115" s="297">
        <v>0</v>
      </c>
      <c r="G115" s="747"/>
      <c r="H115" s="17"/>
      <c r="I115" s="79"/>
      <c r="J115" s="592"/>
      <c r="L115" s="721"/>
      <c r="Z115" s="835"/>
      <c r="AA115" s="835"/>
      <c r="AB115" s="835"/>
      <c r="AC115" s="835"/>
      <c r="AD115" s="835"/>
      <c r="AE115" s="835"/>
      <c r="AF115" s="835"/>
      <c r="AG115" s="835"/>
      <c r="AH115" s="835"/>
      <c r="AI115" s="835"/>
      <c r="AJ115" s="835"/>
      <c r="AK115" s="835"/>
      <c r="AL115" s="835"/>
      <c r="AM115" s="835"/>
      <c r="AN115" s="835"/>
      <c r="AO115" s="835"/>
      <c r="AP115" s="835"/>
      <c r="AQ115" s="835"/>
      <c r="AR115" s="835"/>
    </row>
    <row r="116" spans="1:44" ht="104.25" hidden="1" customHeight="1" thickBot="1" x14ac:dyDescent="0.35">
      <c r="A116" s="617">
        <v>107</v>
      </c>
      <c r="B116" s="833" t="s">
        <v>603</v>
      </c>
      <c r="C116" s="836" t="s">
        <v>1366</v>
      </c>
      <c r="D116" s="676" t="s">
        <v>1368</v>
      </c>
      <c r="E116" s="686" t="e">
        <f>HLOOKUP($D$2,'2020 Data(H)'!$C$1:$CR$399,65,FALSE)</f>
        <v>#N/A</v>
      </c>
      <c r="F116" s="297">
        <v>0</v>
      </c>
      <c r="G116" s="747"/>
      <c r="H116" s="17"/>
      <c r="I116" s="79"/>
      <c r="J116" s="592"/>
      <c r="L116" s="721"/>
      <c r="Z116" s="835"/>
      <c r="AA116" s="835"/>
      <c r="AB116" s="835"/>
      <c r="AC116" s="835"/>
      <c r="AD116" s="835"/>
      <c r="AE116" s="835"/>
      <c r="AF116" s="835"/>
      <c r="AG116" s="835"/>
      <c r="AH116" s="835"/>
      <c r="AI116" s="835"/>
      <c r="AJ116" s="835"/>
      <c r="AK116" s="835"/>
      <c r="AL116" s="835"/>
      <c r="AM116" s="835"/>
      <c r="AN116" s="835"/>
      <c r="AO116" s="835"/>
      <c r="AP116" s="835"/>
      <c r="AQ116" s="835"/>
      <c r="AR116" s="835"/>
    </row>
    <row r="117" spans="1:44" ht="107.25" hidden="1" customHeight="1" thickBot="1" x14ac:dyDescent="0.35">
      <c r="A117" s="617">
        <v>108</v>
      </c>
      <c r="B117" s="833" t="s">
        <v>603</v>
      </c>
      <c r="C117" s="836" t="s">
        <v>1366</v>
      </c>
      <c r="D117" s="676" t="s">
        <v>1468</v>
      </c>
      <c r="E117" s="686" t="e">
        <f>HLOOKUP($D$2,'2020 Data(H)'!$C$1:$CR$399,66,FALSE)</f>
        <v>#N/A</v>
      </c>
      <c r="F117" s="297">
        <v>0</v>
      </c>
      <c r="G117" s="747"/>
      <c r="H117" s="17"/>
      <c r="I117" s="79"/>
      <c r="J117" s="592"/>
      <c r="L117" s="721"/>
      <c r="Z117" s="835"/>
      <c r="AA117" s="835"/>
      <c r="AB117" s="835"/>
      <c r="AC117" s="835"/>
      <c r="AD117" s="835"/>
      <c r="AE117" s="835"/>
      <c r="AF117" s="835"/>
      <c r="AG117" s="835"/>
      <c r="AH117" s="835"/>
      <c r="AI117" s="835"/>
      <c r="AJ117" s="835"/>
      <c r="AK117" s="835"/>
      <c r="AL117" s="835"/>
      <c r="AM117" s="835"/>
      <c r="AN117" s="835"/>
      <c r="AO117" s="835"/>
      <c r="AP117" s="835"/>
      <c r="AQ117" s="835"/>
      <c r="AR117" s="835"/>
    </row>
    <row r="118" spans="1:44" ht="93" hidden="1" customHeight="1" thickBot="1" x14ac:dyDescent="0.35">
      <c r="A118" s="617">
        <v>41</v>
      </c>
      <c r="B118" s="833" t="s">
        <v>603</v>
      </c>
      <c r="C118" s="836" t="s">
        <v>1366</v>
      </c>
      <c r="D118" s="676" t="s">
        <v>1469</v>
      </c>
      <c r="E118" s="686" t="e">
        <f>HLOOKUP($D$2,'2020 Data(H)'!$C$1:$CR$399,29,FALSE)</f>
        <v>#N/A</v>
      </c>
      <c r="F118" s="297">
        <v>0</v>
      </c>
      <c r="G118" s="747"/>
      <c r="H118" s="17"/>
      <c r="I118" s="79"/>
      <c r="J118" s="592"/>
      <c r="L118" s="721"/>
      <c r="Z118" s="835"/>
      <c r="AA118" s="835"/>
      <c r="AB118" s="835"/>
      <c r="AC118" s="835"/>
      <c r="AD118" s="835"/>
      <c r="AE118" s="835"/>
      <c r="AF118" s="835"/>
      <c r="AG118" s="835"/>
      <c r="AH118" s="835"/>
      <c r="AI118" s="835"/>
      <c r="AJ118" s="835"/>
      <c r="AK118" s="835"/>
      <c r="AL118" s="835"/>
      <c r="AM118" s="835"/>
      <c r="AN118" s="835"/>
      <c r="AO118" s="835"/>
      <c r="AP118" s="835"/>
      <c r="AQ118" s="835"/>
      <c r="AR118" s="835"/>
    </row>
    <row r="119" spans="1:44" ht="120.75" hidden="1" customHeight="1" thickBot="1" x14ac:dyDescent="0.35">
      <c r="A119" s="617">
        <v>194</v>
      </c>
      <c r="B119" s="833" t="s">
        <v>603</v>
      </c>
      <c r="C119" s="836" t="s">
        <v>1366</v>
      </c>
      <c r="D119" s="676" t="s">
        <v>1369</v>
      </c>
      <c r="E119" s="686" t="e">
        <f>HLOOKUP($D$2,'2020 Data(H)'!$C$1:$CR$399,75,FALSE)</f>
        <v>#N/A</v>
      </c>
      <c r="F119" s="297">
        <v>0</v>
      </c>
      <c r="G119" s="747"/>
      <c r="H119" s="17"/>
      <c r="I119" s="79"/>
      <c r="J119" s="592"/>
      <c r="L119" s="721"/>
      <c r="Z119" s="835"/>
      <c r="AA119" s="835"/>
      <c r="AB119" s="835"/>
      <c r="AC119" s="835"/>
      <c r="AD119" s="835"/>
      <c r="AE119" s="835"/>
      <c r="AF119" s="835"/>
      <c r="AG119" s="835"/>
      <c r="AH119" s="835"/>
      <c r="AI119" s="835"/>
      <c r="AJ119" s="835"/>
      <c r="AK119" s="835"/>
      <c r="AL119" s="835"/>
      <c r="AM119" s="835"/>
      <c r="AN119" s="835"/>
      <c r="AO119" s="835"/>
      <c r="AP119" s="835"/>
      <c r="AQ119" s="835"/>
      <c r="AR119" s="835"/>
    </row>
    <row r="120" spans="1:44" ht="123.75" hidden="1" customHeight="1" thickBot="1" x14ac:dyDescent="0.35">
      <c r="A120" s="617">
        <v>294</v>
      </c>
      <c r="B120" s="833" t="s">
        <v>603</v>
      </c>
      <c r="C120" s="836" t="s">
        <v>1366</v>
      </c>
      <c r="D120" s="676" t="s">
        <v>1370</v>
      </c>
      <c r="E120" s="686" t="e">
        <f>HLOOKUP($D$2,'2020 Data(H)'!$C$1:$CR$399,83,FALSE)</f>
        <v>#N/A</v>
      </c>
      <c r="F120" s="297">
        <v>0</v>
      </c>
      <c r="G120" s="747"/>
      <c r="H120" s="17"/>
      <c r="I120" s="79"/>
      <c r="J120" s="592"/>
      <c r="L120" s="721"/>
      <c r="Z120" s="835"/>
      <c r="AA120" s="835"/>
      <c r="AB120" s="835"/>
      <c r="AC120" s="835"/>
      <c r="AD120" s="835"/>
      <c r="AE120" s="835"/>
      <c r="AF120" s="835"/>
      <c r="AG120" s="835"/>
      <c r="AH120" s="835"/>
      <c r="AI120" s="835"/>
      <c r="AJ120" s="835"/>
      <c r="AK120" s="835"/>
      <c r="AL120" s="835"/>
      <c r="AM120" s="835"/>
      <c r="AN120" s="835"/>
      <c r="AO120" s="835"/>
      <c r="AP120" s="835"/>
      <c r="AQ120" s="835"/>
      <c r="AR120" s="835"/>
    </row>
    <row r="121" spans="1:44" hidden="1" x14ac:dyDescent="0.3">
      <c r="A121" s="816"/>
      <c r="E121" s="686"/>
      <c r="Z121" s="18"/>
    </row>
    <row r="122" spans="1:44" hidden="1" x14ac:dyDescent="0.3">
      <c r="A122" s="816"/>
      <c r="E122" s="686"/>
      <c r="Z122" s="18"/>
    </row>
    <row r="123" spans="1:44" ht="129.75" hidden="1" customHeight="1" thickBot="1" x14ac:dyDescent="0.35">
      <c r="A123" s="617">
        <v>31</v>
      </c>
      <c r="B123" s="833" t="s">
        <v>722</v>
      </c>
      <c r="C123" s="836" t="s">
        <v>1352</v>
      </c>
      <c r="D123" s="836" t="s">
        <v>1354</v>
      </c>
      <c r="E123" s="686" t="e">
        <f>HLOOKUP($D$2,'2020 Data(H)'!$C$1:$CR$399,19,FALSE)</f>
        <v>#N/A</v>
      </c>
      <c r="F123" s="297">
        <v>0</v>
      </c>
      <c r="G123" s="747"/>
      <c r="H123" s="17"/>
      <c r="I123" s="79"/>
      <c r="J123" s="592"/>
      <c r="L123" s="721"/>
      <c r="Z123" s="835"/>
      <c r="AA123" s="835"/>
      <c r="AB123" s="835"/>
      <c r="AC123" s="835"/>
      <c r="AD123" s="835"/>
      <c r="AE123" s="835"/>
      <c r="AF123" s="835"/>
      <c r="AG123" s="835"/>
      <c r="AH123" s="835"/>
      <c r="AI123" s="835"/>
      <c r="AJ123" s="835"/>
      <c r="AK123" s="835"/>
      <c r="AL123" s="835"/>
      <c r="AM123" s="835"/>
      <c r="AN123" s="835"/>
      <c r="AO123" s="835"/>
      <c r="AP123" s="835"/>
      <c r="AQ123" s="835"/>
      <c r="AR123" s="835"/>
    </row>
    <row r="124" spans="1:44" ht="94.5" hidden="1" customHeight="1" thickBot="1" x14ac:dyDescent="0.35">
      <c r="A124" s="1105">
        <v>193</v>
      </c>
      <c r="B124" s="833" t="s">
        <v>722</v>
      </c>
      <c r="C124" s="836" t="s">
        <v>1355</v>
      </c>
      <c r="D124" s="836" t="s">
        <v>383</v>
      </c>
      <c r="E124" s="686" t="e">
        <f>HLOOKUP($D$2,'2020 Data(H)'!$C$1:$CR$399,74,FALSE)</f>
        <v>#N/A</v>
      </c>
      <c r="F124" s="297">
        <v>0</v>
      </c>
      <c r="G124" s="747"/>
      <c r="H124" s="17"/>
      <c r="I124" s="79"/>
      <c r="J124" s="592"/>
      <c r="L124" s="721"/>
      <c r="Z124" s="835"/>
      <c r="AA124" s="835"/>
      <c r="AB124" s="835"/>
      <c r="AC124" s="835"/>
      <c r="AD124" s="835"/>
      <c r="AE124" s="835"/>
      <c r="AF124" s="835"/>
      <c r="AG124" s="835"/>
      <c r="AH124" s="835"/>
      <c r="AI124" s="835"/>
      <c r="AJ124" s="835"/>
      <c r="AK124" s="835"/>
      <c r="AL124" s="835"/>
      <c r="AM124" s="835"/>
      <c r="AN124" s="835"/>
      <c r="AO124" s="835"/>
      <c r="AP124" s="835"/>
      <c r="AQ124" s="835"/>
      <c r="AR124" s="835"/>
    </row>
    <row r="125" spans="1:44" ht="78" hidden="1" customHeight="1" thickBot="1" x14ac:dyDescent="0.35">
      <c r="A125" s="1105">
        <v>33</v>
      </c>
      <c r="B125" s="833" t="s">
        <v>722</v>
      </c>
      <c r="C125" s="836" t="s">
        <v>1355</v>
      </c>
      <c r="D125" s="836" t="s">
        <v>318</v>
      </c>
      <c r="E125" s="686" t="e">
        <f>HLOOKUP($D$2,'2020 Data(H)'!$C$1:$CR$399,21,FALSE)</f>
        <v>#N/A</v>
      </c>
      <c r="F125" s="297">
        <v>0</v>
      </c>
      <c r="G125" s="747"/>
      <c r="H125" s="17"/>
      <c r="I125" s="79"/>
      <c r="J125" s="592"/>
      <c r="L125" s="721"/>
      <c r="Z125" s="835"/>
      <c r="AA125" s="835"/>
      <c r="AB125" s="835"/>
      <c r="AC125" s="835"/>
      <c r="AD125" s="835"/>
      <c r="AE125" s="835"/>
      <c r="AF125" s="835"/>
      <c r="AG125" s="835"/>
      <c r="AH125" s="835"/>
      <c r="AI125" s="835"/>
      <c r="AJ125" s="835"/>
      <c r="AK125" s="835"/>
      <c r="AL125" s="835"/>
      <c r="AM125" s="835"/>
      <c r="AN125" s="835"/>
      <c r="AO125" s="835"/>
      <c r="AP125" s="835"/>
      <c r="AQ125" s="835"/>
      <c r="AR125" s="835"/>
    </row>
    <row r="126" spans="1:44" ht="55.5" hidden="1" customHeight="1" thickBot="1" x14ac:dyDescent="0.35">
      <c r="A126" s="617">
        <v>104</v>
      </c>
      <c r="B126" s="833" t="s">
        <v>722</v>
      </c>
      <c r="C126" s="4" t="s">
        <v>1371</v>
      </c>
      <c r="D126" s="676" t="s">
        <v>1372</v>
      </c>
      <c r="E126" s="686" t="e">
        <f>HLOOKUP($D$2,'2020 Data(H)'!$C$1:$CR$399,64,FALSE)</f>
        <v>#N/A</v>
      </c>
      <c r="F126" s="297">
        <v>0</v>
      </c>
      <c r="G126" s="747"/>
      <c r="H126" s="17"/>
      <c r="I126" s="79"/>
      <c r="J126" s="592"/>
      <c r="L126" s="721"/>
      <c r="Z126" s="835"/>
      <c r="AA126" s="835"/>
      <c r="AB126" s="835"/>
      <c r="AC126" s="835"/>
      <c r="AD126" s="835"/>
      <c r="AE126" s="835"/>
      <c r="AF126" s="835"/>
      <c r="AG126" s="835"/>
      <c r="AH126" s="835"/>
      <c r="AI126" s="835"/>
      <c r="AJ126" s="835"/>
      <c r="AK126" s="835"/>
      <c r="AL126" s="835"/>
      <c r="AM126" s="835"/>
      <c r="AN126" s="835"/>
      <c r="AO126" s="835"/>
      <c r="AP126" s="835"/>
      <c r="AQ126" s="835"/>
      <c r="AR126" s="835"/>
    </row>
    <row r="127" spans="1:44" ht="70.5" hidden="1" customHeight="1" thickBot="1" x14ac:dyDescent="0.35">
      <c r="A127" s="617">
        <v>39</v>
      </c>
      <c r="B127" s="833" t="s">
        <v>722</v>
      </c>
      <c r="C127" s="4" t="s">
        <v>1371</v>
      </c>
      <c r="D127" s="24" t="s">
        <v>1373</v>
      </c>
      <c r="E127" s="686" t="e">
        <f>HLOOKUP($D$2,'2020 Data(H)'!$C$1:$CR$399,27,FALSE)</f>
        <v>#N/A</v>
      </c>
      <c r="F127" s="297">
        <v>0</v>
      </c>
      <c r="G127" s="747"/>
      <c r="H127" s="17"/>
      <c r="I127" s="79"/>
      <c r="J127" s="592"/>
      <c r="L127" s="721"/>
      <c r="Z127" s="835"/>
      <c r="AA127" s="835"/>
      <c r="AB127" s="835"/>
      <c r="AC127" s="835"/>
      <c r="AD127" s="835"/>
      <c r="AE127" s="835"/>
      <c r="AF127" s="835"/>
      <c r="AG127" s="835"/>
      <c r="AH127" s="835"/>
      <c r="AI127" s="835"/>
      <c r="AJ127" s="835"/>
      <c r="AK127" s="835"/>
      <c r="AL127" s="835"/>
      <c r="AM127" s="835"/>
      <c r="AN127" s="835"/>
      <c r="AO127" s="835"/>
      <c r="AP127" s="835"/>
      <c r="AQ127" s="835"/>
      <c r="AR127" s="835"/>
    </row>
    <row r="128" spans="1:44" ht="15" thickBot="1" x14ac:dyDescent="0.35">
      <c r="A128" s="108"/>
      <c r="B128" s="873" t="s">
        <v>1470</v>
      </c>
      <c r="C128" s="873"/>
      <c r="D128" s="857"/>
      <c r="E128" s="857"/>
      <c r="F128" s="877"/>
      <c r="G128" s="878"/>
      <c r="H128" s="17"/>
      <c r="I128" s="79"/>
      <c r="L128" s="721"/>
      <c r="Z128" s="108"/>
      <c r="AA128" s="108"/>
      <c r="AB128" s="108"/>
      <c r="AC128" s="108"/>
      <c r="AD128" s="108"/>
      <c r="AE128" s="108"/>
      <c r="AF128" s="108"/>
      <c r="AG128" s="108"/>
      <c r="AH128" s="108"/>
      <c r="AI128" s="108"/>
      <c r="AJ128" s="108"/>
      <c r="AK128" s="108"/>
      <c r="AL128" s="108"/>
      <c r="AM128" s="108"/>
      <c r="AN128" s="108"/>
      <c r="AO128" s="108"/>
      <c r="AP128" s="108"/>
      <c r="AQ128" s="108"/>
      <c r="AR128" s="108"/>
    </row>
    <row r="129" spans="1:44" ht="15" thickBot="1" x14ac:dyDescent="0.35">
      <c r="A129" s="108"/>
      <c r="B129" s="873" t="s">
        <v>24</v>
      </c>
      <c r="C129" s="873"/>
      <c r="D129" s="873"/>
      <c r="E129" s="855"/>
      <c r="F129" s="879"/>
      <c r="G129" s="880"/>
      <c r="H129" s="17"/>
      <c r="I129" s="79"/>
      <c r="L129" s="721"/>
      <c r="Z129" s="108"/>
      <c r="AA129" s="108"/>
      <c r="AB129" s="108"/>
      <c r="AC129" s="108"/>
      <c r="AD129" s="108"/>
      <c r="AE129" s="108"/>
      <c r="AF129" s="108"/>
      <c r="AG129" s="108"/>
      <c r="AH129" s="108"/>
      <c r="AI129" s="108"/>
      <c r="AJ129" s="108"/>
      <c r="AK129" s="108"/>
      <c r="AL129" s="108"/>
      <c r="AM129" s="108"/>
      <c r="AN129" s="108"/>
      <c r="AO129" s="108"/>
      <c r="AP129" s="108"/>
      <c r="AQ129" s="108"/>
      <c r="AR129" s="108"/>
    </row>
    <row r="130" spans="1:44" ht="15" thickBot="1" x14ac:dyDescent="0.35">
      <c r="A130" s="108"/>
      <c r="B130" s="873" t="s">
        <v>22</v>
      </c>
      <c r="C130" s="873"/>
      <c r="D130" s="873"/>
      <c r="E130" s="855"/>
      <c r="F130" s="879"/>
      <c r="G130" s="880"/>
      <c r="H130" s="761"/>
      <c r="I130" s="79"/>
      <c r="L130" s="721"/>
      <c r="Z130" s="108"/>
      <c r="AA130" s="108"/>
      <c r="AB130" s="108"/>
      <c r="AC130" s="108"/>
      <c r="AD130" s="108"/>
      <c r="AE130" s="108"/>
      <c r="AF130" s="108"/>
      <c r="AG130" s="108"/>
      <c r="AH130" s="108"/>
      <c r="AI130" s="108"/>
      <c r="AJ130" s="108"/>
      <c r="AK130" s="108"/>
      <c r="AL130" s="108"/>
      <c r="AM130" s="108"/>
      <c r="AN130" s="108"/>
      <c r="AO130" s="108"/>
      <c r="AP130" s="108"/>
      <c r="AQ130" s="108"/>
      <c r="AR130" s="108"/>
    </row>
    <row r="131" spans="1:44" ht="78" customHeight="1" thickBot="1" x14ac:dyDescent="0.35">
      <c r="A131" s="108">
        <v>596</v>
      </c>
      <c r="B131" s="688" t="s">
        <v>57</v>
      </c>
      <c r="C131" s="838"/>
      <c r="D131" s="685" t="s">
        <v>612</v>
      </c>
      <c r="E131" s="686" t="e">
        <f>HLOOKUP($D$2,'2020 Data(H)'!$C$1:$CR$399,255,FALSE)</f>
        <v>#N/A</v>
      </c>
      <c r="F131" s="297"/>
      <c r="G131" s="762"/>
      <c r="H131" s="761"/>
      <c r="I131" s="79"/>
      <c r="L131" s="721"/>
      <c r="Z131" s="108"/>
      <c r="AA131" s="108"/>
      <c r="AB131" s="108"/>
      <c r="AC131" s="108"/>
      <c r="AD131" s="108"/>
      <c r="AE131" s="108"/>
      <c r="AF131" s="108"/>
      <c r="AG131" s="108"/>
      <c r="AH131" s="108"/>
      <c r="AI131" s="108"/>
      <c r="AJ131" s="108"/>
      <c r="AK131" s="108"/>
      <c r="AL131" s="108"/>
      <c r="AM131" s="108"/>
      <c r="AN131" s="108"/>
      <c r="AO131" s="108"/>
      <c r="AP131" s="108"/>
      <c r="AQ131" s="108"/>
      <c r="AR131" s="108"/>
    </row>
    <row r="132" spans="1:44" ht="114.75" customHeight="1" thickBot="1" x14ac:dyDescent="0.35">
      <c r="A132" s="108">
        <v>80</v>
      </c>
      <c r="B132" s="4" t="s">
        <v>62</v>
      </c>
      <c r="C132" s="4" t="s">
        <v>1471</v>
      </c>
      <c r="D132" s="24" t="s">
        <v>1472</v>
      </c>
      <c r="E132" s="686" t="e">
        <f>HLOOKUP($D$2,'2020 Data(H)'!$C$1:$CR$399,44,FALSE)</f>
        <v>#N/A</v>
      </c>
      <c r="F132" s="275">
        <v>0</v>
      </c>
      <c r="G132" s="686" t="e">
        <f>HLOOKUP($D$2,'2020 Data(H)'!C1:BS295,249,FALSE)</f>
        <v>#N/A</v>
      </c>
      <c r="H132" s="763"/>
      <c r="I132" s="79"/>
      <c r="L132" s="721"/>
      <c r="Z132" s="108"/>
      <c r="AA132" s="108"/>
      <c r="AB132" s="108"/>
      <c r="AC132" s="108"/>
      <c r="AD132" s="108"/>
      <c r="AE132" s="108"/>
      <c r="AF132" s="108"/>
      <c r="AG132" s="108"/>
      <c r="AH132" s="108"/>
      <c r="AI132" s="108"/>
      <c r="AJ132" s="108"/>
      <c r="AK132" s="108"/>
      <c r="AL132" s="108"/>
      <c r="AM132" s="108"/>
      <c r="AN132" s="108"/>
      <c r="AO132" s="108"/>
      <c r="AP132" s="108"/>
      <c r="AQ132" s="108"/>
      <c r="AR132" s="108"/>
    </row>
    <row r="133" spans="1:44" ht="63.75" customHeight="1" thickBot="1" x14ac:dyDescent="0.35">
      <c r="A133" s="108">
        <v>81</v>
      </c>
      <c r="B133" s="4" t="s">
        <v>62</v>
      </c>
      <c r="C133" s="4" t="s">
        <v>1471</v>
      </c>
      <c r="D133" s="24" t="s">
        <v>1473</v>
      </c>
      <c r="E133" s="686" t="e">
        <f>HLOOKUP($D$2,'2020 Data(H)'!$C$1:$CR$399,45,FALSE)</f>
        <v>#N/A</v>
      </c>
      <c r="F133" s="297">
        <v>0</v>
      </c>
      <c r="G133" s="757"/>
      <c r="H133" s="17"/>
      <c r="I133" s="79"/>
      <c r="L133" s="721"/>
      <c r="Z133" s="108"/>
      <c r="AA133" s="108"/>
      <c r="AB133" s="108"/>
      <c r="AC133" s="108"/>
      <c r="AD133" s="108"/>
      <c r="AE133" s="108"/>
      <c r="AF133" s="108"/>
      <c r="AG133" s="108"/>
      <c r="AH133" s="108"/>
      <c r="AI133" s="108"/>
      <c r="AJ133" s="108"/>
      <c r="AK133" s="108"/>
      <c r="AL133" s="108"/>
      <c r="AM133" s="108"/>
      <c r="AN133" s="108"/>
      <c r="AO133" s="108"/>
      <c r="AP133" s="108"/>
      <c r="AQ133" s="108"/>
      <c r="AR133" s="108"/>
    </row>
    <row r="134" spans="1:44" ht="84" customHeight="1" thickBot="1" x14ac:dyDescent="0.35">
      <c r="A134" s="108">
        <v>579</v>
      </c>
      <c r="B134" s="839" t="s">
        <v>559</v>
      </c>
      <c r="C134" s="688" t="s">
        <v>1471</v>
      </c>
      <c r="D134" s="840" t="s">
        <v>1474</v>
      </c>
      <c r="E134" s="686" t="e">
        <f>HLOOKUP($D$2,'2020 Data(H)'!$C$1:$CR$399,229,FALSE)</f>
        <v>#N/A</v>
      </c>
      <c r="F134" s="297">
        <v>0</v>
      </c>
      <c r="G134" s="747"/>
      <c r="H134" s="17"/>
      <c r="I134" s="748"/>
      <c r="L134" s="721"/>
      <c r="Z134" s="108"/>
      <c r="AA134" s="108"/>
      <c r="AB134" s="108"/>
      <c r="AC134" s="108"/>
      <c r="AD134" s="108"/>
      <c r="AE134" s="108"/>
      <c r="AF134" s="108"/>
      <c r="AG134" s="108"/>
      <c r="AH134" s="108"/>
      <c r="AI134" s="108"/>
      <c r="AJ134" s="108"/>
      <c r="AK134" s="108"/>
      <c r="AL134" s="108"/>
      <c r="AM134" s="108"/>
      <c r="AN134" s="108"/>
      <c r="AO134" s="108"/>
      <c r="AP134" s="108"/>
      <c r="AQ134" s="108"/>
      <c r="AR134" s="108"/>
    </row>
    <row r="135" spans="1:44" ht="48.75" customHeight="1" x14ac:dyDescent="0.3">
      <c r="A135" s="108">
        <v>510</v>
      </c>
      <c r="B135" s="4" t="s">
        <v>37</v>
      </c>
      <c r="C135" s="4" t="s">
        <v>1471</v>
      </c>
      <c r="D135" s="29" t="s">
        <v>531</v>
      </c>
      <c r="E135" s="686" t="e">
        <f>HLOOKUP($D$2,'2020 Data(H)'!$C$1:$CR$399,160,FALSE)</f>
        <v>#N/A</v>
      </c>
      <c r="F135" s="297">
        <v>0</v>
      </c>
      <c r="G135" s="757"/>
      <c r="H135" s="17"/>
      <c r="I135" s="79"/>
      <c r="Z135" s="108"/>
      <c r="AA135" s="108"/>
      <c r="AB135" s="108"/>
      <c r="AC135" s="108"/>
      <c r="AD135" s="108"/>
      <c r="AE135" s="108"/>
      <c r="AF135" s="108"/>
      <c r="AG135" s="108"/>
      <c r="AH135" s="108"/>
      <c r="AI135" s="108"/>
      <c r="AJ135" s="108"/>
      <c r="AK135" s="108"/>
      <c r="AL135" s="108"/>
      <c r="AM135" s="108"/>
      <c r="AN135" s="108"/>
      <c r="AO135" s="108"/>
      <c r="AP135" s="108"/>
      <c r="AQ135" s="108"/>
      <c r="AR135" s="108"/>
    </row>
    <row r="136" spans="1:44" ht="68.25" customHeight="1" x14ac:dyDescent="0.3">
      <c r="A136" s="310">
        <v>654</v>
      </c>
      <c r="B136" s="841" t="s">
        <v>37</v>
      </c>
      <c r="C136" s="841" t="s">
        <v>1471</v>
      </c>
      <c r="D136" s="342" t="s">
        <v>1475</v>
      </c>
      <c r="E136" s="686" t="e">
        <f>HLOOKUP($D$2,'2020 Data(H)'!$C$1:$CR$399,307,FALSE)</f>
        <v>#N/A</v>
      </c>
      <c r="F136" s="297">
        <v>0</v>
      </c>
      <c r="G136" s="747">
        <f>IF((F132+F133+F135)&gt;F136,"Error: Please review components of current assets above.  Account numbers (80+81+510)&gt;654",)</f>
        <v>0</v>
      </c>
      <c r="H136" s="17"/>
      <c r="I136" s="79"/>
      <c r="Z136" s="310"/>
      <c r="AA136" s="310"/>
      <c r="AB136" s="310"/>
      <c r="AC136" s="310"/>
      <c r="AD136" s="310"/>
      <c r="AE136" s="310"/>
      <c r="AF136" s="310"/>
      <c r="AG136" s="310"/>
      <c r="AH136" s="310"/>
      <c r="AI136" s="310"/>
      <c r="AJ136" s="310"/>
      <c r="AK136" s="310"/>
      <c r="AL136" s="310"/>
      <c r="AM136" s="310"/>
      <c r="AN136" s="310"/>
      <c r="AO136" s="310"/>
      <c r="AP136" s="310"/>
      <c r="AQ136" s="310"/>
      <c r="AR136" s="310"/>
    </row>
    <row r="137" spans="1:44" ht="75.75" customHeight="1" x14ac:dyDescent="0.3">
      <c r="A137" s="310">
        <v>655</v>
      </c>
      <c r="B137" s="841" t="s">
        <v>37</v>
      </c>
      <c r="C137" s="841" t="s">
        <v>1471</v>
      </c>
      <c r="D137" s="312" t="s">
        <v>852</v>
      </c>
      <c r="E137" s="686" t="e">
        <f>HLOOKUP($D$2,'2020 Data(H)'!$C$1:$CR$399,308,FALSE)</f>
        <v>#N/A</v>
      </c>
      <c r="F137" s="297">
        <v>0</v>
      </c>
      <c r="G137" s="747"/>
      <c r="H137" s="17"/>
      <c r="I137" s="79"/>
      <c r="Z137" s="310"/>
      <c r="AA137" s="310"/>
      <c r="AB137" s="310"/>
      <c r="AC137" s="310"/>
      <c r="AD137" s="310"/>
      <c r="AE137" s="310"/>
      <c r="AF137" s="310"/>
      <c r="AG137" s="310"/>
      <c r="AH137" s="310"/>
      <c r="AI137" s="310"/>
      <c r="AJ137" s="310"/>
      <c r="AK137" s="310"/>
      <c r="AL137" s="310"/>
      <c r="AM137" s="310"/>
      <c r="AN137" s="310"/>
      <c r="AO137" s="310"/>
      <c r="AP137" s="310"/>
      <c r="AQ137" s="310"/>
      <c r="AR137" s="310"/>
    </row>
    <row r="138" spans="1:44" ht="48" customHeight="1" x14ac:dyDescent="0.3">
      <c r="A138" s="108">
        <v>381</v>
      </c>
      <c r="B138" s="4" t="s">
        <v>37</v>
      </c>
      <c r="C138" s="4" t="s">
        <v>1471</v>
      </c>
      <c r="D138" s="106" t="s">
        <v>130</v>
      </c>
      <c r="E138" s="686" t="e">
        <f>HLOOKUP($D$2,'2020 Data(H)'!$C$1:$CR$399,140,FALSE)</f>
        <v>#N/A</v>
      </c>
      <c r="F138" s="297">
        <v>0</v>
      </c>
      <c r="G138" s="747">
        <f>IF(F136&gt;F138,"Error: Please review components of current assets above. Account numbers 654&gt;381",)</f>
        <v>0</v>
      </c>
      <c r="H138" s="17"/>
      <c r="I138" s="79"/>
      <c r="Z138" s="108"/>
      <c r="AA138" s="108"/>
      <c r="AB138" s="108"/>
      <c r="AC138" s="108"/>
      <c r="AD138" s="108"/>
      <c r="AE138" s="108"/>
      <c r="AF138" s="108"/>
      <c r="AG138" s="108"/>
      <c r="AH138" s="108"/>
      <c r="AI138" s="108"/>
      <c r="AJ138" s="108"/>
      <c r="AK138" s="108"/>
      <c r="AL138" s="108"/>
      <c r="AM138" s="108"/>
      <c r="AN138" s="108"/>
      <c r="AO138" s="108"/>
      <c r="AP138" s="108"/>
      <c r="AQ138" s="108"/>
      <c r="AR138" s="108"/>
    </row>
    <row r="139" spans="1:44" ht="63" customHeight="1" x14ac:dyDescent="0.3">
      <c r="A139" s="108">
        <v>578</v>
      </c>
      <c r="B139" s="688" t="s">
        <v>59</v>
      </c>
      <c r="C139" s="688" t="s">
        <v>1471</v>
      </c>
      <c r="D139" s="840" t="s">
        <v>1476</v>
      </c>
      <c r="E139" s="686" t="e">
        <f>HLOOKUP($D$2,'2020 Data(H)'!$C$1:$CR$399,228,FALSE)</f>
        <v>#N/A</v>
      </c>
      <c r="F139" s="297">
        <v>0</v>
      </c>
      <c r="G139" s="747"/>
      <c r="H139" s="748"/>
      <c r="I139" s="749"/>
      <c r="Z139" s="108"/>
      <c r="AA139" s="108"/>
      <c r="AB139" s="108"/>
      <c r="AC139" s="108"/>
      <c r="AD139" s="108"/>
      <c r="AE139" s="108"/>
      <c r="AF139" s="108"/>
      <c r="AG139" s="108"/>
      <c r="AH139" s="108"/>
      <c r="AI139" s="108"/>
      <c r="AJ139" s="108"/>
      <c r="AK139" s="108"/>
      <c r="AL139" s="108"/>
      <c r="AM139" s="108"/>
      <c r="AN139" s="108"/>
      <c r="AO139" s="108"/>
      <c r="AP139" s="108"/>
      <c r="AQ139" s="108"/>
      <c r="AR139" s="108"/>
    </row>
    <row r="140" spans="1:44" ht="126" customHeight="1" x14ac:dyDescent="0.3">
      <c r="A140" s="311">
        <v>633</v>
      </c>
      <c r="B140" s="841" t="s">
        <v>851</v>
      </c>
      <c r="C140" s="841" t="s">
        <v>726</v>
      </c>
      <c r="D140" s="342" t="s">
        <v>1555</v>
      </c>
      <c r="E140" s="686" t="e">
        <f>HLOOKUP($D$2,'2020 Data(H)'!$C$1:$CR$399,292,FALSE)</f>
        <v>#N/A</v>
      </c>
      <c r="F140" s="297">
        <v>0</v>
      </c>
      <c r="G140" s="764" t="str">
        <f>IF(F140&gt;=(F141+F142+F143+F144+F145+F146),"","Account 633 is less than the total sum of accounts 634 through 638 + 383")</f>
        <v/>
      </c>
      <c r="H140" s="770">
        <f>F140-(F141+F142+F143+F144+F145+F146)</f>
        <v>0</v>
      </c>
      <c r="I140" s="752" t="str">
        <f>IF(F140&gt;=(F141+F142+F143+F144+F145+F146),"","Account 633 is less than the total sum of accounts 634 through 638 + 383")</f>
        <v/>
      </c>
      <c r="Z140" s="311"/>
      <c r="AA140" s="311"/>
      <c r="AB140" s="311"/>
      <c r="AC140" s="311"/>
      <c r="AD140" s="311"/>
      <c r="AE140" s="311"/>
      <c r="AF140" s="311"/>
      <c r="AG140" s="311"/>
      <c r="AH140" s="311"/>
      <c r="AI140" s="311"/>
      <c r="AJ140" s="311"/>
      <c r="AK140" s="311"/>
      <c r="AL140" s="311"/>
      <c r="AM140" s="311"/>
      <c r="AN140" s="311"/>
      <c r="AO140" s="311"/>
      <c r="AP140" s="311"/>
      <c r="AQ140" s="311"/>
      <c r="AR140" s="311"/>
    </row>
    <row r="141" spans="1:44" ht="109.5" customHeight="1" x14ac:dyDescent="0.3">
      <c r="A141" s="310">
        <v>634</v>
      </c>
      <c r="B141" s="842" t="s">
        <v>722</v>
      </c>
      <c r="C141" s="841" t="s">
        <v>726</v>
      </c>
      <c r="D141" s="342" t="s">
        <v>1557</v>
      </c>
      <c r="E141" s="686" t="e">
        <f>HLOOKUP($D$2,'2020 Data(H)'!$C$1:$CR$399,293,FALSE)</f>
        <v>#N/A</v>
      </c>
      <c r="F141" s="297">
        <v>0</v>
      </c>
      <c r="G141" s="765">
        <f>IF(F141&gt;F140,"Please review account numbers 634&gt;633",)</f>
        <v>0</v>
      </c>
      <c r="H141" s="752"/>
      <c r="I141" s="752"/>
      <c r="Z141" s="310"/>
      <c r="AA141" s="310"/>
      <c r="AB141" s="310"/>
      <c r="AC141" s="310"/>
      <c r="AD141" s="310"/>
      <c r="AE141" s="310"/>
      <c r="AF141" s="310"/>
      <c r="AG141" s="310"/>
      <c r="AH141" s="310"/>
      <c r="AI141" s="310"/>
      <c r="AJ141" s="310"/>
      <c r="AK141" s="310"/>
      <c r="AL141" s="310"/>
      <c r="AM141" s="310"/>
      <c r="AN141" s="310"/>
      <c r="AO141" s="310"/>
      <c r="AP141" s="310"/>
      <c r="AQ141" s="310"/>
      <c r="AR141" s="310"/>
    </row>
    <row r="142" spans="1:44" ht="130.5" customHeight="1" x14ac:dyDescent="0.3">
      <c r="A142" s="310">
        <v>635</v>
      </c>
      <c r="B142" s="842" t="s">
        <v>722</v>
      </c>
      <c r="C142" s="841" t="s">
        <v>726</v>
      </c>
      <c r="D142" s="342" t="s">
        <v>1556</v>
      </c>
      <c r="E142" s="686" t="e">
        <f>HLOOKUP($D$2,'2020 Data(H)'!$C$1:$CR$399,294,FALSE)</f>
        <v>#N/A</v>
      </c>
      <c r="F142" s="297">
        <v>0</v>
      </c>
      <c r="G142" s="765">
        <f>IF(F142&gt;F140,"Please review account numbers 635&gt;633",)</f>
        <v>0</v>
      </c>
      <c r="H142" s="752"/>
      <c r="I142" s="752"/>
      <c r="Z142" s="310"/>
      <c r="AA142" s="310"/>
      <c r="AB142" s="310"/>
      <c r="AC142" s="310"/>
      <c r="AD142" s="310"/>
      <c r="AE142" s="310"/>
      <c r="AF142" s="310"/>
      <c r="AG142" s="310"/>
      <c r="AH142" s="310"/>
      <c r="AI142" s="310"/>
      <c r="AJ142" s="310"/>
      <c r="AK142" s="310"/>
      <c r="AL142" s="310"/>
      <c r="AM142" s="310"/>
      <c r="AN142" s="310"/>
      <c r="AO142" s="310"/>
      <c r="AP142" s="310"/>
      <c r="AQ142" s="310"/>
      <c r="AR142" s="310"/>
    </row>
    <row r="143" spans="1:44" ht="106.5" customHeight="1" x14ac:dyDescent="0.3">
      <c r="A143" s="310">
        <v>636</v>
      </c>
      <c r="B143" s="842" t="s">
        <v>722</v>
      </c>
      <c r="C143" s="841" t="s">
        <v>726</v>
      </c>
      <c r="D143" s="342" t="s">
        <v>1561</v>
      </c>
      <c r="E143" s="686" t="e">
        <f>HLOOKUP($D$2,'2020 Data(H)'!$C$1:$CR$399,295,FALSE)</f>
        <v>#N/A</v>
      </c>
      <c r="F143" s="297">
        <v>0</v>
      </c>
      <c r="G143" s="765">
        <f>IF(F143&gt;F140,"Please review account numbers 636&gt;633",)</f>
        <v>0</v>
      </c>
      <c r="H143" s="752"/>
      <c r="I143" s="752"/>
      <c r="Z143" s="310"/>
      <c r="AA143" s="310"/>
      <c r="AB143" s="310"/>
      <c r="AC143" s="310"/>
      <c r="AD143" s="310"/>
      <c r="AE143" s="310"/>
      <c r="AF143" s="310"/>
      <c r="AG143" s="310"/>
      <c r="AH143" s="310"/>
      <c r="AI143" s="310"/>
      <c r="AJ143" s="310"/>
      <c r="AK143" s="310"/>
      <c r="AL143" s="310"/>
      <c r="AM143" s="310"/>
      <c r="AN143" s="310"/>
      <c r="AO143" s="310"/>
      <c r="AP143" s="310"/>
      <c r="AQ143" s="310"/>
      <c r="AR143" s="310"/>
    </row>
    <row r="144" spans="1:44" ht="80.25" customHeight="1" x14ac:dyDescent="0.3">
      <c r="A144" s="310">
        <v>637</v>
      </c>
      <c r="B144" s="842" t="s">
        <v>722</v>
      </c>
      <c r="C144" s="841" t="s">
        <v>726</v>
      </c>
      <c r="D144" s="342" t="s">
        <v>1560</v>
      </c>
      <c r="E144" s="686" t="e">
        <f>HLOOKUP($D$2,'2020 Data(H)'!$C$1:$CR$399,296,FALSE)</f>
        <v>#N/A</v>
      </c>
      <c r="F144" s="297">
        <v>0</v>
      </c>
      <c r="G144" s="765">
        <f>IF(F144&gt;F140,"Please review account numbers 637&gt;633",)</f>
        <v>0</v>
      </c>
      <c r="H144" s="752"/>
      <c r="I144" s="752"/>
      <c r="Z144" s="310"/>
      <c r="AA144" s="310"/>
      <c r="AB144" s="310"/>
      <c r="AC144" s="310"/>
      <c r="AD144" s="310"/>
      <c r="AE144" s="310"/>
      <c r="AF144" s="310"/>
      <c r="AG144" s="310"/>
      <c r="AH144" s="310"/>
      <c r="AI144" s="310"/>
      <c r="AJ144" s="310"/>
      <c r="AK144" s="310"/>
      <c r="AL144" s="310"/>
      <c r="AM144" s="310"/>
      <c r="AN144" s="310"/>
      <c r="AO144" s="310"/>
      <c r="AP144" s="310"/>
      <c r="AQ144" s="310"/>
      <c r="AR144" s="310"/>
    </row>
    <row r="145" spans="1:44" ht="110.25" customHeight="1" x14ac:dyDescent="0.3">
      <c r="A145" s="310">
        <v>638</v>
      </c>
      <c r="B145" s="842" t="s">
        <v>722</v>
      </c>
      <c r="C145" s="841" t="s">
        <v>726</v>
      </c>
      <c r="D145" s="342" t="s">
        <v>1559</v>
      </c>
      <c r="E145" s="686" t="e">
        <f>HLOOKUP($D$2,'2020 Data(H)'!$C$1:$CR$399,297,FALSE)</f>
        <v>#N/A</v>
      </c>
      <c r="F145" s="297">
        <v>0</v>
      </c>
      <c r="G145" s="765">
        <f>IF(F145&gt;F140,"Please review account numbers 638&gt;633",)</f>
        <v>0</v>
      </c>
      <c r="H145" s="752"/>
      <c r="I145" s="752"/>
      <c r="Z145" s="310"/>
      <c r="AA145" s="310"/>
      <c r="AB145" s="310"/>
      <c r="AC145" s="310"/>
      <c r="AD145" s="310"/>
      <c r="AE145" s="310"/>
      <c r="AF145" s="310"/>
      <c r="AG145" s="310"/>
      <c r="AH145" s="310"/>
      <c r="AI145" s="310"/>
      <c r="AJ145" s="310"/>
      <c r="AK145" s="310"/>
      <c r="AL145" s="310"/>
      <c r="AM145" s="310"/>
      <c r="AN145" s="310"/>
      <c r="AO145" s="310"/>
      <c r="AP145" s="310"/>
      <c r="AQ145" s="310"/>
      <c r="AR145" s="310"/>
    </row>
    <row r="146" spans="1:44" ht="93.75" customHeight="1" x14ac:dyDescent="0.3">
      <c r="A146" s="108">
        <v>383</v>
      </c>
      <c r="B146" s="4" t="s">
        <v>62</v>
      </c>
      <c r="C146" s="4" t="s">
        <v>1471</v>
      </c>
      <c r="D146" s="29" t="s">
        <v>1558</v>
      </c>
      <c r="E146" s="686" t="e">
        <f>HLOOKUP($D$2,'2020 Data(H)'!$C$1:$CR$399,142,FALSE)</f>
        <v>#N/A</v>
      </c>
      <c r="F146" s="297">
        <v>0</v>
      </c>
      <c r="G146" s="766">
        <f>IF(F146&gt;F140,"Error: Please review components of current liabilities above. Account number 383&gt;633",)</f>
        <v>0</v>
      </c>
      <c r="H146" s="767"/>
      <c r="I146" s="79"/>
      <c r="Z146" s="108"/>
      <c r="AA146" s="108"/>
      <c r="AB146" s="108"/>
      <c r="AC146" s="108"/>
      <c r="AD146" s="108"/>
      <c r="AE146" s="108"/>
      <c r="AF146" s="108"/>
      <c r="AG146" s="108"/>
      <c r="AH146" s="108"/>
      <c r="AI146" s="108"/>
      <c r="AJ146" s="108"/>
      <c r="AK146" s="108"/>
      <c r="AL146" s="108"/>
      <c r="AM146" s="108"/>
      <c r="AN146" s="108"/>
      <c r="AO146" s="108"/>
      <c r="AP146" s="108"/>
      <c r="AQ146" s="108"/>
      <c r="AR146" s="108"/>
    </row>
    <row r="147" spans="1:44" ht="61.5" customHeight="1" x14ac:dyDescent="0.3">
      <c r="A147" s="108">
        <v>349</v>
      </c>
      <c r="B147" s="4" t="s">
        <v>62</v>
      </c>
      <c r="C147" s="4" t="s">
        <v>1471</v>
      </c>
      <c r="D147" s="107" t="s">
        <v>153</v>
      </c>
      <c r="E147" s="686" t="e">
        <f>HLOOKUP($D$2,'2020 Data(H)'!$C$1:$CR$399,113,FALSE)</f>
        <v>#N/A</v>
      </c>
      <c r="F147" s="297">
        <v>0</v>
      </c>
      <c r="G147" s="747" t="str">
        <f>IF(F140&gt;F147,"Error: Please review accts 633&gt;349","")</f>
        <v/>
      </c>
      <c r="H147" s="17"/>
      <c r="I147" s="79"/>
      <c r="Z147" s="108"/>
      <c r="AA147" s="108"/>
      <c r="AB147" s="108"/>
      <c r="AC147" s="108"/>
      <c r="AD147" s="108"/>
      <c r="AE147" s="108"/>
      <c r="AF147" s="108"/>
      <c r="AG147" s="108"/>
      <c r="AH147" s="108"/>
      <c r="AI147" s="108"/>
      <c r="AJ147" s="108"/>
      <c r="AK147" s="108"/>
      <c r="AL147" s="108"/>
      <c r="AM147" s="108"/>
      <c r="AN147" s="108"/>
      <c r="AO147" s="108"/>
      <c r="AP147" s="108"/>
      <c r="AQ147" s="108"/>
      <c r="AR147" s="108"/>
    </row>
    <row r="148" spans="1:44" ht="105" customHeight="1" x14ac:dyDescent="0.3">
      <c r="A148" s="108">
        <v>375</v>
      </c>
      <c r="B148" s="4" t="s">
        <v>62</v>
      </c>
      <c r="C148" s="4" t="s">
        <v>1471</v>
      </c>
      <c r="D148" s="725" t="s">
        <v>1477</v>
      </c>
      <c r="E148" s="686" t="e">
        <f>HLOOKUP($D$2,'2020 Data(H)'!$C$1:$CR$399,134,FALSE)</f>
        <v>#N/A</v>
      </c>
      <c r="F148" s="297">
        <v>0</v>
      </c>
      <c r="G148" s="757"/>
      <c r="H148" s="17"/>
      <c r="I148" s="79"/>
      <c r="Z148" s="108"/>
      <c r="AA148" s="108"/>
      <c r="AB148" s="108"/>
      <c r="AC148" s="108"/>
      <c r="AD148" s="108"/>
      <c r="AE148" s="108"/>
      <c r="AF148" s="108"/>
      <c r="AG148" s="108"/>
      <c r="AH148" s="108"/>
      <c r="AI148" s="108"/>
      <c r="AJ148" s="108"/>
      <c r="AK148" s="108"/>
      <c r="AL148" s="108"/>
      <c r="AM148" s="108"/>
      <c r="AN148" s="108"/>
      <c r="AO148" s="108"/>
      <c r="AP148" s="108"/>
      <c r="AQ148" s="108"/>
      <c r="AR148" s="108"/>
    </row>
    <row r="149" spans="1:44" ht="67.5" customHeight="1" x14ac:dyDescent="0.3">
      <c r="A149" s="108">
        <v>83</v>
      </c>
      <c r="B149" s="4" t="s">
        <v>61</v>
      </c>
      <c r="C149" s="4" t="s">
        <v>1471</v>
      </c>
      <c r="D149" s="107" t="s">
        <v>154</v>
      </c>
      <c r="E149" s="686" t="e">
        <f>HLOOKUP($D$2,'2020 Data(H)'!$C$1:$CR$399,47,FALSE)</f>
        <v>#N/A</v>
      </c>
      <c r="F149" s="297">
        <v>0</v>
      </c>
      <c r="G149" s="747">
        <f>IF(F138-F147-F149=0,,"Error: Total assets less total liabilities do not equal total net assets.  Account numbers 381-349-83=0  The amount of the formula is in the cell to the right")</f>
        <v>0</v>
      </c>
      <c r="H149" s="750">
        <f>F138-F147-F149</f>
        <v>0</v>
      </c>
      <c r="I149" s="79"/>
      <c r="Z149" s="108"/>
      <c r="AA149" s="108"/>
      <c r="AB149" s="108"/>
      <c r="AC149" s="108"/>
      <c r="AD149" s="108"/>
      <c r="AE149" s="108"/>
      <c r="AF149" s="108"/>
      <c r="AG149" s="108"/>
      <c r="AH149" s="108"/>
      <c r="AI149" s="108"/>
      <c r="AJ149" s="108"/>
      <c r="AK149" s="108"/>
      <c r="AL149" s="108"/>
      <c r="AM149" s="108"/>
      <c r="AN149" s="108"/>
      <c r="AO149" s="108"/>
      <c r="AP149" s="108"/>
      <c r="AQ149" s="108"/>
      <c r="AR149" s="108"/>
    </row>
    <row r="150" spans="1:44" ht="40.5" customHeight="1" x14ac:dyDescent="0.3">
      <c r="A150" s="108"/>
      <c r="B150" s="881" t="s">
        <v>155</v>
      </c>
      <c r="C150" s="882"/>
      <c r="D150" s="857"/>
      <c r="E150" s="857"/>
      <c r="F150" s="877"/>
      <c r="G150" s="878"/>
      <c r="H150" s="761"/>
      <c r="I150" s="79"/>
      <c r="Z150" s="108"/>
      <c r="AA150" s="108"/>
      <c r="AB150" s="108"/>
      <c r="AC150" s="108"/>
      <c r="AD150" s="108"/>
      <c r="AE150" s="108"/>
      <c r="AF150" s="108"/>
      <c r="AG150" s="108"/>
      <c r="AH150" s="108"/>
      <c r="AI150" s="108"/>
      <c r="AJ150" s="108"/>
      <c r="AK150" s="108"/>
      <c r="AL150" s="108"/>
      <c r="AM150" s="108"/>
      <c r="AN150" s="108"/>
      <c r="AO150" s="108"/>
      <c r="AP150" s="108"/>
      <c r="AQ150" s="108"/>
      <c r="AR150" s="108"/>
    </row>
    <row r="151" spans="1:44" ht="59.25" customHeight="1" x14ac:dyDescent="0.3">
      <c r="A151" s="108">
        <v>90</v>
      </c>
      <c r="B151" s="4" t="s">
        <v>63</v>
      </c>
      <c r="C151" s="4" t="s">
        <v>1478</v>
      </c>
      <c r="D151" s="24" t="s">
        <v>1479</v>
      </c>
      <c r="E151" s="686" t="e">
        <f>HLOOKUP($D$2,'2020 Data(H)'!$C$1:$CR$399,52,FALSE)</f>
        <v>#N/A</v>
      </c>
      <c r="F151" s="297">
        <v>0</v>
      </c>
      <c r="G151" s="747">
        <f>IF(F151&lt;0,"Note: Number is normally positive.",)</f>
        <v>0</v>
      </c>
      <c r="H151" s="768"/>
      <c r="I151" s="79"/>
      <c r="Z151" s="108"/>
      <c r="AA151" s="108"/>
      <c r="AB151" s="108"/>
      <c r="AC151" s="108"/>
      <c r="AD151" s="108"/>
      <c r="AE151" s="108"/>
      <c r="AF151" s="108"/>
      <c r="AG151" s="108"/>
      <c r="AH151" s="108"/>
      <c r="AI151" s="108"/>
      <c r="AJ151" s="108"/>
      <c r="AK151" s="108"/>
      <c r="AL151" s="108"/>
      <c r="AM151" s="108"/>
      <c r="AN151" s="108"/>
      <c r="AO151" s="108"/>
      <c r="AP151" s="108"/>
      <c r="AQ151" s="108"/>
      <c r="AR151" s="108"/>
    </row>
    <row r="152" spans="1:44" ht="75" customHeight="1" x14ac:dyDescent="0.3">
      <c r="A152" s="108">
        <v>91</v>
      </c>
      <c r="B152" s="4" t="s">
        <v>58</v>
      </c>
      <c r="C152" s="4" t="s">
        <v>1478</v>
      </c>
      <c r="D152" s="24" t="s">
        <v>1480</v>
      </c>
      <c r="E152" s="686" t="e">
        <f>HLOOKUP($D$2,'2020 Data(H)'!$C$1:$CR$399,53,FALSE)</f>
        <v>#N/A</v>
      </c>
      <c r="F152" s="297">
        <v>0</v>
      </c>
      <c r="G152" s="747">
        <f>IF(F152&lt;0,"Note: Number is normally positive.",)</f>
        <v>0</v>
      </c>
      <c r="H152" s="17"/>
      <c r="I152" s="79"/>
      <c r="Z152" s="108"/>
      <c r="AA152" s="108"/>
      <c r="AB152" s="108"/>
      <c r="AC152" s="108"/>
      <c r="AD152" s="108"/>
      <c r="AE152" s="108"/>
      <c r="AF152" s="108"/>
      <c r="AG152" s="108"/>
      <c r="AH152" s="108"/>
      <c r="AI152" s="108"/>
      <c r="AJ152" s="108"/>
      <c r="AK152" s="108"/>
      <c r="AL152" s="108"/>
      <c r="AM152" s="108"/>
      <c r="AN152" s="108"/>
      <c r="AO152" s="108"/>
      <c r="AP152" s="108"/>
      <c r="AQ152" s="108"/>
      <c r="AR152" s="108"/>
    </row>
    <row r="153" spans="1:44" ht="66.75" customHeight="1" x14ac:dyDescent="0.3">
      <c r="A153" s="108">
        <v>581</v>
      </c>
      <c r="B153" s="688" t="s">
        <v>560</v>
      </c>
      <c r="C153" s="688" t="s">
        <v>1478</v>
      </c>
      <c r="D153" s="840" t="s">
        <v>1481</v>
      </c>
      <c r="E153" s="686" t="e">
        <f>HLOOKUP($D$2,'2020 Data(H)'!$C$1:$CR$399,231,FALSE)</f>
        <v>#N/A</v>
      </c>
      <c r="F153" s="297">
        <v>0</v>
      </c>
      <c r="G153" s="747"/>
      <c r="H153" s="17"/>
      <c r="I153" s="79"/>
      <c r="Z153" s="108"/>
      <c r="AA153" s="108"/>
      <c r="AB153" s="108"/>
      <c r="AC153" s="108"/>
      <c r="AD153" s="108"/>
      <c r="AE153" s="108"/>
      <c r="AF153" s="108"/>
      <c r="AG153" s="108"/>
      <c r="AH153" s="108"/>
      <c r="AI153" s="108"/>
      <c r="AJ153" s="108"/>
      <c r="AK153" s="108"/>
      <c r="AL153" s="108"/>
      <c r="AM153" s="108"/>
      <c r="AN153" s="108"/>
      <c r="AO153" s="108"/>
      <c r="AP153" s="108"/>
      <c r="AQ153" s="108"/>
      <c r="AR153" s="108"/>
    </row>
    <row r="154" spans="1:44" ht="67.5" customHeight="1" x14ac:dyDescent="0.3">
      <c r="A154" s="108">
        <v>511</v>
      </c>
      <c r="B154" s="4" t="s">
        <v>58</v>
      </c>
      <c r="C154" s="4" t="s">
        <v>1478</v>
      </c>
      <c r="D154" s="25" t="s">
        <v>156</v>
      </c>
      <c r="E154" s="686" t="e">
        <f>HLOOKUP($D$2,'2020 Data(H)'!$C$1:$CR$399,161,FALSE)</f>
        <v>#N/A</v>
      </c>
      <c r="F154" s="297">
        <v>0</v>
      </c>
      <c r="G154" s="747">
        <f>IF(F154&lt;0,"Note: Number is normally positive.",)</f>
        <v>0</v>
      </c>
      <c r="H154" s="17"/>
      <c r="I154" s="79"/>
      <c r="Z154" s="108"/>
      <c r="AA154" s="108"/>
      <c r="AB154" s="108"/>
      <c r="AC154" s="108"/>
      <c r="AD154" s="108"/>
      <c r="AE154" s="108"/>
      <c r="AF154" s="108"/>
      <c r="AG154" s="108"/>
      <c r="AH154" s="108"/>
      <c r="AI154" s="108"/>
      <c r="AJ154" s="108"/>
      <c r="AK154" s="108"/>
      <c r="AL154" s="108"/>
      <c r="AM154" s="108"/>
      <c r="AN154" s="108"/>
      <c r="AO154" s="108"/>
      <c r="AP154" s="108"/>
      <c r="AQ154" s="108"/>
      <c r="AR154" s="108"/>
    </row>
    <row r="155" spans="1:44" ht="72" customHeight="1" x14ac:dyDescent="0.3">
      <c r="A155" s="310">
        <v>657</v>
      </c>
      <c r="B155" s="841" t="s">
        <v>58</v>
      </c>
      <c r="C155" s="841" t="s">
        <v>1478</v>
      </c>
      <c r="D155" s="342" t="s">
        <v>1482</v>
      </c>
      <c r="E155" s="686" t="e">
        <f>HLOOKUP($D$2,'2020 Data(H)'!$C$1:$CR$399,310,FALSE)</f>
        <v>#N/A</v>
      </c>
      <c r="F155" s="297">
        <v>0</v>
      </c>
      <c r="G155" s="769">
        <f>IF((F151+F152+F154)&gt;F155,"Error: Please review components of current assets above.  Account numbers (90+91+511)&gt;657",)</f>
        <v>0</v>
      </c>
      <c r="H155" s="17"/>
      <c r="I155" s="79"/>
      <c r="Z155" s="310"/>
      <c r="AA155" s="310"/>
      <c r="AB155" s="310"/>
      <c r="AC155" s="310"/>
      <c r="AD155" s="310"/>
      <c r="AE155" s="310"/>
      <c r="AF155" s="310"/>
      <c r="AG155" s="310"/>
      <c r="AH155" s="310"/>
      <c r="AI155" s="310"/>
      <c r="AJ155" s="310"/>
      <c r="AK155" s="310"/>
      <c r="AL155" s="310"/>
      <c r="AM155" s="310"/>
      <c r="AN155" s="310"/>
      <c r="AO155" s="310"/>
      <c r="AP155" s="310"/>
      <c r="AQ155" s="310"/>
      <c r="AR155" s="310"/>
    </row>
    <row r="156" spans="1:44" ht="70.5" customHeight="1" x14ac:dyDescent="0.3">
      <c r="A156" s="310">
        <v>658</v>
      </c>
      <c r="B156" s="841" t="s">
        <v>58</v>
      </c>
      <c r="C156" s="841" t="s">
        <v>1478</v>
      </c>
      <c r="D156" s="312" t="s">
        <v>853</v>
      </c>
      <c r="E156" s="686" t="e">
        <f>HLOOKUP($D$2,'2020 Data(H)'!$C$1:$CR$399,311,FALSE)</f>
        <v>#N/A</v>
      </c>
      <c r="F156" s="297">
        <v>0</v>
      </c>
      <c r="G156" s="747"/>
      <c r="H156" s="17"/>
      <c r="I156" s="79"/>
      <c r="Z156" s="310"/>
      <c r="AA156" s="310"/>
      <c r="AB156" s="310"/>
      <c r="AC156" s="310"/>
      <c r="AD156" s="310"/>
      <c r="AE156" s="310"/>
      <c r="AF156" s="310"/>
      <c r="AG156" s="310"/>
      <c r="AH156" s="310"/>
      <c r="AI156" s="310"/>
      <c r="AJ156" s="310"/>
      <c r="AK156" s="310"/>
      <c r="AL156" s="310"/>
      <c r="AM156" s="310"/>
      <c r="AN156" s="310"/>
      <c r="AO156" s="310"/>
      <c r="AP156" s="310"/>
      <c r="AQ156" s="310"/>
      <c r="AR156" s="310"/>
    </row>
    <row r="157" spans="1:44" ht="50.25" customHeight="1" x14ac:dyDescent="0.3">
      <c r="A157" s="108">
        <v>382</v>
      </c>
      <c r="B157" s="4" t="s">
        <v>60</v>
      </c>
      <c r="C157" s="4" t="s">
        <v>1478</v>
      </c>
      <c r="D157" s="106" t="s">
        <v>130</v>
      </c>
      <c r="E157" s="686" t="e">
        <f>HLOOKUP($D$2,'2020 Data(H)'!$C$1:$CR$399,141,FALSE)</f>
        <v>#N/A</v>
      </c>
      <c r="F157" s="297">
        <v>0</v>
      </c>
      <c r="G157" s="769">
        <f>IF(F155&gt;F157,"Error: Please review components of current assets above. Account numbers 657&gt;382",)</f>
        <v>0</v>
      </c>
      <c r="H157" s="17"/>
      <c r="I157" s="79"/>
      <c r="Z157" s="108"/>
      <c r="AA157" s="108"/>
      <c r="AB157" s="108"/>
      <c r="AC157" s="108"/>
      <c r="AD157" s="108"/>
      <c r="AE157" s="108"/>
      <c r="AF157" s="108"/>
      <c r="AG157" s="108"/>
      <c r="AH157" s="108"/>
      <c r="AI157" s="108"/>
      <c r="AJ157" s="108"/>
      <c r="AK157" s="108"/>
      <c r="AL157" s="108"/>
      <c r="AM157" s="108"/>
      <c r="AN157" s="108"/>
      <c r="AO157" s="108"/>
      <c r="AP157" s="108"/>
      <c r="AQ157" s="108"/>
      <c r="AR157" s="108"/>
    </row>
    <row r="158" spans="1:44" ht="57.75" customHeight="1" x14ac:dyDescent="0.3">
      <c r="A158" s="108">
        <v>360</v>
      </c>
      <c r="B158" s="4" t="s">
        <v>56</v>
      </c>
      <c r="C158" s="4" t="s">
        <v>1478</v>
      </c>
      <c r="D158" s="107" t="s">
        <v>157</v>
      </c>
      <c r="E158" s="686" t="e">
        <f>HLOOKUP($D$2,'2020 Data(H)'!$C$1:$CR$399,121,FALSE)</f>
        <v>#N/A</v>
      </c>
      <c r="F158" s="297">
        <v>0</v>
      </c>
      <c r="G158" s="747"/>
      <c r="H158" s="17"/>
      <c r="I158" s="79"/>
      <c r="Z158" s="108"/>
      <c r="AA158" s="108"/>
      <c r="AB158" s="108"/>
      <c r="AC158" s="108"/>
      <c r="AD158" s="108"/>
      <c r="AE158" s="108"/>
      <c r="AF158" s="108"/>
      <c r="AG158" s="108"/>
      <c r="AH158" s="108"/>
      <c r="AI158" s="108"/>
      <c r="AJ158" s="108"/>
      <c r="AK158" s="108"/>
      <c r="AL158" s="108"/>
      <c r="AM158" s="108"/>
      <c r="AN158" s="108"/>
      <c r="AO158" s="108"/>
      <c r="AP158" s="108"/>
      <c r="AQ158" s="108"/>
      <c r="AR158" s="108"/>
    </row>
    <row r="159" spans="1:44" ht="62.25" customHeight="1" x14ac:dyDescent="0.3">
      <c r="A159" s="108">
        <v>580</v>
      </c>
      <c r="B159" s="688" t="s">
        <v>560</v>
      </c>
      <c r="C159" s="688" t="s">
        <v>1478</v>
      </c>
      <c r="D159" s="840" t="s">
        <v>1483</v>
      </c>
      <c r="E159" s="686" t="e">
        <f>HLOOKUP($D$2,'2020 Data(H)'!$C$1:$CR$399,230,FALSE)</f>
        <v>#N/A</v>
      </c>
      <c r="F159" s="297">
        <v>0</v>
      </c>
      <c r="G159" s="747"/>
      <c r="H159" s="17"/>
      <c r="I159" s="79"/>
      <c r="Z159" s="108"/>
      <c r="AA159" s="108"/>
      <c r="AB159" s="108"/>
      <c r="AC159" s="108"/>
      <c r="AD159" s="108"/>
      <c r="AE159" s="108"/>
      <c r="AF159" s="108"/>
      <c r="AG159" s="108"/>
      <c r="AH159" s="108"/>
      <c r="AI159" s="108"/>
      <c r="AJ159" s="108"/>
      <c r="AK159" s="108"/>
      <c r="AL159" s="108"/>
      <c r="AM159" s="108"/>
      <c r="AN159" s="108"/>
      <c r="AO159" s="108"/>
      <c r="AP159" s="108"/>
      <c r="AQ159" s="108"/>
      <c r="AR159" s="108"/>
    </row>
    <row r="160" spans="1:44" ht="114" customHeight="1" x14ac:dyDescent="0.3">
      <c r="A160" s="311">
        <v>639</v>
      </c>
      <c r="B160" s="841" t="s">
        <v>851</v>
      </c>
      <c r="C160" s="841" t="s">
        <v>1478</v>
      </c>
      <c r="D160" s="342" t="s">
        <v>1562</v>
      </c>
      <c r="E160" s="686" t="e">
        <f>HLOOKUP($D$2,'2020 Data(H)'!$C$1:$CR$399,298,FALSE)</f>
        <v>#N/A</v>
      </c>
      <c r="F160" s="297">
        <v>0</v>
      </c>
      <c r="G160" s="764" t="str">
        <f>IF(F160&gt;=(F161+F162+F163+F164+F165+F166),"","Account 639 is less than the total sum of accounts 640 through 644 + 384")</f>
        <v/>
      </c>
      <c r="H160" s="770">
        <f>F160-(F161+F162+F163+F164+F165+F166)</f>
        <v>0</v>
      </c>
      <c r="I160" s="752"/>
      <c r="Z160" s="311"/>
      <c r="AA160" s="311"/>
      <c r="AB160" s="311"/>
      <c r="AC160" s="311"/>
      <c r="AD160" s="311"/>
      <c r="AE160" s="311"/>
      <c r="AF160" s="311"/>
      <c r="AG160" s="311"/>
      <c r="AH160" s="311"/>
      <c r="AI160" s="311"/>
      <c r="AJ160" s="311"/>
      <c r="AK160" s="311"/>
      <c r="AL160" s="311"/>
      <c r="AM160" s="311"/>
      <c r="AN160" s="311"/>
      <c r="AO160" s="311"/>
      <c r="AP160" s="311"/>
      <c r="AQ160" s="311"/>
      <c r="AR160" s="311"/>
    </row>
    <row r="161" spans="1:44" ht="124.5" customHeight="1" x14ac:dyDescent="0.3">
      <c r="A161" s="310">
        <v>640</v>
      </c>
      <c r="B161" s="842" t="s">
        <v>722</v>
      </c>
      <c r="C161" s="841" t="s">
        <v>1478</v>
      </c>
      <c r="D161" s="342" t="s">
        <v>1563</v>
      </c>
      <c r="E161" s="686" t="e">
        <f>HLOOKUP($D$2,'2020 Data(H)'!$C$1:$CR$399,299,FALSE)</f>
        <v>#N/A</v>
      </c>
      <c r="F161" s="297">
        <v>0</v>
      </c>
      <c r="G161" s="769">
        <f>IF(F161&gt;F160,"Error: Please review components of current liabilities above. Account numbers 640&gt;639",)</f>
        <v>0</v>
      </c>
      <c r="H161" s="752"/>
      <c r="I161" s="770"/>
      <c r="Z161" s="310"/>
      <c r="AA161" s="310"/>
      <c r="AB161" s="310"/>
      <c r="AC161" s="310"/>
      <c r="AD161" s="310"/>
      <c r="AE161" s="310"/>
      <c r="AF161" s="310"/>
      <c r="AG161" s="310"/>
      <c r="AH161" s="310"/>
      <c r="AI161" s="310"/>
      <c r="AJ161" s="310"/>
      <c r="AK161" s="310"/>
      <c r="AL161" s="310"/>
      <c r="AM161" s="310"/>
      <c r="AN161" s="310"/>
      <c r="AO161" s="310"/>
      <c r="AP161" s="310"/>
      <c r="AQ161" s="310"/>
      <c r="AR161" s="310"/>
    </row>
    <row r="162" spans="1:44" ht="133.5" customHeight="1" x14ac:dyDescent="0.3">
      <c r="A162" s="310">
        <v>641</v>
      </c>
      <c r="B162" s="842" t="s">
        <v>722</v>
      </c>
      <c r="C162" s="841" t="s">
        <v>1478</v>
      </c>
      <c r="D162" s="342" t="s">
        <v>1564</v>
      </c>
      <c r="E162" s="686" t="e">
        <f>HLOOKUP($D$2,'2020 Data(H)'!$C$1:$CR$399,300,FALSE)</f>
        <v>#N/A</v>
      </c>
      <c r="F162" s="297">
        <v>0</v>
      </c>
      <c r="G162" s="769">
        <f>IF(F162&gt;F160,"Error: Please review components of current liabilities above. Account numbers 641&gt;639",)</f>
        <v>0</v>
      </c>
      <c r="H162" s="752"/>
      <c r="I162" s="752"/>
      <c r="Z162" s="310"/>
      <c r="AA162" s="310"/>
      <c r="AB162" s="310"/>
      <c r="AC162" s="310"/>
      <c r="AD162" s="310"/>
      <c r="AE162" s="310"/>
      <c r="AF162" s="310"/>
      <c r="AG162" s="310"/>
      <c r="AH162" s="310"/>
      <c r="AI162" s="310"/>
      <c r="AJ162" s="310"/>
      <c r="AK162" s="310"/>
      <c r="AL162" s="310"/>
      <c r="AM162" s="310"/>
      <c r="AN162" s="310"/>
      <c r="AO162" s="310"/>
      <c r="AP162" s="310"/>
      <c r="AQ162" s="310"/>
      <c r="AR162" s="310"/>
    </row>
    <row r="163" spans="1:44" ht="118.5" customHeight="1" x14ac:dyDescent="0.3">
      <c r="A163" s="310">
        <v>642</v>
      </c>
      <c r="B163" s="842" t="s">
        <v>722</v>
      </c>
      <c r="C163" s="841" t="s">
        <v>1478</v>
      </c>
      <c r="D163" s="342" t="s">
        <v>1565</v>
      </c>
      <c r="E163" s="686" t="e">
        <f>HLOOKUP($D$2,'2020 Data(H)'!$C$1:$CR$399,301,FALSE)</f>
        <v>#N/A</v>
      </c>
      <c r="F163" s="297">
        <v>0</v>
      </c>
      <c r="G163" s="769">
        <f>IF(F163&gt;F160,"Error: Please review components of current liabilities above. Account numbers  642&gt;639",)</f>
        <v>0</v>
      </c>
      <c r="H163" s="752"/>
      <c r="I163" s="752"/>
      <c r="Z163" s="310"/>
      <c r="AA163" s="310"/>
      <c r="AB163" s="310"/>
      <c r="AC163" s="310"/>
      <c r="AD163" s="310"/>
      <c r="AE163" s="310"/>
      <c r="AF163" s="310"/>
      <c r="AG163" s="310"/>
      <c r="AH163" s="310"/>
      <c r="AI163" s="310"/>
      <c r="AJ163" s="310"/>
      <c r="AK163" s="310"/>
      <c r="AL163" s="310"/>
      <c r="AM163" s="310"/>
      <c r="AN163" s="310"/>
      <c r="AO163" s="310"/>
      <c r="AP163" s="310"/>
      <c r="AQ163" s="310"/>
      <c r="AR163" s="310"/>
    </row>
    <row r="164" spans="1:44" ht="81.75" customHeight="1" x14ac:dyDescent="0.3">
      <c r="A164" s="310">
        <v>643</v>
      </c>
      <c r="B164" s="842" t="s">
        <v>722</v>
      </c>
      <c r="C164" s="841" t="s">
        <v>1478</v>
      </c>
      <c r="D164" s="342" t="s">
        <v>1566</v>
      </c>
      <c r="E164" s="686" t="e">
        <f>HLOOKUP($D$2,'2020 Data(H)'!$C$1:$CR$399,302,FALSE)</f>
        <v>#N/A</v>
      </c>
      <c r="F164" s="297">
        <v>0</v>
      </c>
      <c r="G164" s="769">
        <f>IF(F164&gt;F160,"Error: Please review components of current liabilities above. Account numbers 643&gt;639",)</f>
        <v>0</v>
      </c>
      <c r="H164" s="752"/>
      <c r="I164" s="752"/>
      <c r="Z164" s="310"/>
      <c r="AA164" s="310"/>
      <c r="AB164" s="310"/>
      <c r="AC164" s="310"/>
      <c r="AD164" s="310"/>
      <c r="AE164" s="310"/>
      <c r="AF164" s="310"/>
      <c r="AG164" s="310"/>
      <c r="AH164" s="310"/>
      <c r="AI164" s="310"/>
      <c r="AJ164" s="310"/>
      <c r="AK164" s="310"/>
      <c r="AL164" s="310"/>
      <c r="AM164" s="310"/>
      <c r="AN164" s="310"/>
      <c r="AO164" s="310"/>
      <c r="AP164" s="310"/>
      <c r="AQ164" s="310"/>
      <c r="AR164" s="310"/>
    </row>
    <row r="165" spans="1:44" ht="108" customHeight="1" x14ac:dyDescent="0.3">
      <c r="A165" s="310">
        <v>644</v>
      </c>
      <c r="B165" s="842" t="s">
        <v>722</v>
      </c>
      <c r="C165" s="841" t="s">
        <v>1478</v>
      </c>
      <c r="D165" s="342" t="s">
        <v>1567</v>
      </c>
      <c r="E165" s="686" t="e">
        <f>HLOOKUP($D$2,'2020 Data(H)'!$C$1:$CR$399,303,FALSE)</f>
        <v>#N/A</v>
      </c>
      <c r="F165" s="297">
        <v>0</v>
      </c>
      <c r="G165" s="769">
        <f>IF(F165&gt;F160,"Error: Please review components of current liabilities above. Account number 644&gt;639",)</f>
        <v>0</v>
      </c>
      <c r="H165" s="752"/>
      <c r="I165" s="752"/>
      <c r="Z165" s="310"/>
      <c r="AA165" s="310"/>
      <c r="AB165" s="310"/>
      <c r="AC165" s="310"/>
      <c r="AD165" s="310"/>
      <c r="AE165" s="310"/>
      <c r="AF165" s="310"/>
      <c r="AG165" s="310"/>
      <c r="AH165" s="310"/>
      <c r="AI165" s="310"/>
      <c r="AJ165" s="310"/>
      <c r="AK165" s="310"/>
      <c r="AL165" s="310"/>
      <c r="AM165" s="310"/>
      <c r="AN165" s="310"/>
      <c r="AO165" s="310"/>
      <c r="AP165" s="310"/>
      <c r="AQ165" s="310"/>
      <c r="AR165" s="310"/>
    </row>
    <row r="166" spans="1:44" ht="99.75" customHeight="1" x14ac:dyDescent="0.3">
      <c r="A166" s="108">
        <v>384</v>
      </c>
      <c r="B166" s="4" t="s">
        <v>63</v>
      </c>
      <c r="C166" s="4" t="s">
        <v>1478</v>
      </c>
      <c r="D166" s="29" t="s">
        <v>1568</v>
      </c>
      <c r="E166" s="686" t="e">
        <f>HLOOKUP($D$2,'2020 Data(H)'!$C$1:$CR$399,143,FALSE)</f>
        <v>#N/A</v>
      </c>
      <c r="F166" s="755">
        <v>0</v>
      </c>
      <c r="G166" s="766">
        <f>IF(F166&gt;F160,"Error: Please review components of current liabilities above. Account number 384&gt;639",)</f>
        <v>0</v>
      </c>
      <c r="I166" s="79"/>
      <c r="Z166" s="108"/>
      <c r="AA166" s="108"/>
      <c r="AB166" s="108"/>
      <c r="AC166" s="108"/>
      <c r="AD166" s="108"/>
      <c r="AE166" s="108"/>
      <c r="AF166" s="108"/>
      <c r="AG166" s="108"/>
      <c r="AH166" s="108"/>
      <c r="AI166" s="108"/>
      <c r="AJ166" s="108"/>
      <c r="AK166" s="108"/>
      <c r="AL166" s="108"/>
      <c r="AM166" s="108"/>
      <c r="AN166" s="108"/>
      <c r="AO166" s="108"/>
      <c r="AP166" s="108"/>
      <c r="AQ166" s="108"/>
      <c r="AR166" s="108"/>
    </row>
    <row r="167" spans="1:44" ht="104.25" customHeight="1" x14ac:dyDescent="0.3">
      <c r="A167" s="108">
        <v>361</v>
      </c>
      <c r="B167" s="4" t="s">
        <v>56</v>
      </c>
      <c r="C167" s="4" t="s">
        <v>1478</v>
      </c>
      <c r="D167" s="725" t="s">
        <v>1484</v>
      </c>
      <c r="E167" s="686" t="e">
        <f>HLOOKUP($D$2,'2020 Data(H)'!$C$1:$CR$399,122,FALSE)</f>
        <v>#N/A</v>
      </c>
      <c r="F167" s="297">
        <v>0</v>
      </c>
      <c r="G167" s="757"/>
      <c r="H167" s="17"/>
      <c r="I167" s="79"/>
      <c r="Z167" s="108"/>
      <c r="AA167" s="108"/>
      <c r="AB167" s="108"/>
      <c r="AC167" s="108"/>
      <c r="AD167" s="108"/>
      <c r="AE167" s="108"/>
      <c r="AF167" s="108"/>
      <c r="AG167" s="108"/>
      <c r="AH167" s="108"/>
      <c r="AI167" s="108"/>
      <c r="AJ167" s="108"/>
      <c r="AK167" s="108"/>
      <c r="AL167" s="108"/>
      <c r="AM167" s="108"/>
      <c r="AN167" s="108"/>
      <c r="AO167" s="108"/>
      <c r="AP167" s="108"/>
      <c r="AQ167" s="108"/>
      <c r="AR167" s="108"/>
    </row>
    <row r="168" spans="1:44" ht="54" customHeight="1" x14ac:dyDescent="0.3">
      <c r="A168" s="108">
        <v>362</v>
      </c>
      <c r="B168" s="4" t="s">
        <v>56</v>
      </c>
      <c r="C168" s="4" t="s">
        <v>1478</v>
      </c>
      <c r="D168" s="107" t="s">
        <v>158</v>
      </c>
      <c r="E168" s="686" t="e">
        <f>HLOOKUP($D$2,'2020 Data(H)'!$C$1:$CR$399,123,FALSE)</f>
        <v>#N/A</v>
      </c>
      <c r="F168" s="297">
        <v>0</v>
      </c>
      <c r="G168" s="747">
        <f>IF(H168=0,,"Error: Total assets less total liabilities do not equal total net position. Account numbers 382-360-362=0  The amount of the formula is in the cell to the right")</f>
        <v>0</v>
      </c>
      <c r="H168" s="750">
        <f>F157-F158-F168</f>
        <v>0</v>
      </c>
      <c r="I168" s="79"/>
      <c r="Z168" s="108"/>
      <c r="AA168" s="108"/>
      <c r="AB168" s="108"/>
      <c r="AC168" s="108"/>
      <c r="AD168" s="108"/>
      <c r="AE168" s="108"/>
      <c r="AF168" s="108"/>
      <c r="AG168" s="108"/>
      <c r="AH168" s="108"/>
      <c r="AI168" s="108"/>
      <c r="AJ168" s="108"/>
      <c r="AK168" s="108"/>
      <c r="AL168" s="108"/>
      <c r="AM168" s="108"/>
      <c r="AN168" s="108"/>
      <c r="AO168" s="108"/>
      <c r="AP168" s="108"/>
      <c r="AQ168" s="108"/>
      <c r="AR168" s="108"/>
    </row>
    <row r="169" spans="1:44" ht="26.25" customHeight="1" x14ac:dyDescent="0.3">
      <c r="A169" s="108"/>
      <c r="B169" s="870" t="s">
        <v>182</v>
      </c>
      <c r="C169" s="871"/>
      <c r="D169" s="883"/>
      <c r="E169" s="864"/>
      <c r="F169" s="869"/>
      <c r="G169" s="869"/>
      <c r="H169" s="17"/>
      <c r="I169" s="79"/>
      <c r="Z169" s="108"/>
      <c r="AA169" s="108"/>
      <c r="AB169" s="108"/>
      <c r="AC169" s="108"/>
      <c r="AD169" s="108"/>
      <c r="AE169" s="108"/>
      <c r="AF169" s="108"/>
      <c r="AG169" s="108"/>
      <c r="AH169" s="108"/>
      <c r="AI169" s="108"/>
      <c r="AJ169" s="108"/>
      <c r="AK169" s="108"/>
      <c r="AL169" s="108"/>
      <c r="AM169" s="108"/>
      <c r="AN169" s="108"/>
      <c r="AO169" s="108"/>
      <c r="AP169" s="108"/>
      <c r="AQ169" s="108"/>
      <c r="AR169" s="108"/>
    </row>
    <row r="170" spans="1:44" s="18" customFormat="1" ht="99.75" customHeight="1" x14ac:dyDescent="0.3">
      <c r="A170" s="108"/>
      <c r="B170" s="1173" t="s">
        <v>1585</v>
      </c>
      <c r="C170" s="1173"/>
      <c r="D170" s="1173"/>
      <c r="E170" s="857"/>
      <c r="F170" s="878"/>
      <c r="G170" s="878"/>
      <c r="H170" s="17"/>
      <c r="I170" s="79"/>
      <c r="N170" s="298"/>
      <c r="Z170" s="108"/>
      <c r="AA170" s="108"/>
      <c r="AB170" s="108"/>
      <c r="AC170" s="108"/>
      <c r="AD170" s="108"/>
      <c r="AE170" s="108"/>
      <c r="AF170" s="108"/>
      <c r="AG170" s="108"/>
      <c r="AH170" s="108"/>
      <c r="AI170" s="108"/>
      <c r="AJ170" s="108"/>
      <c r="AK170" s="108"/>
      <c r="AL170" s="108"/>
      <c r="AM170" s="108"/>
      <c r="AN170" s="108"/>
      <c r="AO170" s="108"/>
      <c r="AP170" s="108"/>
      <c r="AQ170" s="108"/>
      <c r="AR170" s="108"/>
    </row>
    <row r="171" spans="1:44" ht="87" customHeight="1" x14ac:dyDescent="0.3">
      <c r="A171" s="108">
        <v>88</v>
      </c>
      <c r="B171" s="4" t="s">
        <v>61</v>
      </c>
      <c r="C171" s="4" t="s">
        <v>1485</v>
      </c>
      <c r="D171" s="24" t="s">
        <v>1486</v>
      </c>
      <c r="E171" s="686" t="e">
        <f>HLOOKUP($D$2,'2020 Data(H)'!$C$1:$CR$399,50,FALSE)</f>
        <v>#N/A</v>
      </c>
      <c r="F171" s="297">
        <v>0</v>
      </c>
      <c r="G171" s="757"/>
      <c r="H171" s="17"/>
      <c r="I171" s="79"/>
      <c r="Z171" s="108"/>
      <c r="AA171" s="108"/>
      <c r="AB171" s="108"/>
      <c r="AC171" s="108"/>
      <c r="AD171" s="108"/>
      <c r="AE171" s="108"/>
      <c r="AF171" s="108"/>
      <c r="AG171" s="108"/>
      <c r="AH171" s="108"/>
      <c r="AI171" s="108"/>
      <c r="AJ171" s="108"/>
      <c r="AK171" s="108"/>
      <c r="AL171" s="108"/>
      <c r="AM171" s="108"/>
      <c r="AN171" s="108"/>
      <c r="AO171" s="108"/>
      <c r="AP171" s="108"/>
      <c r="AQ171" s="108"/>
      <c r="AR171" s="108"/>
    </row>
    <row r="172" spans="1:44" ht="94.5" customHeight="1" x14ac:dyDescent="0.3">
      <c r="A172" s="108">
        <v>84</v>
      </c>
      <c r="B172" s="4" t="s">
        <v>61</v>
      </c>
      <c r="C172" s="4" t="s">
        <v>1485</v>
      </c>
      <c r="D172" s="29" t="s">
        <v>159</v>
      </c>
      <c r="E172" s="686" t="e">
        <f>HLOOKUP($D$2,'2020 Data(H)'!$C$1:$CR$399,48,FALSE)</f>
        <v>#N/A</v>
      </c>
      <c r="F172" s="297">
        <v>0</v>
      </c>
      <c r="G172" s="747">
        <f>IF(F172&gt;=F171,,"Error: Charges for services exceed total operating revenues. Account numbers 84&gt;=88")</f>
        <v>0</v>
      </c>
      <c r="H172" s="17"/>
      <c r="I172" s="79"/>
      <c r="Z172" s="108"/>
      <c r="AA172" s="108"/>
      <c r="AB172" s="108"/>
      <c r="AC172" s="108"/>
      <c r="AD172" s="108"/>
      <c r="AE172" s="108"/>
      <c r="AF172" s="108"/>
      <c r="AG172" s="108"/>
      <c r="AH172" s="108"/>
      <c r="AI172" s="108"/>
      <c r="AJ172" s="108"/>
      <c r="AK172" s="108"/>
      <c r="AL172" s="108"/>
      <c r="AM172" s="108"/>
      <c r="AN172" s="108"/>
      <c r="AO172" s="108"/>
      <c r="AP172" s="108"/>
      <c r="AQ172" s="108"/>
      <c r="AR172" s="108"/>
    </row>
    <row r="173" spans="1:44" ht="90" customHeight="1" x14ac:dyDescent="0.3">
      <c r="A173" s="108">
        <v>49</v>
      </c>
      <c r="B173" s="4" t="s">
        <v>57</v>
      </c>
      <c r="C173" s="4" t="s">
        <v>1485</v>
      </c>
      <c r="D173" s="29" t="s">
        <v>160</v>
      </c>
      <c r="E173" s="686" t="e">
        <f>HLOOKUP($D$2,'2020 Data(H)'!$C$1:$CR$399,36,FALSE)</f>
        <v>#N/A</v>
      </c>
      <c r="F173" s="297">
        <v>0</v>
      </c>
      <c r="G173" s="747">
        <f>IF(F173&lt;0,"Error: Enter as positive.",)</f>
        <v>0</v>
      </c>
      <c r="H173" s="17"/>
      <c r="I173" s="79"/>
      <c r="Z173" s="108"/>
      <c r="AA173" s="108"/>
      <c r="AB173" s="108"/>
      <c r="AC173" s="108"/>
      <c r="AD173" s="108"/>
      <c r="AE173" s="108"/>
      <c r="AF173" s="108"/>
      <c r="AG173" s="108"/>
      <c r="AH173" s="108"/>
      <c r="AI173" s="108"/>
      <c r="AJ173" s="108"/>
      <c r="AK173" s="108"/>
      <c r="AL173" s="108"/>
      <c r="AM173" s="108"/>
      <c r="AN173" s="108"/>
      <c r="AO173" s="108"/>
      <c r="AP173" s="108"/>
      <c r="AQ173" s="108"/>
      <c r="AR173" s="108"/>
    </row>
    <row r="174" spans="1:44" ht="106.5" customHeight="1" x14ac:dyDescent="0.3">
      <c r="A174" s="108">
        <v>85</v>
      </c>
      <c r="B174" s="4" t="s">
        <v>68</v>
      </c>
      <c r="C174" s="4" t="s">
        <v>1485</v>
      </c>
      <c r="D174" s="29" t="s">
        <v>161</v>
      </c>
      <c r="E174" s="686" t="e">
        <f>HLOOKUP($D$2,'2020 Data(H)'!$C$1:$CR$399,49,FALSE)</f>
        <v>#N/A</v>
      </c>
      <c r="F174" s="297">
        <v>0</v>
      </c>
      <c r="G174" s="747">
        <f>IF(F174&lt;0,"Error: Enter as positive.",)</f>
        <v>0</v>
      </c>
      <c r="H174" s="17"/>
      <c r="I174" s="79"/>
      <c r="Z174" s="108"/>
      <c r="AA174" s="108"/>
      <c r="AB174" s="108"/>
      <c r="AC174" s="108"/>
      <c r="AD174" s="108"/>
      <c r="AE174" s="108"/>
      <c r="AF174" s="108"/>
      <c r="AG174" s="108"/>
      <c r="AH174" s="108"/>
      <c r="AI174" s="108"/>
      <c r="AJ174" s="108"/>
      <c r="AK174" s="108"/>
      <c r="AL174" s="108"/>
      <c r="AM174" s="108"/>
      <c r="AN174" s="108"/>
      <c r="AO174" s="108"/>
      <c r="AP174" s="108"/>
      <c r="AQ174" s="108"/>
      <c r="AR174" s="108"/>
    </row>
    <row r="175" spans="1:44" ht="88.5" customHeight="1" x14ac:dyDescent="0.3">
      <c r="A175" s="108">
        <v>89</v>
      </c>
      <c r="B175" s="4" t="s">
        <v>56</v>
      </c>
      <c r="C175" s="4" t="s">
        <v>1485</v>
      </c>
      <c r="D175" s="29" t="s">
        <v>162</v>
      </c>
      <c r="E175" s="686" t="e">
        <f>HLOOKUP($D$2,'2020 Data(H)'!$C$1:$CR$399,51,FALSE)</f>
        <v>#N/A</v>
      </c>
      <c r="F175" s="297">
        <v>0</v>
      </c>
      <c r="G175" s="747">
        <f>IF(F175&lt;0,"Error: Enter as positive.",)</f>
        <v>0</v>
      </c>
      <c r="H175" s="17"/>
      <c r="I175" s="79"/>
      <c r="Z175" s="108"/>
      <c r="AA175" s="108"/>
      <c r="AB175" s="108"/>
      <c r="AC175" s="108"/>
      <c r="AD175" s="108"/>
      <c r="AE175" s="108"/>
      <c r="AF175" s="108"/>
      <c r="AG175" s="108"/>
      <c r="AH175" s="108"/>
      <c r="AI175" s="108"/>
      <c r="AJ175" s="108"/>
      <c r="AK175" s="108"/>
      <c r="AL175" s="108"/>
      <c r="AM175" s="108"/>
      <c r="AN175" s="108"/>
      <c r="AO175" s="108"/>
      <c r="AP175" s="108"/>
      <c r="AQ175" s="108"/>
      <c r="AR175" s="108"/>
    </row>
    <row r="176" spans="1:44" ht="100.5" customHeight="1" x14ac:dyDescent="0.3">
      <c r="A176" s="108">
        <v>350</v>
      </c>
      <c r="B176" s="4" t="s">
        <v>56</v>
      </c>
      <c r="C176" s="4" t="s">
        <v>1485</v>
      </c>
      <c r="D176" s="24" t="s">
        <v>1487</v>
      </c>
      <c r="E176" s="686" t="e">
        <f>HLOOKUP($D$2,'2020 Data(H)'!$C$1:$CR$399,114,FALSE)</f>
        <v>#N/A</v>
      </c>
      <c r="F176" s="297">
        <v>0</v>
      </c>
      <c r="G176" s="757"/>
      <c r="H176" s="17"/>
      <c r="I176" s="79"/>
      <c r="Z176" s="108"/>
      <c r="AA176" s="108"/>
      <c r="AB176" s="108"/>
      <c r="AC176" s="108"/>
      <c r="AD176" s="108"/>
      <c r="AE176" s="108"/>
      <c r="AF176" s="108"/>
      <c r="AG176" s="108"/>
      <c r="AH176" s="108"/>
      <c r="AI176" s="108"/>
      <c r="AJ176" s="108"/>
      <c r="AK176" s="108"/>
      <c r="AL176" s="108"/>
      <c r="AM176" s="108"/>
      <c r="AN176" s="108"/>
      <c r="AO176" s="108"/>
      <c r="AP176" s="108"/>
      <c r="AQ176" s="108"/>
      <c r="AR176" s="108"/>
    </row>
    <row r="177" spans="1:44" ht="66" customHeight="1" x14ac:dyDescent="0.3">
      <c r="A177" s="108">
        <v>351</v>
      </c>
      <c r="B177" s="4" t="s">
        <v>56</v>
      </c>
      <c r="C177" s="4" t="s">
        <v>1485</v>
      </c>
      <c r="D177" s="24" t="s">
        <v>1488</v>
      </c>
      <c r="E177" s="686" t="e">
        <f>HLOOKUP($D$2,'2020 Data(H)'!$C$1:$CR$399,115,FALSE)</f>
        <v>#N/A</v>
      </c>
      <c r="F177" s="297">
        <v>0</v>
      </c>
      <c r="G177" s="747">
        <f>IF(F177&lt;0,"Error: Enter as positive.",)</f>
        <v>0</v>
      </c>
      <c r="H177" s="17"/>
      <c r="I177" s="79"/>
      <c r="Z177" s="108"/>
      <c r="AA177" s="108"/>
      <c r="AB177" s="108"/>
      <c r="AC177" s="108"/>
      <c r="AD177" s="108"/>
      <c r="AE177" s="108"/>
      <c r="AF177" s="108"/>
      <c r="AG177" s="108"/>
      <c r="AH177" s="108"/>
      <c r="AI177" s="108"/>
      <c r="AJ177" s="108"/>
      <c r="AK177" s="108"/>
      <c r="AL177" s="108"/>
      <c r="AM177" s="108"/>
      <c r="AN177" s="108"/>
      <c r="AO177" s="108"/>
      <c r="AP177" s="108"/>
      <c r="AQ177" s="108"/>
      <c r="AR177" s="108"/>
    </row>
    <row r="178" spans="1:44" ht="93.75" customHeight="1" x14ac:dyDescent="0.3">
      <c r="A178" s="108">
        <v>191</v>
      </c>
      <c r="B178" s="4" t="s">
        <v>57</v>
      </c>
      <c r="C178" s="4" t="s">
        <v>1485</v>
      </c>
      <c r="D178" s="24" t="s">
        <v>1489</v>
      </c>
      <c r="E178" s="686" t="e">
        <f>HLOOKUP($D$2,'2020 Data(H)'!$C$1:$CR$399,72,FALSE)</f>
        <v>#N/A</v>
      </c>
      <c r="F178" s="297">
        <v>0</v>
      </c>
      <c r="G178" s="747">
        <f>IF(F178&lt;0,"Error: Enter as positive.",)</f>
        <v>0</v>
      </c>
      <c r="H178" s="17"/>
      <c r="I178" s="79"/>
      <c r="Z178" s="108"/>
      <c r="AA178" s="108"/>
      <c r="AB178" s="108"/>
      <c r="AC178" s="108"/>
      <c r="AD178" s="108"/>
      <c r="AE178" s="108"/>
      <c r="AF178" s="108"/>
      <c r="AG178" s="108"/>
      <c r="AH178" s="108"/>
      <c r="AI178" s="108"/>
      <c r="AJ178" s="108"/>
      <c r="AK178" s="108"/>
      <c r="AL178" s="108"/>
      <c r="AM178" s="108"/>
      <c r="AN178" s="108"/>
      <c r="AO178" s="108"/>
      <c r="AP178" s="108"/>
      <c r="AQ178" s="108"/>
      <c r="AR178" s="108"/>
    </row>
    <row r="179" spans="1:44" ht="98.25" customHeight="1" x14ac:dyDescent="0.3">
      <c r="A179" s="108">
        <v>352</v>
      </c>
      <c r="B179" s="4" t="s">
        <v>68</v>
      </c>
      <c r="C179" s="4" t="s">
        <v>1485</v>
      </c>
      <c r="D179" s="29" t="s">
        <v>1330</v>
      </c>
      <c r="E179" s="686" t="e">
        <f>HLOOKUP($D$2,'2020 Data(H)'!$C$1:$CR$399,116,FALSE)</f>
        <v>#N/A</v>
      </c>
      <c r="F179" s="297">
        <v>0</v>
      </c>
      <c r="G179" s="747">
        <f>IF(F179&lt;0,"Error: Enter as positive.",)</f>
        <v>0</v>
      </c>
      <c r="H179" s="726"/>
      <c r="I179" s="17"/>
      <c r="Z179" s="108"/>
      <c r="AA179" s="108"/>
      <c r="AB179" s="108"/>
      <c r="AC179" s="108"/>
      <c r="AD179" s="108"/>
      <c r="AE179" s="108"/>
      <c r="AF179" s="108"/>
      <c r="AG179" s="108"/>
      <c r="AH179" s="108"/>
      <c r="AI179" s="108"/>
      <c r="AJ179" s="108"/>
      <c r="AK179" s="108"/>
      <c r="AL179" s="108"/>
      <c r="AM179" s="108"/>
      <c r="AN179" s="108"/>
      <c r="AO179" s="108"/>
      <c r="AP179" s="108"/>
      <c r="AQ179" s="108"/>
      <c r="AR179" s="108"/>
    </row>
    <row r="180" spans="1:44" ht="91.5" customHeight="1" x14ac:dyDescent="0.3">
      <c r="A180" s="108">
        <v>986</v>
      </c>
      <c r="B180" s="845" t="s">
        <v>1048</v>
      </c>
      <c r="C180" s="845" t="s">
        <v>1485</v>
      </c>
      <c r="D180" s="316" t="s">
        <v>1077</v>
      </c>
      <c r="E180" s="686" t="s">
        <v>1049</v>
      </c>
      <c r="F180" s="297">
        <v>0</v>
      </c>
      <c r="G180" s="747">
        <f>IF(F180&lt;0,"Error: Enter as positive.",)</f>
        <v>0</v>
      </c>
      <c r="H180" s="17"/>
      <c r="I180" s="79"/>
      <c r="Z180" s="108"/>
      <c r="AA180" s="108"/>
      <c r="AB180" s="108"/>
      <c r="AC180" s="108"/>
      <c r="AD180" s="108"/>
      <c r="AE180" s="108"/>
      <c r="AF180" s="108"/>
      <c r="AG180" s="108"/>
      <c r="AH180" s="108"/>
      <c r="AI180" s="108"/>
      <c r="AJ180" s="108"/>
      <c r="AK180" s="108"/>
      <c r="AL180" s="108"/>
      <c r="AM180" s="108"/>
      <c r="AN180" s="108"/>
      <c r="AO180" s="108"/>
      <c r="AP180" s="108"/>
      <c r="AQ180" s="108"/>
      <c r="AR180" s="108"/>
    </row>
    <row r="181" spans="1:44" ht="90" customHeight="1" x14ac:dyDescent="0.3">
      <c r="A181" s="108">
        <v>353</v>
      </c>
      <c r="B181" s="4" t="s">
        <v>68</v>
      </c>
      <c r="C181" s="4" t="s">
        <v>1485</v>
      </c>
      <c r="D181" s="29" t="s">
        <v>143</v>
      </c>
      <c r="E181" s="686" t="e">
        <f>HLOOKUP($D$2,'2020 Data(H)'!$C$1:$CR$399,117,FALSE)</f>
        <v>#N/A</v>
      </c>
      <c r="F181" s="297">
        <v>0</v>
      </c>
      <c r="G181" s="747">
        <f>IF(F181&lt;0,"Error: Enter as positive.",)</f>
        <v>0</v>
      </c>
      <c r="H181" s="17"/>
      <c r="I181" s="79"/>
      <c r="Z181" s="108"/>
      <c r="AA181" s="108"/>
      <c r="AB181" s="108"/>
      <c r="AC181" s="108"/>
      <c r="AD181" s="108"/>
      <c r="AE181" s="108"/>
      <c r="AF181" s="108"/>
      <c r="AG181" s="108"/>
      <c r="AH181" s="108"/>
      <c r="AI181" s="108"/>
      <c r="AJ181" s="108"/>
      <c r="AK181" s="108"/>
      <c r="AL181" s="108"/>
      <c r="AM181" s="108"/>
      <c r="AN181" s="108"/>
      <c r="AO181" s="108"/>
      <c r="AP181" s="108"/>
      <c r="AQ181" s="108"/>
      <c r="AR181" s="108"/>
    </row>
    <row r="182" spans="1:44" ht="102.75" customHeight="1" x14ac:dyDescent="0.3">
      <c r="A182" s="108">
        <v>50</v>
      </c>
      <c r="B182" s="4" t="s">
        <v>64</v>
      </c>
      <c r="C182" s="4" t="s">
        <v>1485</v>
      </c>
      <c r="D182" s="725" t="s">
        <v>1490</v>
      </c>
      <c r="E182" s="686" t="e">
        <f>HLOOKUP($D$2,'2020 Data(H)'!$C$1:$CR$399,37,FALSE)</f>
        <v>#N/A</v>
      </c>
      <c r="F182" s="295">
        <v>0</v>
      </c>
      <c r="G182" s="747">
        <f>IF(H182=0,,"Error: Total revenues less total expenses do not equal total change in net position. Account number 84-85+350-351+191+352-353-50=0  The amount of the formula is in the cell to the right")</f>
        <v>0</v>
      </c>
      <c r="H182" s="750">
        <f>F172-F174+F176-F177+F178+F179-F181-F182</f>
        <v>0</v>
      </c>
      <c r="I182" s="79"/>
      <c r="Z182" s="108"/>
      <c r="AA182" s="108"/>
      <c r="AB182" s="108"/>
      <c r="AC182" s="108"/>
      <c r="AD182" s="108"/>
      <c r="AE182" s="108"/>
      <c r="AF182" s="108"/>
      <c r="AG182" s="108"/>
      <c r="AH182" s="108"/>
      <c r="AI182" s="108"/>
      <c r="AJ182" s="108"/>
      <c r="AK182" s="108"/>
      <c r="AL182" s="108"/>
      <c r="AM182" s="108"/>
      <c r="AN182" s="108"/>
      <c r="AO182" s="108"/>
      <c r="AP182" s="108"/>
      <c r="AQ182" s="108"/>
      <c r="AR182" s="108"/>
    </row>
    <row r="183" spans="1:44" ht="121.5" customHeight="1" x14ac:dyDescent="0.3">
      <c r="A183" s="108">
        <v>377</v>
      </c>
      <c r="B183" s="4" t="s">
        <v>68</v>
      </c>
      <c r="C183" s="4" t="s">
        <v>1485</v>
      </c>
      <c r="D183" s="725" t="s">
        <v>1491</v>
      </c>
      <c r="E183" s="686" t="e">
        <f>HLOOKUP($D$2,'2020 Data(H)'!$C$1:$CR$399,136,FALSE)</f>
        <v>#N/A</v>
      </c>
      <c r="F183" s="295">
        <v>0</v>
      </c>
      <c r="G183" s="747" t="e">
        <f>IF(F149-F182-F183=E149,,"Error: Beginning Balance does not agree with our records.  Acct #s (83-50-377)=prior year 83 The amount of the formula is in the cell to the right")</f>
        <v>#N/A</v>
      </c>
      <c r="H183" s="750" t="e">
        <f>+F149-F182-F183-E149</f>
        <v>#N/A</v>
      </c>
      <c r="I183" s="1163" t="s">
        <v>1821</v>
      </c>
      <c r="Z183" s="108"/>
      <c r="AA183" s="108"/>
      <c r="AB183" s="108"/>
      <c r="AC183" s="108"/>
      <c r="AD183" s="108"/>
      <c r="AE183" s="108"/>
      <c r="AF183" s="108"/>
      <c r="AG183" s="108"/>
      <c r="AH183" s="108"/>
      <c r="AI183" s="108"/>
      <c r="AJ183" s="108"/>
      <c r="AK183" s="108"/>
      <c r="AL183" s="108"/>
      <c r="AM183" s="108"/>
      <c r="AN183" s="108"/>
      <c r="AO183" s="108"/>
      <c r="AP183" s="108"/>
      <c r="AQ183" s="108"/>
      <c r="AR183" s="108"/>
    </row>
    <row r="184" spans="1:44" ht="97.5" customHeight="1" x14ac:dyDescent="0.3">
      <c r="A184" s="108">
        <v>537</v>
      </c>
      <c r="B184" s="688" t="s">
        <v>59</v>
      </c>
      <c r="C184" s="688" t="s">
        <v>1485</v>
      </c>
      <c r="D184" s="685" t="s">
        <v>1492</v>
      </c>
      <c r="E184" s="59" t="e">
        <f>HLOOKUP($D$2,'2020 Data(H)'!$C$1:$CR$399,250,FALSE)</f>
        <v>#N/A</v>
      </c>
      <c r="F184" s="297"/>
      <c r="G184" s="747"/>
      <c r="H184" s="748"/>
      <c r="I184" s="749"/>
      <c r="Z184" s="108"/>
      <c r="AA184" s="108"/>
      <c r="AB184" s="108"/>
      <c r="AC184" s="108"/>
      <c r="AD184" s="108"/>
      <c r="AE184" s="108"/>
      <c r="AF184" s="108"/>
      <c r="AG184" s="108"/>
      <c r="AH184" s="108"/>
      <c r="AI184" s="108"/>
      <c r="AJ184" s="108"/>
      <c r="AK184" s="108"/>
      <c r="AL184" s="108"/>
      <c r="AM184" s="108"/>
      <c r="AN184" s="108"/>
      <c r="AO184" s="108"/>
      <c r="AP184" s="108"/>
      <c r="AQ184" s="108"/>
      <c r="AR184" s="108"/>
    </row>
    <row r="185" spans="1:44" ht="96.75" customHeight="1" x14ac:dyDescent="0.3">
      <c r="A185" s="108">
        <v>538</v>
      </c>
      <c r="B185" s="688" t="s">
        <v>59</v>
      </c>
      <c r="C185" s="688" t="s">
        <v>1485</v>
      </c>
      <c r="D185" s="685" t="s">
        <v>1493</v>
      </c>
      <c r="E185" s="686" t="e">
        <f>HLOOKUP($D$2,'2020 Data(H)'!$C$1:$CR$399,251,FALSE)</f>
        <v>#N/A</v>
      </c>
      <c r="F185" s="297"/>
      <c r="G185" s="747"/>
      <c r="H185" s="748"/>
      <c r="I185" s="749"/>
      <c r="Z185" s="108"/>
      <c r="AA185" s="108"/>
      <c r="AB185" s="108"/>
      <c r="AC185" s="108"/>
      <c r="AD185" s="108"/>
      <c r="AE185" s="108"/>
      <c r="AF185" s="108"/>
      <c r="AG185" s="108"/>
      <c r="AH185" s="108"/>
      <c r="AI185" s="108"/>
      <c r="AJ185" s="108"/>
      <c r="AK185" s="108"/>
      <c r="AL185" s="108"/>
      <c r="AM185" s="108"/>
      <c r="AN185" s="108"/>
      <c r="AO185" s="108"/>
      <c r="AP185" s="108"/>
      <c r="AQ185" s="108"/>
      <c r="AR185" s="108"/>
    </row>
    <row r="186" spans="1:44" ht="26.25" customHeight="1" x14ac:dyDescent="0.3">
      <c r="A186" s="108"/>
      <c r="B186" s="881" t="s">
        <v>6</v>
      </c>
      <c r="C186" s="882"/>
      <c r="D186" s="857"/>
      <c r="E186" s="857"/>
      <c r="F186" s="877"/>
      <c r="G186" s="878"/>
      <c r="H186" s="17"/>
      <c r="I186" s="79"/>
      <c r="Z186" s="108"/>
      <c r="AA186" s="108"/>
      <c r="AB186" s="108"/>
      <c r="AC186" s="108"/>
      <c r="AD186" s="108"/>
      <c r="AE186" s="108"/>
      <c r="AF186" s="108"/>
      <c r="AG186" s="108"/>
      <c r="AH186" s="108"/>
      <c r="AI186" s="108"/>
      <c r="AJ186" s="108"/>
      <c r="AK186" s="108"/>
      <c r="AL186" s="108"/>
      <c r="AM186" s="108"/>
      <c r="AN186" s="108"/>
      <c r="AO186" s="108"/>
      <c r="AP186" s="108"/>
      <c r="AQ186" s="108"/>
      <c r="AR186" s="108"/>
    </row>
    <row r="187" spans="1:44" ht="112.5" customHeight="1" x14ac:dyDescent="0.3">
      <c r="A187" s="108">
        <v>97</v>
      </c>
      <c r="B187" s="4" t="s">
        <v>68</v>
      </c>
      <c r="C187" s="4" t="s">
        <v>1494</v>
      </c>
      <c r="D187" s="29" t="s">
        <v>163</v>
      </c>
      <c r="E187" s="686" t="e">
        <f>HLOOKUP($D$2,'2020 Data(H)'!$C$1:$CR$399,57,FALSE)</f>
        <v>#N/A</v>
      </c>
      <c r="F187" s="295">
        <v>0</v>
      </c>
      <c r="G187" s="757"/>
      <c r="H187" s="17"/>
      <c r="I187" s="79"/>
      <c r="Z187" s="108"/>
      <c r="AA187" s="108"/>
      <c r="AB187" s="108"/>
      <c r="AC187" s="108"/>
      <c r="AD187" s="108"/>
      <c r="AE187" s="108"/>
      <c r="AF187" s="108"/>
      <c r="AG187" s="108"/>
      <c r="AH187" s="108"/>
      <c r="AI187" s="108"/>
      <c r="AJ187" s="108"/>
      <c r="AK187" s="108"/>
      <c r="AL187" s="108"/>
      <c r="AM187" s="108"/>
      <c r="AN187" s="108"/>
      <c r="AO187" s="108"/>
      <c r="AP187" s="108"/>
      <c r="AQ187" s="108"/>
      <c r="AR187" s="108"/>
    </row>
    <row r="188" spans="1:44" ht="87.75" customHeight="1" x14ac:dyDescent="0.3">
      <c r="A188" s="108">
        <v>93</v>
      </c>
      <c r="B188" s="4" t="s">
        <v>66</v>
      </c>
      <c r="C188" s="4" t="s">
        <v>1494</v>
      </c>
      <c r="D188" s="29" t="s">
        <v>159</v>
      </c>
      <c r="E188" s="686" t="e">
        <f>HLOOKUP($D$2,'2020 Data(H)'!$C$1:$CR$399,55,FALSE)</f>
        <v>#N/A</v>
      </c>
      <c r="F188" s="296">
        <v>0</v>
      </c>
      <c r="G188" s="747">
        <f>IF(F187&gt;F188,"Error: Charges for services exceed total operating revenues. Account number 97&gt;93",)</f>
        <v>0</v>
      </c>
      <c r="H188" s="17"/>
      <c r="I188" s="79"/>
      <c r="Z188" s="108"/>
      <c r="AA188" s="108"/>
      <c r="AB188" s="108"/>
      <c r="AC188" s="108"/>
      <c r="AD188" s="108"/>
      <c r="AE188" s="108"/>
      <c r="AF188" s="108"/>
      <c r="AG188" s="108"/>
      <c r="AH188" s="108"/>
      <c r="AI188" s="108"/>
      <c r="AJ188" s="108"/>
      <c r="AK188" s="108"/>
      <c r="AL188" s="108"/>
      <c r="AM188" s="108"/>
      <c r="AN188" s="108"/>
      <c r="AO188" s="108"/>
      <c r="AP188" s="108"/>
      <c r="AQ188" s="108"/>
      <c r="AR188" s="108"/>
    </row>
    <row r="189" spans="1:44" ht="96" customHeight="1" x14ac:dyDescent="0.3">
      <c r="A189" s="108">
        <v>99</v>
      </c>
      <c r="B189" s="4" t="s">
        <v>58</v>
      </c>
      <c r="C189" s="4" t="s">
        <v>1494</v>
      </c>
      <c r="D189" s="29" t="s">
        <v>164</v>
      </c>
      <c r="E189" s="686" t="e">
        <f>HLOOKUP($D$2,'2020 Data(H)'!$C$1:$CR$399,59,FALSE)</f>
        <v>#N/A</v>
      </c>
      <c r="F189" s="296">
        <v>0</v>
      </c>
      <c r="G189" s="747">
        <f t="shared" ref="G189:G197" si="2">IF(F189&lt;0,"Error: Enter as positive.",)</f>
        <v>0</v>
      </c>
      <c r="H189" s="17"/>
      <c r="I189" s="79"/>
      <c r="Z189" s="108"/>
      <c r="AA189" s="108"/>
      <c r="AB189" s="108"/>
      <c r="AC189" s="108"/>
      <c r="AD189" s="108"/>
      <c r="AE189" s="108"/>
      <c r="AF189" s="108"/>
      <c r="AG189" s="108"/>
      <c r="AH189" s="108"/>
      <c r="AI189" s="108"/>
      <c r="AJ189" s="108"/>
      <c r="AK189" s="108"/>
      <c r="AL189" s="108"/>
      <c r="AM189" s="108"/>
      <c r="AN189" s="108"/>
      <c r="AO189" s="108"/>
      <c r="AP189" s="108"/>
      <c r="AQ189" s="108"/>
      <c r="AR189" s="108"/>
    </row>
    <row r="190" spans="1:44" ht="79.5" customHeight="1" x14ac:dyDescent="0.3">
      <c r="A190" s="108">
        <v>52</v>
      </c>
      <c r="B190" s="4" t="s">
        <v>58</v>
      </c>
      <c r="C190" s="4" t="s">
        <v>1494</v>
      </c>
      <c r="D190" s="29" t="s">
        <v>160</v>
      </c>
      <c r="E190" s="686" t="e">
        <f>HLOOKUP($D$2,'2020 Data(H)'!$C$1:$CR$399,39,FALSE)</f>
        <v>#N/A</v>
      </c>
      <c r="F190" s="296">
        <v>0</v>
      </c>
      <c r="G190" s="747">
        <f t="shared" si="2"/>
        <v>0</v>
      </c>
      <c r="H190" s="17"/>
      <c r="I190" s="79"/>
      <c r="Z190" s="108"/>
      <c r="AA190" s="108"/>
      <c r="AB190" s="108"/>
      <c r="AC190" s="108"/>
      <c r="AD190" s="108"/>
      <c r="AE190" s="108"/>
      <c r="AF190" s="108"/>
      <c r="AG190" s="108"/>
      <c r="AH190" s="108"/>
      <c r="AI190" s="108"/>
      <c r="AJ190" s="108"/>
      <c r="AK190" s="108"/>
      <c r="AL190" s="108"/>
      <c r="AM190" s="108"/>
      <c r="AN190" s="108"/>
      <c r="AO190" s="108"/>
      <c r="AP190" s="108"/>
      <c r="AQ190" s="108"/>
      <c r="AR190" s="108"/>
    </row>
    <row r="191" spans="1:44" ht="95.25" customHeight="1" x14ac:dyDescent="0.3">
      <c r="A191" s="108">
        <v>94</v>
      </c>
      <c r="B191" s="4" t="s">
        <v>66</v>
      </c>
      <c r="C191" s="4" t="s">
        <v>1494</v>
      </c>
      <c r="D191" s="29" t="s">
        <v>161</v>
      </c>
      <c r="E191" s="686" t="e">
        <f>HLOOKUP($D$2,'2020 Data(H)'!$C$1:$CR$399,56,FALSE)</f>
        <v>#N/A</v>
      </c>
      <c r="F191" s="296">
        <v>0</v>
      </c>
      <c r="G191" s="747">
        <f t="shared" si="2"/>
        <v>0</v>
      </c>
      <c r="H191" s="17"/>
      <c r="I191" s="79"/>
      <c r="Z191" s="108"/>
      <c r="AA191" s="108"/>
      <c r="AB191" s="108"/>
      <c r="AC191" s="108"/>
      <c r="AD191" s="108"/>
      <c r="AE191" s="108"/>
      <c r="AF191" s="108"/>
      <c r="AG191" s="108"/>
      <c r="AH191" s="108"/>
      <c r="AI191" s="108"/>
      <c r="AJ191" s="108"/>
      <c r="AK191" s="108"/>
      <c r="AL191" s="108"/>
      <c r="AM191" s="108"/>
      <c r="AN191" s="108"/>
      <c r="AO191" s="108"/>
      <c r="AP191" s="108"/>
      <c r="AQ191" s="108"/>
      <c r="AR191" s="108"/>
    </row>
    <row r="192" spans="1:44" ht="100.5" customHeight="1" x14ac:dyDescent="0.3">
      <c r="A192" s="108">
        <v>98</v>
      </c>
      <c r="B192" s="4" t="s">
        <v>66</v>
      </c>
      <c r="C192" s="4" t="s">
        <v>1494</v>
      </c>
      <c r="D192" s="29" t="s">
        <v>162</v>
      </c>
      <c r="E192" s="686" t="e">
        <f>HLOOKUP($D$2,'2020 Data(H)'!$C$1:$CR$399,58,FALSE)</f>
        <v>#N/A</v>
      </c>
      <c r="F192" s="296">
        <v>0</v>
      </c>
      <c r="G192" s="747">
        <f t="shared" si="2"/>
        <v>0</v>
      </c>
      <c r="H192" s="17"/>
      <c r="I192" s="79"/>
      <c r="Z192" s="108"/>
      <c r="AA192" s="108"/>
      <c r="AB192" s="108"/>
      <c r="AC192" s="108"/>
      <c r="AD192" s="108"/>
      <c r="AE192" s="108"/>
      <c r="AF192" s="108"/>
      <c r="AG192" s="108"/>
      <c r="AH192" s="108"/>
      <c r="AI192" s="108"/>
      <c r="AJ192" s="108"/>
      <c r="AK192" s="108"/>
      <c r="AL192" s="108"/>
      <c r="AM192" s="108"/>
      <c r="AN192" s="108"/>
      <c r="AO192" s="108"/>
      <c r="AP192" s="108"/>
      <c r="AQ192" s="108"/>
      <c r="AR192" s="108"/>
    </row>
    <row r="193" spans="1:44" ht="95.25" customHeight="1" x14ac:dyDescent="0.3">
      <c r="A193" s="108">
        <v>363</v>
      </c>
      <c r="B193" s="4" t="s">
        <v>56</v>
      </c>
      <c r="C193" s="4" t="s">
        <v>1494</v>
      </c>
      <c r="D193" s="24" t="s">
        <v>1495</v>
      </c>
      <c r="E193" s="686" t="e">
        <f>HLOOKUP($D$2,'2020 Data(H)'!$C$1:$CR$399,124,FALSE)</f>
        <v>#N/A</v>
      </c>
      <c r="F193" s="296">
        <v>0</v>
      </c>
      <c r="G193" s="747">
        <f t="shared" si="2"/>
        <v>0</v>
      </c>
      <c r="H193" s="17"/>
      <c r="I193" s="79"/>
      <c r="Z193" s="108"/>
      <c r="AA193" s="108"/>
      <c r="AB193" s="108"/>
      <c r="AC193" s="108"/>
      <c r="AD193" s="108"/>
      <c r="AE193" s="108"/>
      <c r="AF193" s="108"/>
      <c r="AG193" s="108"/>
      <c r="AH193" s="108"/>
      <c r="AI193" s="108"/>
      <c r="AJ193" s="108"/>
      <c r="AK193" s="108"/>
      <c r="AL193" s="108"/>
      <c r="AM193" s="108"/>
      <c r="AN193" s="108"/>
      <c r="AO193" s="108"/>
      <c r="AP193" s="108"/>
      <c r="AQ193" s="108"/>
      <c r="AR193" s="108"/>
    </row>
    <row r="194" spans="1:44" ht="83.25" customHeight="1" x14ac:dyDescent="0.3">
      <c r="A194" s="108">
        <v>364</v>
      </c>
      <c r="B194" s="4" t="s">
        <v>56</v>
      </c>
      <c r="C194" s="4" t="s">
        <v>1494</v>
      </c>
      <c r="D194" s="24" t="s">
        <v>1496</v>
      </c>
      <c r="E194" s="686" t="e">
        <f>HLOOKUP($D$2,'2020 Data(H)'!$C$1:$CR$399,125,FALSE)</f>
        <v>#N/A</v>
      </c>
      <c r="F194" s="296">
        <v>0</v>
      </c>
      <c r="G194" s="747">
        <f t="shared" si="2"/>
        <v>0</v>
      </c>
      <c r="H194" s="17"/>
      <c r="I194" s="79"/>
      <c r="Z194" s="108"/>
      <c r="AA194" s="108"/>
      <c r="AB194" s="108"/>
      <c r="AC194" s="108"/>
      <c r="AD194" s="108"/>
      <c r="AE194" s="108"/>
      <c r="AF194" s="108"/>
      <c r="AG194" s="108"/>
      <c r="AH194" s="108"/>
      <c r="AI194" s="108"/>
      <c r="AJ194" s="108"/>
      <c r="AK194" s="108"/>
      <c r="AL194" s="108"/>
      <c r="AM194" s="108"/>
      <c r="AN194" s="108"/>
      <c r="AO194" s="108"/>
      <c r="AP194" s="108"/>
      <c r="AQ194" s="108"/>
      <c r="AR194" s="108"/>
    </row>
    <row r="195" spans="1:44" ht="93" customHeight="1" x14ac:dyDescent="0.3">
      <c r="A195" s="108">
        <v>192</v>
      </c>
      <c r="B195" s="4" t="s">
        <v>58</v>
      </c>
      <c r="C195" s="4" t="s">
        <v>1494</v>
      </c>
      <c r="D195" s="24" t="s">
        <v>1497</v>
      </c>
      <c r="E195" s="686" t="e">
        <f>HLOOKUP($D$2,'2020 Data(H)'!$C$1:$CR$399,73,FALSE)</f>
        <v>#N/A</v>
      </c>
      <c r="F195" s="296">
        <v>0</v>
      </c>
      <c r="G195" s="747">
        <f t="shared" si="2"/>
        <v>0</v>
      </c>
      <c r="H195" s="17"/>
      <c r="I195" s="79"/>
      <c r="Z195" s="108"/>
      <c r="AA195" s="108"/>
      <c r="AB195" s="108"/>
      <c r="AC195" s="108"/>
      <c r="AD195" s="108"/>
      <c r="AE195" s="108"/>
      <c r="AF195" s="108"/>
      <c r="AG195" s="108"/>
      <c r="AH195" s="108"/>
      <c r="AI195" s="108"/>
      <c r="AJ195" s="108"/>
      <c r="AK195" s="108"/>
      <c r="AL195" s="108"/>
      <c r="AM195" s="108"/>
      <c r="AN195" s="108"/>
      <c r="AO195" s="108"/>
      <c r="AP195" s="108"/>
      <c r="AQ195" s="108"/>
      <c r="AR195" s="108"/>
    </row>
    <row r="196" spans="1:44" ht="108" customHeight="1" x14ac:dyDescent="0.3">
      <c r="A196" s="108">
        <v>365</v>
      </c>
      <c r="B196" s="4" t="s">
        <v>66</v>
      </c>
      <c r="C196" s="4" t="s">
        <v>1494</v>
      </c>
      <c r="D196" s="24" t="s">
        <v>1498</v>
      </c>
      <c r="E196" s="686" t="e">
        <f>HLOOKUP($D$2,'2020 Data(H)'!$C$1:$CR$399,126,FALSE)</f>
        <v>#N/A</v>
      </c>
      <c r="F196" s="296">
        <v>0</v>
      </c>
      <c r="G196" s="747">
        <f t="shared" si="2"/>
        <v>0</v>
      </c>
      <c r="H196" s="17"/>
      <c r="I196" s="79"/>
      <c r="Z196" s="108"/>
      <c r="AA196" s="108"/>
      <c r="AB196" s="108"/>
      <c r="AC196" s="108"/>
      <c r="AD196" s="108"/>
      <c r="AE196" s="108"/>
      <c r="AF196" s="108"/>
      <c r="AG196" s="108"/>
      <c r="AH196" s="108"/>
      <c r="AI196" s="108"/>
      <c r="AJ196" s="108"/>
      <c r="AK196" s="108"/>
      <c r="AL196" s="108"/>
      <c r="AM196" s="108"/>
      <c r="AN196" s="108"/>
      <c r="AO196" s="108"/>
      <c r="AP196" s="108"/>
      <c r="AQ196" s="108"/>
      <c r="AR196" s="108"/>
    </row>
    <row r="197" spans="1:44" ht="84.75" customHeight="1" x14ac:dyDescent="0.3">
      <c r="A197" s="108">
        <v>366</v>
      </c>
      <c r="B197" s="4" t="s">
        <v>66</v>
      </c>
      <c r="C197" s="4" t="s">
        <v>1494</v>
      </c>
      <c r="D197" s="24" t="s">
        <v>1499</v>
      </c>
      <c r="E197" s="686" t="e">
        <f>HLOOKUP($D$2,'2020 Data(H)'!$C$1:$CR$399,127,FALSE)</f>
        <v>#N/A</v>
      </c>
      <c r="F197" s="296">
        <v>0</v>
      </c>
      <c r="G197" s="747">
        <f t="shared" si="2"/>
        <v>0</v>
      </c>
      <c r="H197" s="17"/>
      <c r="I197" s="79"/>
      <c r="Z197" s="108"/>
      <c r="AA197" s="108"/>
      <c r="AB197" s="108"/>
      <c r="AC197" s="108"/>
      <c r="AD197" s="108"/>
      <c r="AE197" s="108"/>
      <c r="AF197" s="108"/>
      <c r="AG197" s="108"/>
      <c r="AH197" s="108"/>
      <c r="AI197" s="108"/>
      <c r="AJ197" s="108"/>
      <c r="AK197" s="108"/>
      <c r="AL197" s="108"/>
      <c r="AM197" s="108"/>
      <c r="AN197" s="108"/>
      <c r="AO197" s="108"/>
      <c r="AP197" s="108"/>
      <c r="AQ197" s="108"/>
      <c r="AR197" s="108"/>
    </row>
    <row r="198" spans="1:44" s="18" customFormat="1" ht="93.75" customHeight="1" x14ac:dyDescent="0.3">
      <c r="A198" s="108">
        <v>53</v>
      </c>
      <c r="B198" s="688" t="s">
        <v>66</v>
      </c>
      <c r="C198" s="688" t="s">
        <v>1494</v>
      </c>
      <c r="D198" s="725" t="s">
        <v>1500</v>
      </c>
      <c r="E198" s="686" t="e">
        <f>HLOOKUP($D$2,'2020 Data(H)'!$C$1:$CR$399,40,FALSE)</f>
        <v>#N/A</v>
      </c>
      <c r="F198" s="296">
        <v>0</v>
      </c>
      <c r="G198" s="747">
        <f>IF(H198=0,,"Error: Total revenues less total expenses do not equal total change in net position. Account number 93-94+363-364+192+365-366-53=0  The amount of the formula is in the cell to the right")</f>
        <v>0</v>
      </c>
      <c r="H198" s="750">
        <f>+F188-F191+F193-F194+F195+F196-F197-F198</f>
        <v>0</v>
      </c>
      <c r="I198" s="79"/>
      <c r="N198" s="298"/>
      <c r="Z198" s="108"/>
      <c r="AA198" s="108"/>
      <c r="AB198" s="108"/>
      <c r="AC198" s="108"/>
      <c r="AD198" s="108"/>
      <c r="AE198" s="108"/>
      <c r="AF198" s="108"/>
      <c r="AG198" s="108"/>
      <c r="AH198" s="108"/>
      <c r="AI198" s="108"/>
      <c r="AJ198" s="108"/>
      <c r="AK198" s="108"/>
      <c r="AL198" s="108"/>
      <c r="AM198" s="108"/>
      <c r="AN198" s="108"/>
      <c r="AO198" s="108"/>
      <c r="AP198" s="108"/>
      <c r="AQ198" s="108"/>
      <c r="AR198" s="108"/>
    </row>
    <row r="199" spans="1:44" s="18" customFormat="1" ht="135" customHeight="1" x14ac:dyDescent="0.3">
      <c r="A199" s="108">
        <v>378</v>
      </c>
      <c r="B199" s="5" t="s">
        <v>56</v>
      </c>
      <c r="C199" s="4" t="s">
        <v>1494</v>
      </c>
      <c r="D199" s="725" t="s">
        <v>1501</v>
      </c>
      <c r="E199" s="686" t="e">
        <f>HLOOKUP($D$2,'2020 Data(H)'!$C$1:$CR$399,137,FALSE)</f>
        <v>#N/A</v>
      </c>
      <c r="F199" s="295">
        <v>0</v>
      </c>
      <c r="G199" s="747" t="e">
        <f>IF(F168-F198-F199=E168,,"Error: Beginning Balance does not agree with our records.  Acct #s (362-53-378)=prior year 362  The amount of the formula is in the cell to the right")</f>
        <v>#N/A</v>
      </c>
      <c r="H199" s="750" t="e">
        <f>+F168-F198-F199-E168</f>
        <v>#N/A</v>
      </c>
      <c r="I199" s="1163" t="s">
        <v>1821</v>
      </c>
      <c r="N199" s="298"/>
      <c r="Z199" s="108"/>
      <c r="AA199" s="108"/>
      <c r="AB199" s="108"/>
      <c r="AC199" s="108"/>
      <c r="AD199" s="108"/>
      <c r="AE199" s="108"/>
      <c r="AF199" s="108"/>
      <c r="AG199" s="108"/>
      <c r="AH199" s="108"/>
      <c r="AI199" s="108"/>
      <c r="AJ199" s="108"/>
      <c r="AK199" s="108"/>
      <c r="AL199" s="108"/>
      <c r="AM199" s="108"/>
      <c r="AN199" s="108"/>
      <c r="AO199" s="108"/>
      <c r="AP199" s="108"/>
      <c r="AQ199" s="108"/>
      <c r="AR199" s="108"/>
    </row>
    <row r="200" spans="1:44" ht="30.75" customHeight="1" x14ac:dyDescent="0.3">
      <c r="A200" s="108"/>
      <c r="B200" s="881" t="s">
        <v>828</v>
      </c>
      <c r="C200" s="881"/>
      <c r="D200" s="884"/>
      <c r="E200" s="864"/>
      <c r="F200" s="885"/>
      <c r="G200" s="866"/>
      <c r="H200" s="17"/>
      <c r="I200" s="79"/>
      <c r="Z200" s="108"/>
      <c r="AA200" s="108"/>
      <c r="AB200" s="108"/>
      <c r="AC200" s="108"/>
      <c r="AD200" s="108"/>
      <c r="AE200" s="108"/>
      <c r="AF200" s="108"/>
      <c r="AG200" s="108"/>
      <c r="AH200" s="108"/>
      <c r="AI200" s="108"/>
      <c r="AJ200" s="108"/>
      <c r="AK200" s="108"/>
      <c r="AL200" s="108"/>
      <c r="AM200" s="108"/>
      <c r="AN200" s="108"/>
      <c r="AO200" s="108"/>
      <c r="AP200" s="108"/>
      <c r="AQ200" s="108"/>
      <c r="AR200" s="108"/>
    </row>
    <row r="201" spans="1:44" ht="13.5" customHeight="1" x14ac:dyDescent="0.3">
      <c r="A201" s="108"/>
      <c r="B201" s="886" t="s">
        <v>1502</v>
      </c>
      <c r="C201" s="882"/>
      <c r="D201" s="857"/>
      <c r="E201" s="857"/>
      <c r="F201" s="887"/>
      <c r="G201" s="878"/>
      <c r="H201" s="17"/>
      <c r="I201" s="79"/>
      <c r="Z201" s="108"/>
      <c r="AA201" s="108"/>
      <c r="AB201" s="108"/>
      <c r="AC201" s="108"/>
      <c r="AD201" s="108"/>
      <c r="AE201" s="108"/>
      <c r="AF201" s="108"/>
      <c r="AG201" s="108"/>
      <c r="AH201" s="108"/>
      <c r="AI201" s="108"/>
      <c r="AJ201" s="108"/>
      <c r="AK201" s="108"/>
      <c r="AL201" s="108"/>
      <c r="AM201" s="108"/>
      <c r="AN201" s="108"/>
      <c r="AO201" s="108"/>
      <c r="AP201" s="108"/>
      <c r="AQ201" s="108"/>
      <c r="AR201" s="108"/>
    </row>
    <row r="202" spans="1:44" ht="17.25" customHeight="1" x14ac:dyDescent="0.3">
      <c r="A202" s="108"/>
      <c r="B202" s="882" t="s">
        <v>1503</v>
      </c>
      <c r="C202" s="882"/>
      <c r="D202" s="873"/>
      <c r="E202" s="855"/>
      <c r="F202" s="888"/>
      <c r="G202" s="880"/>
      <c r="H202" s="17"/>
      <c r="I202" s="79"/>
      <c r="Z202" s="108"/>
      <c r="AA202" s="108"/>
      <c r="AB202" s="108"/>
      <c r="AC202" s="108"/>
      <c r="AD202" s="108"/>
      <c r="AE202" s="108"/>
      <c r="AF202" s="108"/>
      <c r="AG202" s="108"/>
      <c r="AH202" s="108"/>
      <c r="AI202" s="108"/>
      <c r="AJ202" s="108"/>
      <c r="AK202" s="108"/>
      <c r="AL202" s="108"/>
      <c r="AM202" s="108"/>
      <c r="AN202" s="108"/>
      <c r="AO202" s="108"/>
      <c r="AP202" s="108"/>
      <c r="AQ202" s="108"/>
      <c r="AR202" s="108"/>
    </row>
    <row r="203" spans="1:44" ht="13.5" customHeight="1" x14ac:dyDescent="0.3">
      <c r="A203" s="108"/>
      <c r="B203" s="882" t="s">
        <v>23</v>
      </c>
      <c r="C203" s="882"/>
      <c r="D203" s="873"/>
      <c r="E203" s="855"/>
      <c r="F203" s="888"/>
      <c r="G203" s="880"/>
      <c r="H203" s="17"/>
      <c r="I203" s="79"/>
      <c r="Z203" s="108"/>
      <c r="AA203" s="108"/>
      <c r="AB203" s="108"/>
      <c r="AC203" s="108"/>
      <c r="AD203" s="108"/>
      <c r="AE203" s="108"/>
      <c r="AF203" s="108"/>
      <c r="AG203" s="108"/>
      <c r="AH203" s="108"/>
      <c r="AI203" s="108"/>
      <c r="AJ203" s="108"/>
      <c r="AK203" s="108"/>
      <c r="AL203" s="108"/>
      <c r="AM203" s="108"/>
      <c r="AN203" s="108"/>
      <c r="AO203" s="108"/>
      <c r="AP203" s="108"/>
      <c r="AQ203" s="108"/>
      <c r="AR203" s="108"/>
    </row>
    <row r="204" spans="1:44" ht="59.25" customHeight="1" x14ac:dyDescent="0.3">
      <c r="A204" s="108">
        <v>51</v>
      </c>
      <c r="B204" s="4" t="s">
        <v>527</v>
      </c>
      <c r="C204" s="846" t="s">
        <v>1504</v>
      </c>
      <c r="D204" s="24" t="s">
        <v>1505</v>
      </c>
      <c r="E204" s="686" t="e">
        <f>HLOOKUP($D$2,'2020 Data(H)'!$C$1:$CR$399,38,FALSE)</f>
        <v>#N/A</v>
      </c>
      <c r="F204" s="296">
        <v>0</v>
      </c>
      <c r="G204" s="757"/>
      <c r="H204" s="17"/>
      <c r="I204" s="79"/>
      <c r="Z204" s="108"/>
      <c r="AA204" s="108"/>
      <c r="AB204" s="108"/>
      <c r="AC204" s="108"/>
      <c r="AD204" s="108"/>
      <c r="AE204" s="108"/>
      <c r="AF204" s="108"/>
      <c r="AG204" s="108"/>
      <c r="AH204" s="108"/>
      <c r="AI204" s="108"/>
      <c r="AJ204" s="108"/>
      <c r="AK204" s="108"/>
      <c r="AL204" s="108"/>
      <c r="AM204" s="108"/>
      <c r="AN204" s="108"/>
      <c r="AO204" s="108"/>
      <c r="AP204" s="108"/>
      <c r="AQ204" s="108"/>
      <c r="AR204" s="108"/>
    </row>
    <row r="205" spans="1:44" ht="45" customHeight="1" x14ac:dyDescent="0.3">
      <c r="A205" s="108">
        <v>332</v>
      </c>
      <c r="B205" s="4" t="s">
        <v>37</v>
      </c>
      <c r="C205" s="846" t="s">
        <v>1504</v>
      </c>
      <c r="D205" s="24" t="s">
        <v>1506</v>
      </c>
      <c r="E205" s="686" t="e">
        <f>HLOOKUP($D$2,'2020 Data(H)'!$C$1:$CR$399,98,FALSE)</f>
        <v>#N/A</v>
      </c>
      <c r="F205" s="296">
        <v>0</v>
      </c>
      <c r="G205" s="747">
        <f>IF(F205&lt;0,"Error: Enter as positive.",)</f>
        <v>0</v>
      </c>
      <c r="H205" s="17"/>
      <c r="I205" s="79"/>
      <c r="Z205" s="108"/>
      <c r="AA205" s="108"/>
      <c r="AB205" s="108"/>
      <c r="AC205" s="108"/>
      <c r="AD205" s="108"/>
      <c r="AE205" s="108"/>
      <c r="AF205" s="108"/>
      <c r="AG205" s="108"/>
      <c r="AH205" s="108"/>
      <c r="AI205" s="108"/>
      <c r="AJ205" s="108"/>
      <c r="AK205" s="108"/>
      <c r="AL205" s="108"/>
      <c r="AM205" s="108"/>
      <c r="AN205" s="108"/>
      <c r="AO205" s="108"/>
      <c r="AP205" s="108"/>
      <c r="AQ205" s="108"/>
      <c r="AR205" s="108"/>
    </row>
    <row r="206" spans="1:44" ht="63" customHeight="1" x14ac:dyDescent="0.3">
      <c r="A206" s="108">
        <v>331</v>
      </c>
      <c r="B206" s="4" t="s">
        <v>527</v>
      </c>
      <c r="C206" s="846" t="s">
        <v>1504</v>
      </c>
      <c r="D206" s="24" t="s">
        <v>1507</v>
      </c>
      <c r="E206" s="686" t="e">
        <f>HLOOKUP($D$2,'2020 Data(H)'!$C$1:$CR$399,97,FALSE)</f>
        <v>#N/A</v>
      </c>
      <c r="F206" s="296">
        <v>0</v>
      </c>
      <c r="G206" s="747">
        <f>IF(F206&lt;0,"Error: Enter as positive.",)</f>
        <v>0</v>
      </c>
      <c r="H206" s="17"/>
      <c r="I206" s="79"/>
      <c r="Z206" s="108"/>
      <c r="AA206" s="108"/>
      <c r="AB206" s="108"/>
      <c r="AC206" s="108"/>
      <c r="AD206" s="108"/>
      <c r="AE206" s="108"/>
      <c r="AF206" s="108"/>
      <c r="AG206" s="108"/>
      <c r="AH206" s="108"/>
      <c r="AI206" s="108"/>
      <c r="AJ206" s="108"/>
      <c r="AK206" s="108"/>
      <c r="AL206" s="108"/>
      <c r="AM206" s="108"/>
      <c r="AN206" s="108"/>
      <c r="AO206" s="108"/>
      <c r="AP206" s="108"/>
      <c r="AQ206" s="108"/>
      <c r="AR206" s="108"/>
    </row>
    <row r="207" spans="1:44" x14ac:dyDescent="0.3">
      <c r="A207" s="108"/>
      <c r="B207" s="881" t="s">
        <v>6</v>
      </c>
      <c r="C207" s="882"/>
      <c r="D207" s="882"/>
      <c r="E207" s="857"/>
      <c r="F207" s="887"/>
      <c r="G207" s="889"/>
      <c r="H207" s="17"/>
      <c r="I207" s="79"/>
      <c r="Z207" s="108"/>
      <c r="AA207" s="108"/>
      <c r="AB207" s="108"/>
      <c r="AC207" s="108"/>
      <c r="AD207" s="108"/>
      <c r="AE207" s="108"/>
      <c r="AF207" s="108"/>
      <c r="AG207" s="108"/>
      <c r="AH207" s="108"/>
      <c r="AI207" s="108"/>
      <c r="AJ207" s="108"/>
      <c r="AK207" s="108"/>
      <c r="AL207" s="108"/>
      <c r="AM207" s="108"/>
      <c r="AN207" s="108"/>
      <c r="AO207" s="108"/>
      <c r="AP207" s="108"/>
      <c r="AQ207" s="108"/>
      <c r="AR207" s="108"/>
    </row>
    <row r="208" spans="1:44" ht="48" customHeight="1" x14ac:dyDescent="0.3">
      <c r="A208" s="108">
        <v>55</v>
      </c>
      <c r="B208" s="4" t="s">
        <v>59</v>
      </c>
      <c r="C208" s="846" t="s">
        <v>1508</v>
      </c>
      <c r="D208" s="24" t="s">
        <v>1509</v>
      </c>
      <c r="E208" s="686" t="e">
        <f>HLOOKUP($D$2,'2020 Data(H)'!$C$1:$CR$399,42,FALSE)</f>
        <v>#N/A</v>
      </c>
      <c r="F208" s="296">
        <v>0</v>
      </c>
      <c r="G208" s="757"/>
      <c r="H208" s="17"/>
      <c r="I208" s="79"/>
      <c r="Z208" s="108"/>
      <c r="AA208" s="108"/>
      <c r="AB208" s="108"/>
      <c r="AC208" s="108"/>
      <c r="AD208" s="108"/>
      <c r="AE208" s="108"/>
      <c r="AF208" s="108"/>
      <c r="AG208" s="108"/>
      <c r="AH208" s="108"/>
      <c r="AI208" s="108"/>
      <c r="AJ208" s="108"/>
      <c r="AK208" s="108"/>
      <c r="AL208" s="108"/>
      <c r="AM208" s="108"/>
      <c r="AN208" s="108"/>
      <c r="AO208" s="108"/>
      <c r="AP208" s="108"/>
      <c r="AQ208" s="108"/>
      <c r="AR208" s="108"/>
    </row>
    <row r="209" spans="1:44" ht="60" customHeight="1" x14ac:dyDescent="0.3">
      <c r="A209" s="108">
        <v>101</v>
      </c>
      <c r="B209" s="4" t="s">
        <v>65</v>
      </c>
      <c r="C209" s="846" t="s">
        <v>1508</v>
      </c>
      <c r="D209" s="24" t="s">
        <v>1510</v>
      </c>
      <c r="E209" s="686" t="e">
        <f>HLOOKUP($D$2,'2020 Data(H)'!$C$1:$CR$399,61,FALSE)</f>
        <v>#N/A</v>
      </c>
      <c r="F209" s="296">
        <v>0</v>
      </c>
      <c r="G209" s="747">
        <f>IF(F209&lt;0,"Error: Enter as positive.",)</f>
        <v>0</v>
      </c>
      <c r="H209" s="17"/>
      <c r="I209" s="79"/>
      <c r="Z209" s="108"/>
      <c r="AA209" s="108"/>
      <c r="AB209" s="108"/>
      <c r="AC209" s="108"/>
      <c r="AD209" s="108"/>
      <c r="AE209" s="108"/>
      <c r="AF209" s="108"/>
      <c r="AG209" s="108"/>
      <c r="AH209" s="108"/>
      <c r="AI209" s="108"/>
      <c r="AJ209" s="108"/>
      <c r="AK209" s="108"/>
      <c r="AL209" s="108"/>
      <c r="AM209" s="108"/>
      <c r="AN209" s="108"/>
      <c r="AO209" s="108"/>
      <c r="AP209" s="108"/>
      <c r="AQ209" s="108"/>
      <c r="AR209" s="108"/>
    </row>
    <row r="210" spans="1:44" ht="71.25" customHeight="1" x14ac:dyDescent="0.3">
      <c r="A210" s="108">
        <v>100</v>
      </c>
      <c r="B210" s="4" t="s">
        <v>66</v>
      </c>
      <c r="C210" s="846" t="s">
        <v>1508</v>
      </c>
      <c r="D210" s="24" t="s">
        <v>1507</v>
      </c>
      <c r="E210" s="686" t="e">
        <f>HLOOKUP($D$2,'2020 Data(H)'!$C$1:$CR$399,60,FALSE)</f>
        <v>#N/A</v>
      </c>
      <c r="F210" s="296">
        <v>0</v>
      </c>
      <c r="G210" s="747">
        <f>IF(F210&lt;0,"Error: Enter as positive.",)</f>
        <v>0</v>
      </c>
      <c r="H210" s="17"/>
      <c r="I210" s="79"/>
      <c r="Z210" s="108"/>
      <c r="AA210" s="108"/>
      <c r="AB210" s="108"/>
      <c r="AC210" s="108"/>
      <c r="AD210" s="108"/>
      <c r="AE210" s="108"/>
      <c r="AF210" s="108"/>
      <c r="AG210" s="108"/>
      <c r="AH210" s="108"/>
      <c r="AI210" s="108"/>
      <c r="AJ210" s="108"/>
      <c r="AK210" s="108"/>
      <c r="AL210" s="108"/>
      <c r="AM210" s="108"/>
      <c r="AN210" s="108"/>
      <c r="AO210" s="108"/>
      <c r="AP210" s="108"/>
      <c r="AQ210" s="108"/>
      <c r="AR210" s="108"/>
    </row>
    <row r="211" spans="1:44" x14ac:dyDescent="0.3">
      <c r="A211" s="108"/>
      <c r="B211" s="857" t="s">
        <v>71</v>
      </c>
      <c r="C211" s="873"/>
      <c r="D211" s="857"/>
      <c r="E211" s="857"/>
      <c r="F211" s="890"/>
      <c r="G211" s="876"/>
      <c r="H211" s="17"/>
      <c r="I211" s="79"/>
      <c r="J211" s="592"/>
      <c r="Z211" s="108"/>
      <c r="AA211" s="108"/>
      <c r="AB211" s="108"/>
      <c r="AC211" s="108"/>
      <c r="AD211" s="108"/>
      <c r="AE211" s="108"/>
      <c r="AF211" s="108"/>
      <c r="AG211" s="108"/>
      <c r="AH211" s="108"/>
      <c r="AI211" s="108"/>
      <c r="AJ211" s="108"/>
      <c r="AK211" s="108"/>
      <c r="AL211" s="108"/>
      <c r="AM211" s="108"/>
      <c r="AN211" s="108"/>
      <c r="AO211" s="108"/>
      <c r="AP211" s="108"/>
      <c r="AQ211" s="108"/>
      <c r="AR211" s="108"/>
    </row>
    <row r="212" spans="1:44" ht="106.5" customHeight="1" x14ac:dyDescent="0.3">
      <c r="A212" s="108">
        <v>512</v>
      </c>
      <c r="B212" s="576"/>
      <c r="C212" s="846" t="s">
        <v>165</v>
      </c>
      <c r="D212" s="24" t="s">
        <v>1511</v>
      </c>
      <c r="E212" s="686" t="e">
        <f>HLOOKUP($D$2,'2020 Data(H)'!$C$1:$CR$399,162,FALSE)</f>
        <v>#N/A</v>
      </c>
      <c r="F212" s="296">
        <v>0</v>
      </c>
      <c r="G212" s="747">
        <f>IF(F212&lt;0,"Error: Enter as positive.",)</f>
        <v>0</v>
      </c>
      <c r="H212" s="17"/>
      <c r="I212" s="79"/>
      <c r="J212" s="592"/>
      <c r="Z212" s="108"/>
      <c r="AA212" s="108"/>
      <c r="AB212" s="108"/>
      <c r="AC212" s="108"/>
      <c r="AD212" s="108"/>
      <c r="AE212" s="108"/>
      <c r="AF212" s="108"/>
      <c r="AG212" s="108"/>
      <c r="AH212" s="108"/>
      <c r="AI212" s="108"/>
      <c r="AJ212" s="108"/>
      <c r="AK212" s="108"/>
      <c r="AL212" s="108"/>
      <c r="AM212" s="108"/>
      <c r="AN212" s="108"/>
      <c r="AO212" s="108"/>
      <c r="AP212" s="108"/>
      <c r="AQ212" s="108"/>
      <c r="AR212" s="108"/>
    </row>
    <row r="213" spans="1:44" x14ac:dyDescent="0.3">
      <c r="A213" s="108"/>
      <c r="B213" s="881" t="s">
        <v>814</v>
      </c>
      <c r="C213" s="882"/>
      <c r="D213" s="884"/>
      <c r="E213" s="891"/>
      <c r="F213" s="890"/>
      <c r="G213" s="876"/>
      <c r="H213" s="748"/>
      <c r="I213" s="749"/>
      <c r="Z213" s="108"/>
      <c r="AA213" s="108"/>
      <c r="AB213" s="108"/>
      <c r="AC213" s="108"/>
      <c r="AD213" s="108"/>
      <c r="AE213" s="108"/>
      <c r="AF213" s="108"/>
      <c r="AG213" s="108"/>
      <c r="AH213" s="108"/>
      <c r="AI213" s="108"/>
      <c r="AJ213" s="108"/>
      <c r="AK213" s="108"/>
      <c r="AL213" s="108"/>
      <c r="AM213" s="108"/>
      <c r="AN213" s="108"/>
      <c r="AO213" s="108"/>
      <c r="AP213" s="108"/>
      <c r="AQ213" s="108"/>
      <c r="AR213" s="108"/>
    </row>
    <row r="214" spans="1:44" ht="59.25" customHeight="1" x14ac:dyDescent="0.3">
      <c r="A214" s="310">
        <v>656</v>
      </c>
      <c r="B214" s="310"/>
      <c r="C214" s="310"/>
      <c r="D214" s="772" t="s">
        <v>815</v>
      </c>
      <c r="E214" s="686" t="e">
        <f>HLOOKUP($D$2,'2020 Data(H)'!$C$1:$CR$399,309,FALSE)</f>
        <v>#N/A</v>
      </c>
      <c r="F214" s="296">
        <v>0</v>
      </c>
      <c r="G214" s="747"/>
      <c r="H214" s="17"/>
      <c r="I214" s="79"/>
      <c r="J214" s="592"/>
      <c r="Z214" s="310"/>
      <c r="AA214" s="310"/>
      <c r="AB214" s="310"/>
      <c r="AC214" s="310"/>
      <c r="AD214" s="310"/>
      <c r="AE214" s="310"/>
      <c r="AF214" s="310"/>
      <c r="AG214" s="310"/>
      <c r="AH214" s="310"/>
      <c r="AI214" s="310"/>
      <c r="AJ214" s="310"/>
      <c r="AK214" s="310"/>
      <c r="AL214" s="310"/>
      <c r="AM214" s="310"/>
      <c r="AN214" s="310"/>
      <c r="AO214" s="310"/>
      <c r="AP214" s="310"/>
      <c r="AQ214" s="310"/>
      <c r="AR214" s="310"/>
    </row>
    <row r="215" spans="1:44" x14ac:dyDescent="0.3">
      <c r="A215" s="108"/>
      <c r="B215" s="881" t="s">
        <v>530</v>
      </c>
      <c r="C215" s="882"/>
      <c r="D215" s="884"/>
      <c r="E215" s="891"/>
      <c r="F215" s="890"/>
      <c r="G215" s="876"/>
      <c r="H215" s="748"/>
      <c r="I215" s="749"/>
      <c r="Z215" s="108"/>
      <c r="AA215" s="108"/>
      <c r="AB215" s="108"/>
      <c r="AC215" s="108"/>
      <c r="AD215" s="108"/>
      <c r="AE215" s="108"/>
      <c r="AF215" s="108"/>
      <c r="AG215" s="108"/>
      <c r="AH215" s="108"/>
      <c r="AI215" s="108"/>
      <c r="AJ215" s="108"/>
      <c r="AK215" s="108"/>
      <c r="AL215" s="108"/>
      <c r="AM215" s="108"/>
      <c r="AN215" s="108"/>
      <c r="AO215" s="108"/>
      <c r="AP215" s="108"/>
      <c r="AQ215" s="108"/>
      <c r="AR215" s="108"/>
    </row>
    <row r="216" spans="1:44" ht="121.5" customHeight="1" x14ac:dyDescent="0.3">
      <c r="A216" s="108">
        <v>535</v>
      </c>
      <c r="B216" s="688" t="s">
        <v>55</v>
      </c>
      <c r="C216" s="688" t="s">
        <v>166</v>
      </c>
      <c r="D216" s="24" t="s">
        <v>1512</v>
      </c>
      <c r="E216" s="686" t="e">
        <f>HLOOKUP($D$2,'2020 Data(H)'!$C$1:$CR$399,185,FALSE)</f>
        <v>#N/A</v>
      </c>
      <c r="F216" s="296">
        <v>0</v>
      </c>
      <c r="G216" s="747" t="str">
        <f>IF(F216&lt;1,"Reminder: Please make sure you have entered all cash and investments from bond/Debt proceeds, if applicable.",)</f>
        <v>Reminder: Please make sure you have entered all cash and investments from bond/Debt proceeds, if applicable.</v>
      </c>
      <c r="H216" s="748"/>
      <c r="I216" s="749"/>
      <c r="Z216" s="108"/>
      <c r="AA216" s="108"/>
      <c r="AB216" s="108"/>
      <c r="AC216" s="108"/>
      <c r="AD216" s="108"/>
      <c r="AE216" s="108"/>
      <c r="AF216" s="108"/>
      <c r="AG216" s="108"/>
      <c r="AH216" s="108"/>
      <c r="AI216" s="108"/>
      <c r="AJ216" s="108"/>
      <c r="AK216" s="108"/>
      <c r="AL216" s="108"/>
      <c r="AM216" s="108"/>
      <c r="AN216" s="108"/>
      <c r="AO216" s="108"/>
      <c r="AP216" s="108"/>
      <c r="AQ216" s="108"/>
      <c r="AR216" s="108"/>
    </row>
    <row r="217" spans="1:44" x14ac:dyDescent="0.3">
      <c r="A217" s="108"/>
      <c r="B217" s="881" t="s">
        <v>29</v>
      </c>
      <c r="C217" s="882"/>
      <c r="D217" s="858"/>
      <c r="E217" s="858"/>
      <c r="F217" s="887"/>
      <c r="G217" s="878"/>
      <c r="H217" s="17"/>
      <c r="I217" s="79"/>
      <c r="Z217" s="108"/>
      <c r="AA217" s="108"/>
      <c r="AB217" s="108"/>
      <c r="AC217" s="108"/>
      <c r="AD217" s="108"/>
      <c r="AE217" s="108"/>
      <c r="AF217" s="108"/>
      <c r="AG217" s="108"/>
      <c r="AH217" s="108"/>
      <c r="AI217" s="108"/>
      <c r="AJ217" s="108"/>
      <c r="AK217" s="108"/>
      <c r="AL217" s="108"/>
      <c r="AM217" s="108"/>
      <c r="AN217" s="108"/>
      <c r="AO217" s="108"/>
      <c r="AP217" s="108"/>
      <c r="AQ217" s="108"/>
      <c r="AR217" s="108"/>
    </row>
    <row r="218" spans="1:44" x14ac:dyDescent="0.3">
      <c r="A218" s="108"/>
      <c r="B218" s="576"/>
      <c r="C218" s="576"/>
      <c r="D218" s="773" t="s">
        <v>2</v>
      </c>
      <c r="E218" s="1"/>
      <c r="F218" s="164"/>
      <c r="G218" s="757"/>
      <c r="H218" s="17"/>
      <c r="I218" s="79"/>
      <c r="Z218" s="108"/>
      <c r="AA218" s="108"/>
      <c r="AB218" s="108"/>
      <c r="AC218" s="108"/>
      <c r="AD218" s="108"/>
      <c r="AE218" s="108"/>
      <c r="AF218" s="108"/>
      <c r="AG218" s="108"/>
      <c r="AH218" s="108"/>
      <c r="AI218" s="108"/>
      <c r="AJ218" s="108"/>
      <c r="AK218" s="108"/>
      <c r="AL218" s="108"/>
      <c r="AM218" s="108"/>
      <c r="AN218" s="108"/>
      <c r="AO218" s="108"/>
      <c r="AP218" s="108"/>
      <c r="AQ218" s="108"/>
      <c r="AR218" s="108"/>
    </row>
    <row r="219" spans="1:44" ht="36" customHeight="1" x14ac:dyDescent="0.3">
      <c r="A219" s="108"/>
      <c r="B219" s="576"/>
      <c r="C219" s="576"/>
      <c r="D219" s="687" t="s">
        <v>1513</v>
      </c>
      <c r="E219" s="1"/>
      <c r="F219" s="164"/>
      <c r="G219" s="757"/>
      <c r="H219" s="17"/>
      <c r="I219" s="79"/>
      <c r="Z219" s="108"/>
      <c r="AA219" s="108"/>
      <c r="AB219" s="108"/>
      <c r="AC219" s="108"/>
      <c r="AD219" s="108"/>
      <c r="AE219" s="108"/>
      <c r="AF219" s="108"/>
      <c r="AG219" s="108"/>
      <c r="AH219" s="108"/>
      <c r="AI219" s="108"/>
      <c r="AJ219" s="108"/>
      <c r="AK219" s="108"/>
      <c r="AL219" s="108"/>
      <c r="AM219" s="108"/>
      <c r="AN219" s="108"/>
      <c r="AO219" s="108"/>
      <c r="AP219" s="108"/>
      <c r="AQ219" s="108"/>
      <c r="AR219" s="108"/>
    </row>
    <row r="220" spans="1:44" ht="45.6" customHeight="1" x14ac:dyDescent="0.3">
      <c r="A220" s="108">
        <v>334</v>
      </c>
      <c r="B220" s="4" t="s">
        <v>56</v>
      </c>
      <c r="C220" s="4" t="s">
        <v>173</v>
      </c>
      <c r="D220" s="24" t="s">
        <v>1514</v>
      </c>
      <c r="E220" s="686" t="e">
        <f>HLOOKUP($D$2,'2020 Data(H)'!$C$1:$CR$399,100,FALSE)</f>
        <v>#N/A</v>
      </c>
      <c r="F220" s="296">
        <v>0</v>
      </c>
      <c r="G220" s="757"/>
      <c r="H220" s="17"/>
      <c r="I220" s="79"/>
      <c r="Z220" s="108"/>
      <c r="AA220" s="108"/>
      <c r="AB220" s="108"/>
      <c r="AC220" s="108"/>
      <c r="AD220" s="108"/>
      <c r="AE220" s="108"/>
      <c r="AF220" s="108"/>
      <c r="AG220" s="108"/>
      <c r="AH220" s="108"/>
      <c r="AI220" s="108"/>
      <c r="AJ220" s="108"/>
      <c r="AK220" s="108"/>
      <c r="AL220" s="108"/>
      <c r="AM220" s="108"/>
      <c r="AN220" s="108"/>
      <c r="AO220" s="108"/>
      <c r="AP220" s="108"/>
      <c r="AQ220" s="108"/>
      <c r="AR220" s="108"/>
    </row>
    <row r="221" spans="1:44" ht="45.6" customHeight="1" x14ac:dyDescent="0.3">
      <c r="A221" s="108">
        <v>373</v>
      </c>
      <c r="B221" s="4" t="s">
        <v>56</v>
      </c>
      <c r="C221" s="4" t="s">
        <v>173</v>
      </c>
      <c r="D221" s="29" t="s">
        <v>172</v>
      </c>
      <c r="E221" s="686" t="e">
        <f>HLOOKUP($D$2,'2020 Data(H)'!$C$1:$CR$399,133,FALSE)</f>
        <v>#N/A</v>
      </c>
      <c r="F221" s="296">
        <v>0</v>
      </c>
      <c r="G221" s="747">
        <f>IF(F221&lt;0,"Error: Enter as positive.",)</f>
        <v>0</v>
      </c>
      <c r="H221" s="17"/>
      <c r="I221" s="79"/>
      <c r="Z221" s="108"/>
      <c r="AA221" s="108"/>
      <c r="AB221" s="108"/>
      <c r="AC221" s="108"/>
      <c r="AD221" s="108"/>
      <c r="AE221" s="108"/>
      <c r="AF221" s="108"/>
      <c r="AG221" s="108"/>
      <c r="AH221" s="108"/>
      <c r="AI221" s="108"/>
      <c r="AJ221" s="108"/>
      <c r="AK221" s="108"/>
      <c r="AL221" s="108"/>
      <c r="AM221" s="108"/>
      <c r="AN221" s="108"/>
      <c r="AO221" s="108"/>
      <c r="AP221" s="108"/>
      <c r="AQ221" s="108"/>
      <c r="AR221" s="108"/>
    </row>
    <row r="222" spans="1:44" ht="92.25" customHeight="1" x14ac:dyDescent="0.3">
      <c r="A222" s="108">
        <v>987</v>
      </c>
      <c r="B222" s="845" t="s">
        <v>1048</v>
      </c>
      <c r="C222" s="845"/>
      <c r="D222" s="774" t="s">
        <v>1315</v>
      </c>
      <c r="E222" s="686" t="s">
        <v>1049</v>
      </c>
      <c r="F222" s="296">
        <v>0</v>
      </c>
      <c r="G222" s="775" t="str">
        <f>IF(F222="","If this question is not applicable please place a zero in the cell to the left","")</f>
        <v/>
      </c>
      <c r="H222" s="726"/>
      <c r="I222" s="79"/>
      <c r="Z222" s="108"/>
      <c r="AA222" s="108"/>
      <c r="AB222" s="108"/>
      <c r="AC222" s="108"/>
      <c r="AD222" s="108"/>
      <c r="AE222" s="108"/>
      <c r="AF222" s="108"/>
      <c r="AG222" s="108"/>
      <c r="AH222" s="108"/>
      <c r="AI222" s="108"/>
      <c r="AJ222" s="108"/>
      <c r="AK222" s="108"/>
      <c r="AL222" s="108"/>
      <c r="AM222" s="108"/>
      <c r="AN222" s="108"/>
      <c r="AO222" s="108"/>
      <c r="AP222" s="108"/>
      <c r="AQ222" s="108"/>
      <c r="AR222" s="108"/>
    </row>
    <row r="223" spans="1:44" ht="66.75" customHeight="1" x14ac:dyDescent="0.3">
      <c r="A223" s="108">
        <v>988</v>
      </c>
      <c r="B223" s="845" t="s">
        <v>1048</v>
      </c>
      <c r="C223" s="845"/>
      <c r="D223" s="774" t="s">
        <v>1312</v>
      </c>
      <c r="E223" s="686" t="s">
        <v>1049</v>
      </c>
      <c r="F223" s="296"/>
      <c r="G223" s="747"/>
      <c r="H223" s="17"/>
      <c r="I223" s="79"/>
      <c r="Z223" s="108"/>
      <c r="AA223" s="108"/>
      <c r="AB223" s="108"/>
      <c r="AC223" s="108"/>
      <c r="AD223" s="108"/>
      <c r="AE223" s="108"/>
      <c r="AF223" s="108"/>
      <c r="AG223" s="108"/>
      <c r="AH223" s="108"/>
      <c r="AI223" s="108"/>
      <c r="AJ223" s="108"/>
      <c r="AK223" s="108"/>
      <c r="AL223" s="108"/>
      <c r="AM223" s="108"/>
      <c r="AN223" s="108"/>
      <c r="AO223" s="108"/>
      <c r="AP223" s="108"/>
      <c r="AQ223" s="108"/>
      <c r="AR223" s="108"/>
    </row>
    <row r="224" spans="1:44" ht="90" customHeight="1" x14ac:dyDescent="0.3">
      <c r="A224" s="108">
        <v>989</v>
      </c>
      <c r="B224" s="845" t="s">
        <v>1048</v>
      </c>
      <c r="C224" s="845"/>
      <c r="D224" s="774" t="s">
        <v>1569</v>
      </c>
      <c r="E224" s="686" t="s">
        <v>1078</v>
      </c>
      <c r="F224" s="296"/>
      <c r="G224" s="747"/>
      <c r="H224" s="17"/>
      <c r="I224" s="79"/>
      <c r="Z224" s="108"/>
      <c r="AA224" s="108"/>
      <c r="AB224" s="108"/>
      <c r="AC224" s="108"/>
      <c r="AD224" s="108"/>
      <c r="AE224" s="108"/>
      <c r="AF224" s="108"/>
      <c r="AG224" s="108"/>
      <c r="AH224" s="108"/>
      <c r="AI224" s="108"/>
      <c r="AJ224" s="108"/>
      <c r="AK224" s="108"/>
      <c r="AL224" s="108"/>
      <c r="AM224" s="108"/>
      <c r="AN224" s="108"/>
      <c r="AO224" s="108"/>
      <c r="AP224" s="108"/>
      <c r="AQ224" s="108"/>
      <c r="AR224" s="108"/>
    </row>
    <row r="225" spans="1:44" x14ac:dyDescent="0.3">
      <c r="A225" s="108"/>
      <c r="B225" s="892"/>
      <c r="C225" s="892"/>
      <c r="D225" s="893"/>
      <c r="E225" s="894"/>
      <c r="F225" s="895"/>
      <c r="G225" s="896"/>
      <c r="H225" s="17"/>
      <c r="I225" s="79"/>
      <c r="Z225" s="108"/>
      <c r="AA225" s="108"/>
      <c r="AB225" s="108"/>
      <c r="AC225" s="108"/>
      <c r="AD225" s="108"/>
      <c r="AE225" s="108"/>
      <c r="AF225" s="108"/>
      <c r="AG225" s="108"/>
      <c r="AH225" s="108"/>
      <c r="AI225" s="108"/>
      <c r="AJ225" s="108"/>
      <c r="AK225" s="108"/>
      <c r="AL225" s="108"/>
      <c r="AM225" s="108"/>
      <c r="AN225" s="108"/>
      <c r="AO225" s="108"/>
      <c r="AP225" s="108"/>
      <c r="AQ225" s="108"/>
      <c r="AR225" s="108"/>
    </row>
    <row r="226" spans="1:44" ht="108" customHeight="1" x14ac:dyDescent="0.3">
      <c r="A226" s="108"/>
      <c r="B226" s="576"/>
      <c r="C226" s="576"/>
      <c r="D226" s="776" t="s">
        <v>1515</v>
      </c>
      <c r="E226" s="1"/>
      <c r="F226" s="378"/>
      <c r="G226" s="757"/>
      <c r="H226" s="17"/>
      <c r="I226" s="79"/>
      <c r="Z226" s="108"/>
      <c r="AA226" s="108"/>
      <c r="AB226" s="108"/>
      <c r="AC226" s="108"/>
      <c r="AD226" s="108"/>
      <c r="AE226" s="108"/>
      <c r="AF226" s="108"/>
      <c r="AG226" s="108"/>
      <c r="AH226" s="108"/>
      <c r="AI226" s="108"/>
      <c r="AJ226" s="108"/>
      <c r="AK226" s="108"/>
      <c r="AL226" s="108"/>
      <c r="AM226" s="108"/>
      <c r="AN226" s="108"/>
      <c r="AO226" s="108"/>
      <c r="AP226" s="108"/>
      <c r="AQ226" s="108"/>
      <c r="AR226" s="108"/>
    </row>
    <row r="227" spans="1:44" ht="48.75" customHeight="1" x14ac:dyDescent="0.3">
      <c r="A227" s="108"/>
      <c r="B227" s="576"/>
      <c r="C227" s="576"/>
      <c r="D227" s="24" t="s">
        <v>1516</v>
      </c>
      <c r="E227" s="1"/>
      <c r="F227" s="378"/>
      <c r="G227" s="757"/>
      <c r="H227" s="17"/>
      <c r="I227" s="79"/>
      <c r="Z227" s="108"/>
      <c r="AA227" s="108"/>
      <c r="AB227" s="108"/>
      <c r="AC227" s="108"/>
      <c r="AD227" s="108"/>
      <c r="AE227" s="108"/>
      <c r="AF227" s="108"/>
      <c r="AG227" s="108"/>
      <c r="AH227" s="108"/>
      <c r="AI227" s="108"/>
      <c r="AJ227" s="108"/>
      <c r="AK227" s="108"/>
      <c r="AL227" s="108"/>
      <c r="AM227" s="108"/>
      <c r="AN227" s="108"/>
      <c r="AO227" s="108"/>
      <c r="AP227" s="108"/>
      <c r="AQ227" s="108"/>
      <c r="AR227" s="108"/>
    </row>
    <row r="228" spans="1:44" ht="51.75" customHeight="1" x14ac:dyDescent="0.3">
      <c r="A228" s="108">
        <v>327</v>
      </c>
      <c r="B228" s="688" t="s">
        <v>37</v>
      </c>
      <c r="C228" s="688" t="s">
        <v>174</v>
      </c>
      <c r="D228" s="777" t="s">
        <v>1517</v>
      </c>
      <c r="E228" s="686" t="e">
        <f>HLOOKUP($D$2,'2020 Data(H)'!$C$1:$CR$399,94,FALSE)</f>
        <v>#N/A</v>
      </c>
      <c r="F228" s="275">
        <v>0</v>
      </c>
      <c r="G228" s="757"/>
      <c r="H228" s="17"/>
      <c r="I228" s="749"/>
      <c r="Z228" s="108"/>
      <c r="AA228" s="108"/>
      <c r="AB228" s="108"/>
      <c r="AC228" s="108"/>
      <c r="AD228" s="108"/>
      <c r="AE228" s="108"/>
      <c r="AF228" s="108"/>
      <c r="AG228" s="108"/>
      <c r="AH228" s="108"/>
      <c r="AI228" s="108"/>
      <c r="AJ228" s="108"/>
      <c r="AK228" s="108"/>
      <c r="AL228" s="108"/>
      <c r="AM228" s="108"/>
      <c r="AN228" s="108"/>
      <c r="AO228" s="108"/>
      <c r="AP228" s="108"/>
      <c r="AQ228" s="108"/>
      <c r="AR228" s="108"/>
    </row>
    <row r="229" spans="1:44" ht="51.75" customHeight="1" x14ac:dyDescent="0.3">
      <c r="A229" s="108">
        <v>328</v>
      </c>
      <c r="B229" s="688" t="s">
        <v>37</v>
      </c>
      <c r="C229" s="688" t="s">
        <v>174</v>
      </c>
      <c r="D229" s="30" t="s">
        <v>7</v>
      </c>
      <c r="E229" s="686" t="e">
        <f>HLOOKUP($D$2,'2020 Data(H)'!$C$1:$CR$399,95,FALSE)</f>
        <v>#N/A</v>
      </c>
      <c r="F229" s="275">
        <v>0</v>
      </c>
      <c r="G229" s="757"/>
      <c r="H229" s="17"/>
      <c r="I229" s="749"/>
      <c r="Z229" s="108"/>
      <c r="AA229" s="108"/>
      <c r="AB229" s="108"/>
      <c r="AC229" s="108"/>
      <c r="AD229" s="108"/>
      <c r="AE229" s="108"/>
      <c r="AF229" s="108"/>
      <c r="AG229" s="108"/>
      <c r="AH229" s="108"/>
      <c r="AI229" s="108"/>
      <c r="AJ229" s="108"/>
      <c r="AK229" s="108"/>
      <c r="AL229" s="108"/>
      <c r="AM229" s="108"/>
      <c r="AN229" s="108"/>
      <c r="AO229" s="108"/>
      <c r="AP229" s="108"/>
      <c r="AQ229" s="108"/>
      <c r="AR229" s="108"/>
    </row>
    <row r="230" spans="1:44" ht="42" customHeight="1" x14ac:dyDescent="0.3">
      <c r="A230" s="108"/>
      <c r="B230" s="576"/>
      <c r="C230" s="576"/>
      <c r="D230" s="31" t="s">
        <v>1518</v>
      </c>
      <c r="E230" s="101" t="e">
        <f>SUM(E228:E229)</f>
        <v>#N/A</v>
      </c>
      <c r="F230" s="101">
        <f>SUM(F228:F229)</f>
        <v>0</v>
      </c>
      <c r="G230" s="757"/>
      <c r="H230" s="17"/>
      <c r="I230" s="79"/>
      <c r="Z230" s="108"/>
      <c r="AA230" s="108"/>
      <c r="AB230" s="108"/>
      <c r="AC230" s="108"/>
      <c r="AD230" s="108"/>
      <c r="AE230" s="108"/>
      <c r="AF230" s="108"/>
      <c r="AG230" s="108"/>
      <c r="AH230" s="108"/>
      <c r="AI230" s="108"/>
      <c r="AJ230" s="108"/>
      <c r="AK230" s="108"/>
      <c r="AL230" s="108"/>
      <c r="AM230" s="108"/>
      <c r="AN230" s="108"/>
      <c r="AO230" s="108"/>
      <c r="AP230" s="108"/>
      <c r="AQ230" s="108"/>
      <c r="AR230" s="108"/>
    </row>
    <row r="231" spans="1:44" ht="28.8" x14ac:dyDescent="0.3">
      <c r="A231" s="108"/>
      <c r="B231" s="576"/>
      <c r="C231" s="576"/>
      <c r="D231" s="24" t="s">
        <v>1519</v>
      </c>
      <c r="E231" s="1"/>
      <c r="F231" s="378"/>
      <c r="G231" s="757"/>
      <c r="H231" s="17"/>
      <c r="I231" s="79"/>
      <c r="Z231" s="108"/>
      <c r="AA231" s="108"/>
      <c r="AB231" s="108"/>
      <c r="AC231" s="108"/>
      <c r="AD231" s="108"/>
      <c r="AE231" s="108"/>
      <c r="AF231" s="108"/>
      <c r="AG231" s="108"/>
      <c r="AH231" s="108"/>
      <c r="AI231" s="108"/>
      <c r="AJ231" s="108"/>
      <c r="AK231" s="108"/>
      <c r="AL231" s="108"/>
      <c r="AM231" s="108"/>
      <c r="AN231" s="108"/>
      <c r="AO231" s="108"/>
      <c r="AP231" s="108"/>
      <c r="AQ231" s="108"/>
      <c r="AR231" s="108"/>
    </row>
    <row r="232" spans="1:44" ht="24" customHeight="1" x14ac:dyDescent="0.3">
      <c r="A232" s="108"/>
      <c r="B232" s="576"/>
      <c r="C232" s="576"/>
      <c r="D232" s="28" t="s">
        <v>9</v>
      </c>
      <c r="F232" s="778"/>
      <c r="G232" s="757"/>
      <c r="H232" s="17"/>
      <c r="I232" s="79"/>
      <c r="Z232" s="108"/>
      <c r="AA232" s="108"/>
      <c r="AB232" s="108"/>
      <c r="AC232" s="108"/>
      <c r="AD232" s="108"/>
      <c r="AE232" s="108"/>
      <c r="AF232" s="108"/>
      <c r="AG232" s="108"/>
      <c r="AH232" s="108"/>
      <c r="AI232" s="108"/>
      <c r="AJ232" s="108"/>
      <c r="AK232" s="108"/>
      <c r="AL232" s="108"/>
      <c r="AM232" s="108"/>
      <c r="AN232" s="108"/>
      <c r="AO232" s="108"/>
      <c r="AP232" s="108"/>
      <c r="AQ232" s="108"/>
      <c r="AR232" s="108"/>
    </row>
    <row r="233" spans="1:44" ht="52.5" customHeight="1" x14ac:dyDescent="0.3">
      <c r="A233" s="108">
        <v>515</v>
      </c>
      <c r="B233" s="688" t="s">
        <v>526</v>
      </c>
      <c r="C233" s="688" t="s">
        <v>175</v>
      </c>
      <c r="D233" s="32" t="s">
        <v>3</v>
      </c>
      <c r="E233" s="686" t="e">
        <f>HLOOKUP($D$2,'2020 Data(H)'!$C$1:$CR$399,165,FALSE)</f>
        <v>#N/A</v>
      </c>
      <c r="F233" s="296">
        <v>0</v>
      </c>
      <c r="G233" s="747"/>
      <c r="H233" s="17"/>
      <c r="I233" s="79"/>
      <c r="Z233" s="108"/>
      <c r="AA233" s="108"/>
      <c r="AB233" s="108"/>
      <c r="AC233" s="108"/>
      <c r="AD233" s="108"/>
      <c r="AE233" s="108"/>
      <c r="AF233" s="108"/>
      <c r="AG233" s="108"/>
      <c r="AH233" s="108"/>
      <c r="AI233" s="108"/>
      <c r="AJ233" s="108"/>
      <c r="AK233" s="108"/>
      <c r="AL233" s="108"/>
      <c r="AM233" s="108"/>
      <c r="AN233" s="108"/>
      <c r="AO233" s="108"/>
      <c r="AP233" s="108"/>
      <c r="AQ233" s="108"/>
      <c r="AR233" s="108"/>
    </row>
    <row r="234" spans="1:44" ht="57" customHeight="1" x14ac:dyDescent="0.3">
      <c r="A234" s="108">
        <v>516</v>
      </c>
      <c r="B234" s="688" t="s">
        <v>526</v>
      </c>
      <c r="C234" s="688" t="s">
        <v>175</v>
      </c>
      <c r="D234" s="32" t="s">
        <v>4</v>
      </c>
      <c r="E234" s="686" t="e">
        <f>HLOOKUP($D$2,'2020 Data(H)'!$C$1:$CR$399,166,FALSE)</f>
        <v>#N/A</v>
      </c>
      <c r="F234" s="296">
        <v>0</v>
      </c>
      <c r="G234" s="747"/>
      <c r="H234" s="17"/>
      <c r="I234" s="79"/>
      <c r="Z234" s="108"/>
      <c r="AA234" s="108"/>
      <c r="AB234" s="108"/>
      <c r="AC234" s="108"/>
      <c r="AD234" s="108"/>
      <c r="AE234" s="108"/>
      <c r="AF234" s="108"/>
      <c r="AG234" s="108"/>
      <c r="AH234" s="108"/>
      <c r="AI234" s="108"/>
      <c r="AJ234" s="108"/>
      <c r="AK234" s="108"/>
      <c r="AL234" s="108"/>
      <c r="AM234" s="108"/>
      <c r="AN234" s="108"/>
      <c r="AO234" s="108"/>
      <c r="AP234" s="108"/>
      <c r="AQ234" s="108"/>
      <c r="AR234" s="108"/>
    </row>
    <row r="235" spans="1:44" ht="60.75" customHeight="1" x14ac:dyDescent="0.3">
      <c r="A235" s="108">
        <v>517</v>
      </c>
      <c r="B235" s="688" t="s">
        <v>526</v>
      </c>
      <c r="C235" s="688" t="s">
        <v>175</v>
      </c>
      <c r="D235" s="32" t="s">
        <v>5</v>
      </c>
      <c r="E235" s="686" t="e">
        <f>HLOOKUP($D$2,'2020 Data(H)'!$C$1:$CR$399,167,FALSE)</f>
        <v>#N/A</v>
      </c>
      <c r="F235" s="296">
        <v>0</v>
      </c>
      <c r="G235" s="747"/>
      <c r="H235" s="17"/>
      <c r="I235" s="79"/>
      <c r="Z235" s="108"/>
      <c r="AA235" s="108"/>
      <c r="AB235" s="108"/>
      <c r="AC235" s="108"/>
      <c r="AD235" s="108"/>
      <c r="AE235" s="108"/>
      <c r="AF235" s="108"/>
      <c r="AG235" s="108"/>
      <c r="AH235" s="108"/>
      <c r="AI235" s="108"/>
      <c r="AJ235" s="108"/>
      <c r="AK235" s="108"/>
      <c r="AL235" s="108"/>
      <c r="AM235" s="108"/>
      <c r="AN235" s="108"/>
      <c r="AO235" s="108"/>
      <c r="AP235" s="108"/>
      <c r="AQ235" s="108"/>
      <c r="AR235" s="108"/>
    </row>
    <row r="236" spans="1:44" ht="66" customHeight="1" x14ac:dyDescent="0.3">
      <c r="A236" s="108">
        <v>518</v>
      </c>
      <c r="B236" s="688" t="s">
        <v>526</v>
      </c>
      <c r="C236" s="688" t="s">
        <v>175</v>
      </c>
      <c r="D236" s="32" t="s">
        <v>39</v>
      </c>
      <c r="E236" s="686" t="e">
        <f>HLOOKUP($D$2,'2020 Data(H)'!$C$1:$CR$399,168,FALSE)</f>
        <v>#N/A</v>
      </c>
      <c r="F236" s="296">
        <v>0</v>
      </c>
      <c r="G236" s="747"/>
      <c r="H236" s="17"/>
      <c r="I236" s="79"/>
      <c r="Z236" s="108"/>
      <c r="AA236" s="108"/>
      <c r="AB236" s="108"/>
      <c r="AC236" s="108"/>
      <c r="AD236" s="108"/>
      <c r="AE236" s="108"/>
      <c r="AF236" s="108"/>
      <c r="AG236" s="108"/>
      <c r="AH236" s="108"/>
      <c r="AI236" s="108"/>
      <c r="AJ236" s="108"/>
      <c r="AK236" s="108"/>
      <c r="AL236" s="108"/>
      <c r="AM236" s="108"/>
      <c r="AN236" s="108"/>
      <c r="AO236" s="108"/>
      <c r="AP236" s="108"/>
      <c r="AQ236" s="108"/>
      <c r="AR236" s="108"/>
    </row>
    <row r="237" spans="1:44" ht="51" customHeight="1" x14ac:dyDescent="0.3">
      <c r="A237" s="300"/>
      <c r="B237" s="576"/>
      <c r="C237" s="576"/>
      <c r="D237" s="779" t="s">
        <v>1520</v>
      </c>
      <c r="E237" s="101" t="e">
        <f>SUM(E233:E236)</f>
        <v>#N/A</v>
      </c>
      <c r="F237" s="101">
        <f>SUM(F233:F236)</f>
        <v>0</v>
      </c>
      <c r="G237" s="757"/>
      <c r="H237" s="17"/>
      <c r="I237" s="79"/>
      <c r="Z237" s="300"/>
      <c r="AA237" s="300"/>
      <c r="AB237" s="300"/>
      <c r="AC237" s="300"/>
      <c r="AD237" s="300"/>
      <c r="AE237" s="300"/>
      <c r="AF237" s="300"/>
      <c r="AG237" s="300"/>
      <c r="AH237" s="300"/>
      <c r="AI237" s="300"/>
      <c r="AJ237" s="300"/>
      <c r="AK237" s="300"/>
      <c r="AL237" s="300"/>
      <c r="AM237" s="300"/>
      <c r="AN237" s="300"/>
      <c r="AO237" s="300"/>
      <c r="AP237" s="300"/>
      <c r="AQ237" s="300"/>
      <c r="AR237" s="300"/>
    </row>
    <row r="238" spans="1:44" ht="30.75" customHeight="1" x14ac:dyDescent="0.3">
      <c r="A238" s="108"/>
      <c r="B238" s="576"/>
      <c r="C238" s="576"/>
      <c r="D238" s="28" t="s">
        <v>48</v>
      </c>
      <c r="E238" s="1"/>
      <c r="F238" s="378"/>
      <c r="G238" s="757"/>
      <c r="H238" s="17"/>
      <c r="I238" s="79"/>
      <c r="Z238" s="108"/>
      <c r="AA238" s="108"/>
      <c r="AB238" s="108"/>
      <c r="AC238" s="108"/>
      <c r="AD238" s="108"/>
      <c r="AE238" s="108"/>
      <c r="AF238" s="108"/>
      <c r="AG238" s="108"/>
      <c r="AH238" s="108"/>
      <c r="AI238" s="108"/>
      <c r="AJ238" s="108"/>
      <c r="AK238" s="108"/>
      <c r="AL238" s="108"/>
      <c r="AM238" s="108"/>
      <c r="AN238" s="108"/>
      <c r="AO238" s="108"/>
      <c r="AP238" s="108"/>
      <c r="AQ238" s="108"/>
      <c r="AR238" s="108"/>
    </row>
    <row r="239" spans="1:44" ht="63" customHeight="1" x14ac:dyDescent="0.3">
      <c r="A239" s="108">
        <v>519</v>
      </c>
      <c r="B239" s="688" t="s">
        <v>37</v>
      </c>
      <c r="C239" s="688" t="s">
        <v>176</v>
      </c>
      <c r="D239" s="32" t="s">
        <v>14</v>
      </c>
      <c r="E239" s="686" t="e">
        <f>HLOOKUP($D$2,'2020 Data(H)'!$C$1:$CR$399,169,FALSE)</f>
        <v>#N/A</v>
      </c>
      <c r="F239" s="296">
        <v>0</v>
      </c>
      <c r="G239" s="747">
        <f>IF(F239&lt;0,"Error: Enter as positive.",)</f>
        <v>0</v>
      </c>
      <c r="H239" s="17"/>
      <c r="I239" s="79"/>
      <c r="Z239" s="108"/>
      <c r="AA239" s="108"/>
      <c r="AB239" s="108"/>
      <c r="AC239" s="108"/>
      <c r="AD239" s="108"/>
      <c r="AE239" s="108"/>
      <c r="AF239" s="108"/>
      <c r="AG239" s="108"/>
      <c r="AH239" s="108"/>
      <c r="AI239" s="108"/>
      <c r="AJ239" s="108"/>
      <c r="AK239" s="108"/>
      <c r="AL239" s="108"/>
      <c r="AM239" s="108"/>
      <c r="AN239" s="108"/>
      <c r="AO239" s="108"/>
      <c r="AP239" s="108"/>
      <c r="AQ239" s="108"/>
      <c r="AR239" s="108"/>
    </row>
    <row r="240" spans="1:44" ht="69.75" customHeight="1" x14ac:dyDescent="0.3">
      <c r="A240" s="108">
        <v>520</v>
      </c>
      <c r="B240" s="688" t="s">
        <v>37</v>
      </c>
      <c r="C240" s="688" t="s">
        <v>176</v>
      </c>
      <c r="D240" s="32" t="s">
        <v>16</v>
      </c>
      <c r="E240" s="686" t="e">
        <f>HLOOKUP($D$2,'2020 Data(H)'!$C$1:$CR$399,170,FALSE)</f>
        <v>#N/A</v>
      </c>
      <c r="F240" s="296">
        <v>0</v>
      </c>
      <c r="G240" s="747">
        <f>IF(F240&lt;0,"Error: Enter as positive.",)</f>
        <v>0</v>
      </c>
      <c r="H240" s="17"/>
      <c r="I240" s="79"/>
      <c r="Z240" s="108"/>
      <c r="AA240" s="108"/>
      <c r="AB240" s="108"/>
      <c r="AC240" s="108"/>
      <c r="AD240" s="108"/>
      <c r="AE240" s="108"/>
      <c r="AF240" s="108"/>
      <c r="AG240" s="108"/>
      <c r="AH240" s="108"/>
      <c r="AI240" s="108"/>
      <c r="AJ240" s="108"/>
      <c r="AK240" s="108"/>
      <c r="AL240" s="108"/>
      <c r="AM240" s="108"/>
      <c r="AN240" s="108"/>
      <c r="AO240" s="108"/>
      <c r="AP240" s="108"/>
      <c r="AQ240" s="108"/>
      <c r="AR240" s="108"/>
    </row>
    <row r="241" spans="1:44" ht="72" customHeight="1" x14ac:dyDescent="0.3">
      <c r="A241" s="108">
        <v>521</v>
      </c>
      <c r="B241" s="688" t="s">
        <v>37</v>
      </c>
      <c r="C241" s="688" t="s">
        <v>176</v>
      </c>
      <c r="D241" s="32" t="s">
        <v>18</v>
      </c>
      <c r="E241" s="686" t="e">
        <f>HLOOKUP($D$2,'2020 Data(H)'!$C$1:$CR$399,171,FALSE)</f>
        <v>#N/A</v>
      </c>
      <c r="F241" s="296">
        <v>0</v>
      </c>
      <c r="G241" s="747">
        <f>IF(F241&lt;0,"Error: Enter as positive.",)</f>
        <v>0</v>
      </c>
      <c r="H241" s="17"/>
      <c r="I241" s="79"/>
      <c r="Z241" s="108"/>
      <c r="AA241" s="108"/>
      <c r="AB241" s="108"/>
      <c r="AC241" s="108"/>
      <c r="AD241" s="108"/>
      <c r="AE241" s="108"/>
      <c r="AF241" s="108"/>
      <c r="AG241" s="108"/>
      <c r="AH241" s="108"/>
      <c r="AI241" s="108"/>
      <c r="AJ241" s="108"/>
      <c r="AK241" s="108"/>
      <c r="AL241" s="108"/>
      <c r="AM241" s="108"/>
      <c r="AN241" s="108"/>
      <c r="AO241" s="108"/>
      <c r="AP241" s="108"/>
      <c r="AQ241" s="108"/>
      <c r="AR241" s="108"/>
    </row>
    <row r="242" spans="1:44" ht="74.25" customHeight="1" x14ac:dyDescent="0.3">
      <c r="A242" s="108">
        <v>522</v>
      </c>
      <c r="B242" s="688" t="s">
        <v>37</v>
      </c>
      <c r="C242" s="688" t="s">
        <v>176</v>
      </c>
      <c r="D242" s="32" t="s">
        <v>40</v>
      </c>
      <c r="E242" s="686" t="e">
        <f>HLOOKUP($D$2,'2020 Data(H)'!$C$1:$CR$399,172,FALSE)</f>
        <v>#N/A</v>
      </c>
      <c r="F242" s="296">
        <v>0</v>
      </c>
      <c r="G242" s="747">
        <f>IF(F242&lt;0,"Error: Enter as positive.",)</f>
        <v>0</v>
      </c>
      <c r="H242" s="17"/>
      <c r="I242" s="79"/>
      <c r="Z242" s="108"/>
      <c r="AA242" s="108"/>
      <c r="AB242" s="108"/>
      <c r="AC242" s="108"/>
      <c r="AD242" s="108"/>
      <c r="AE242" s="108"/>
      <c r="AF242" s="108"/>
      <c r="AG242" s="108"/>
      <c r="AH242" s="108"/>
      <c r="AI242" s="108"/>
      <c r="AJ242" s="108"/>
      <c r="AK242" s="108"/>
      <c r="AL242" s="108"/>
      <c r="AM242" s="108"/>
      <c r="AN242" s="108"/>
      <c r="AO242" s="108"/>
      <c r="AP242" s="108"/>
      <c r="AQ242" s="108"/>
      <c r="AR242" s="108"/>
    </row>
    <row r="243" spans="1:44" ht="31.5" customHeight="1" x14ac:dyDescent="0.3">
      <c r="A243" s="6"/>
      <c r="B243" s="576"/>
      <c r="C243" s="576"/>
      <c r="D243" s="780" t="s">
        <v>34</v>
      </c>
      <c r="E243" s="101" t="e">
        <f>SUM(E239:E242)</f>
        <v>#N/A</v>
      </c>
      <c r="F243" s="101">
        <f>SUM(F239:F242)</f>
        <v>0</v>
      </c>
      <c r="G243" s="131"/>
      <c r="H243" s="17"/>
      <c r="I243" s="79"/>
      <c r="Z243" s="6"/>
      <c r="AA243" s="6"/>
      <c r="AB243" s="6"/>
      <c r="AC243" s="6"/>
      <c r="AD243" s="6"/>
      <c r="AE243" s="6"/>
      <c r="AF243" s="6"/>
      <c r="AG243" s="6"/>
      <c r="AH243" s="6"/>
      <c r="AI243" s="6"/>
      <c r="AJ243" s="6"/>
      <c r="AK243" s="6"/>
      <c r="AL243" s="6"/>
      <c r="AM243" s="6"/>
      <c r="AN243" s="6"/>
      <c r="AO243" s="6"/>
      <c r="AP243" s="6"/>
      <c r="AQ243" s="6"/>
      <c r="AR243" s="6"/>
    </row>
    <row r="244" spans="1:44" ht="26.25" customHeight="1" x14ac:dyDescent="0.3">
      <c r="A244" s="6"/>
      <c r="B244" s="576"/>
      <c r="C244" s="576"/>
      <c r="D244" s="28" t="s">
        <v>32</v>
      </c>
      <c r="E244" s="6"/>
      <c r="F244" s="781"/>
      <c r="G244" s="131"/>
      <c r="H244" s="17"/>
      <c r="I244" s="79"/>
      <c r="Z244" s="6"/>
      <c r="AA244" s="6"/>
      <c r="AB244" s="6"/>
      <c r="AC244" s="6"/>
      <c r="AD244" s="6"/>
      <c r="AE244" s="6"/>
      <c r="AF244" s="6"/>
      <c r="AG244" s="6"/>
      <c r="AH244" s="6"/>
      <c r="AI244" s="6"/>
      <c r="AJ244" s="6"/>
      <c r="AK244" s="6"/>
      <c r="AL244" s="6"/>
      <c r="AM244" s="6"/>
      <c r="AN244" s="6"/>
      <c r="AO244" s="6"/>
      <c r="AP244" s="6"/>
      <c r="AQ244" s="6"/>
      <c r="AR244" s="6"/>
    </row>
    <row r="245" spans="1:44" ht="89.25" customHeight="1" x14ac:dyDescent="0.3">
      <c r="A245" s="108">
        <v>523</v>
      </c>
      <c r="B245" s="688" t="s">
        <v>526</v>
      </c>
      <c r="C245" s="688" t="s">
        <v>177</v>
      </c>
      <c r="D245" s="32" t="s">
        <v>15</v>
      </c>
      <c r="E245" s="686" t="e">
        <f>HLOOKUP($D$2,'2020 Data(H)'!$C$1:$CR$399,173,FALSE)</f>
        <v>#N/A</v>
      </c>
      <c r="F245" s="296">
        <v>0</v>
      </c>
      <c r="G245" s="747">
        <f>IF(F245&lt;0,"Error: Enter as positive.",)</f>
        <v>0</v>
      </c>
      <c r="H245" s="17"/>
      <c r="I245" s="79"/>
      <c r="Z245" s="108"/>
      <c r="AA245" s="108"/>
      <c r="AB245" s="108"/>
      <c r="AC245" s="108"/>
      <c r="AD245" s="108"/>
      <c r="AE245" s="108"/>
      <c r="AF245" s="108"/>
      <c r="AG245" s="108"/>
      <c r="AH245" s="108"/>
      <c r="AI245" s="108"/>
      <c r="AJ245" s="108"/>
      <c r="AK245" s="108"/>
      <c r="AL245" s="108"/>
      <c r="AM245" s="108"/>
      <c r="AN245" s="108"/>
      <c r="AO245" s="108"/>
      <c r="AP245" s="108"/>
      <c r="AQ245" s="108"/>
      <c r="AR245" s="108"/>
    </row>
    <row r="246" spans="1:44" ht="75" customHeight="1" x14ac:dyDescent="0.3">
      <c r="A246" s="108">
        <v>524</v>
      </c>
      <c r="B246" s="688" t="s">
        <v>526</v>
      </c>
      <c r="C246" s="688" t="s">
        <v>177</v>
      </c>
      <c r="D246" s="32" t="s">
        <v>17</v>
      </c>
      <c r="E246" s="686" t="e">
        <f>HLOOKUP($D$2,'2020 Data(H)'!$C$1:$CR$399,174,FALSE)</f>
        <v>#N/A</v>
      </c>
      <c r="F246" s="296">
        <v>0</v>
      </c>
      <c r="G246" s="747">
        <f>IF(F246&lt;0,"Error: Enter as positive.",)</f>
        <v>0</v>
      </c>
      <c r="H246" s="17"/>
      <c r="I246" s="79"/>
      <c r="Z246" s="108"/>
      <c r="AA246" s="108"/>
      <c r="AB246" s="108"/>
      <c r="AC246" s="108"/>
      <c r="AD246" s="108"/>
      <c r="AE246" s="108"/>
      <c r="AF246" s="108"/>
      <c r="AG246" s="108"/>
      <c r="AH246" s="108"/>
      <c r="AI246" s="108"/>
      <c r="AJ246" s="108"/>
      <c r="AK246" s="108"/>
      <c r="AL246" s="108"/>
      <c r="AM246" s="108"/>
      <c r="AN246" s="108"/>
      <c r="AO246" s="108"/>
      <c r="AP246" s="108"/>
      <c r="AQ246" s="108"/>
      <c r="AR246" s="108"/>
    </row>
    <row r="247" spans="1:44" ht="75" customHeight="1" x14ac:dyDescent="0.3">
      <c r="A247" s="108">
        <v>525</v>
      </c>
      <c r="B247" s="688" t="s">
        <v>526</v>
      </c>
      <c r="C247" s="688" t="s">
        <v>177</v>
      </c>
      <c r="D247" s="32" t="s">
        <v>19</v>
      </c>
      <c r="E247" s="686" t="e">
        <f>HLOOKUP($D$2,'2020 Data(H)'!$C$1:$CR$399,175,FALSE)</f>
        <v>#N/A</v>
      </c>
      <c r="F247" s="296">
        <v>0</v>
      </c>
      <c r="G247" s="747">
        <f>IF(F247&lt;0,"Error: Enter as positive.",)</f>
        <v>0</v>
      </c>
      <c r="H247" s="17"/>
      <c r="I247" s="79"/>
      <c r="Z247" s="108"/>
      <c r="AA247" s="108"/>
      <c r="AB247" s="108"/>
      <c r="AC247" s="108"/>
      <c r="AD247" s="108"/>
      <c r="AE247" s="108"/>
      <c r="AF247" s="108"/>
      <c r="AG247" s="108"/>
      <c r="AH247" s="108"/>
      <c r="AI247" s="108"/>
      <c r="AJ247" s="108"/>
      <c r="AK247" s="108"/>
      <c r="AL247" s="108"/>
      <c r="AM247" s="108"/>
      <c r="AN247" s="108"/>
      <c r="AO247" s="108"/>
      <c r="AP247" s="108"/>
      <c r="AQ247" s="108"/>
      <c r="AR247" s="108"/>
    </row>
    <row r="248" spans="1:44" ht="76.5" customHeight="1" x14ac:dyDescent="0.3">
      <c r="A248" s="108">
        <v>526</v>
      </c>
      <c r="B248" s="688" t="s">
        <v>526</v>
      </c>
      <c r="C248" s="688" t="s">
        <v>177</v>
      </c>
      <c r="D248" s="32" t="s">
        <v>41</v>
      </c>
      <c r="E248" s="686" t="e">
        <f>HLOOKUP($D$2,'2020 Data(H)'!$C$1:$CR$399,176,FALSE)</f>
        <v>#N/A</v>
      </c>
      <c r="F248" s="296">
        <v>0</v>
      </c>
      <c r="G248" s="747">
        <f>IF(F248&lt;0,"Error: Enter as positive.",)</f>
        <v>0</v>
      </c>
      <c r="H248" s="17"/>
      <c r="I248" s="79"/>
      <c r="Z248" s="108"/>
      <c r="AA248" s="108"/>
      <c r="AB248" s="108"/>
      <c r="AC248" s="108"/>
      <c r="AD248" s="108"/>
      <c r="AE248" s="108"/>
      <c r="AF248" s="108"/>
      <c r="AG248" s="108"/>
      <c r="AH248" s="108"/>
      <c r="AI248" s="108"/>
      <c r="AJ248" s="108"/>
      <c r="AK248" s="108"/>
      <c r="AL248" s="108"/>
      <c r="AM248" s="108"/>
      <c r="AN248" s="108"/>
      <c r="AO248" s="108"/>
      <c r="AP248" s="108"/>
      <c r="AQ248" s="108"/>
      <c r="AR248" s="108"/>
    </row>
    <row r="249" spans="1:44" ht="24.75" customHeight="1" x14ac:dyDescent="0.3">
      <c r="A249" s="108"/>
      <c r="B249" s="847"/>
      <c r="C249" s="847"/>
      <c r="D249" s="780" t="s">
        <v>33</v>
      </c>
      <c r="E249" s="101" t="e">
        <f>SUM(E245:E248)</f>
        <v>#N/A</v>
      </c>
      <c r="F249" s="101">
        <f>SUM(F245:F248)</f>
        <v>0</v>
      </c>
      <c r="G249" s="757"/>
      <c r="H249" s="17"/>
      <c r="I249" s="79"/>
      <c r="Z249" s="108"/>
      <c r="AA249" s="108"/>
      <c r="AB249" s="108"/>
      <c r="AC249" s="108"/>
      <c r="AD249" s="108"/>
      <c r="AE249" s="108"/>
      <c r="AF249" s="108"/>
      <c r="AG249" s="108"/>
      <c r="AH249" s="108"/>
      <c r="AI249" s="108"/>
      <c r="AJ249" s="108"/>
      <c r="AK249" s="108"/>
      <c r="AL249" s="108"/>
      <c r="AM249" s="108"/>
      <c r="AN249" s="108"/>
      <c r="AO249" s="108"/>
      <c r="AP249" s="108"/>
      <c r="AQ249" s="108"/>
      <c r="AR249" s="108"/>
    </row>
    <row r="250" spans="1:44" ht="61.5" customHeight="1" x14ac:dyDescent="0.3">
      <c r="A250" s="108"/>
      <c r="B250" s="847"/>
      <c r="C250" s="847"/>
      <c r="D250" s="782" t="s">
        <v>35</v>
      </c>
      <c r="E250" s="101" t="e">
        <f>E230+E237-E249</f>
        <v>#N/A</v>
      </c>
      <c r="F250" s="101">
        <f>F230+F237-F249</f>
        <v>0</v>
      </c>
      <c r="G250" s="757"/>
      <c r="H250" s="17"/>
      <c r="I250" s="79"/>
      <c r="J250" s="592"/>
      <c r="Z250" s="108"/>
      <c r="AA250" s="108"/>
      <c r="AB250" s="108"/>
      <c r="AC250" s="108"/>
      <c r="AD250" s="108"/>
      <c r="AE250" s="108"/>
      <c r="AF250" s="108"/>
      <c r="AG250" s="108"/>
      <c r="AH250" s="108"/>
      <c r="AI250" s="108"/>
      <c r="AJ250" s="108"/>
      <c r="AK250" s="108"/>
      <c r="AL250" s="108"/>
      <c r="AM250" s="108"/>
      <c r="AN250" s="108"/>
      <c r="AO250" s="108"/>
      <c r="AP250" s="108"/>
      <c r="AQ250" s="108"/>
      <c r="AR250" s="108"/>
    </row>
    <row r="251" spans="1:44" ht="21.6" customHeight="1" x14ac:dyDescent="0.3">
      <c r="A251" s="108"/>
      <c r="B251" s="576"/>
      <c r="C251" s="576"/>
      <c r="D251" s="773"/>
      <c r="E251" s="1"/>
      <c r="F251" s="378"/>
      <c r="G251" s="757"/>
      <c r="H251" s="17"/>
      <c r="I251" s="79"/>
      <c r="J251" s="592"/>
      <c r="Z251" s="108"/>
      <c r="AA251" s="108"/>
      <c r="AB251" s="108"/>
      <c r="AC251" s="108"/>
      <c r="AD251" s="108"/>
      <c r="AE251" s="108"/>
      <c r="AF251" s="108"/>
      <c r="AG251" s="108"/>
      <c r="AH251" s="108"/>
      <c r="AI251" s="108"/>
      <c r="AJ251" s="108"/>
      <c r="AK251" s="108"/>
      <c r="AL251" s="108"/>
      <c r="AM251" s="108"/>
      <c r="AN251" s="108"/>
      <c r="AO251" s="108"/>
      <c r="AP251" s="108"/>
      <c r="AQ251" s="108"/>
      <c r="AR251" s="108"/>
    </row>
    <row r="252" spans="1:44" ht="34.5" customHeight="1" x14ac:dyDescent="0.3">
      <c r="A252" s="108"/>
      <c r="B252" s="892"/>
      <c r="C252" s="892"/>
      <c r="D252" s="883" t="s">
        <v>8</v>
      </c>
      <c r="E252" s="894"/>
      <c r="F252" s="895"/>
      <c r="G252" s="896"/>
      <c r="H252" s="17"/>
      <c r="I252" s="79"/>
      <c r="Z252" s="108"/>
      <c r="AA252" s="108"/>
      <c r="AB252" s="108"/>
      <c r="AC252" s="108"/>
      <c r="AD252" s="108"/>
      <c r="AE252" s="108"/>
      <c r="AF252" s="108"/>
      <c r="AG252" s="108"/>
      <c r="AH252" s="108"/>
      <c r="AI252" s="108"/>
      <c r="AJ252" s="108"/>
      <c r="AK252" s="108"/>
      <c r="AL252" s="108"/>
      <c r="AM252" s="108"/>
      <c r="AN252" s="108"/>
      <c r="AO252" s="108"/>
      <c r="AP252" s="108"/>
      <c r="AQ252" s="108"/>
      <c r="AR252" s="108"/>
    </row>
    <row r="253" spans="1:44" ht="55.5" customHeight="1" x14ac:dyDescent="0.3">
      <c r="A253" s="108">
        <v>527</v>
      </c>
      <c r="B253" s="688" t="s">
        <v>58</v>
      </c>
      <c r="C253" s="688" t="s">
        <v>178</v>
      </c>
      <c r="D253" s="29" t="s">
        <v>1521</v>
      </c>
      <c r="E253" s="686" t="e">
        <f>HLOOKUP($D$2,'2020 Data(H)'!$C$1:$CR$399,177,FALSE)</f>
        <v>#N/A</v>
      </c>
      <c r="F253" s="296">
        <v>0</v>
      </c>
      <c r="G253" s="757"/>
      <c r="H253" s="17"/>
      <c r="I253" s="749"/>
      <c r="Z253" s="108"/>
      <c r="AA253" s="108"/>
      <c r="AB253" s="108"/>
      <c r="AC253" s="108"/>
      <c r="AD253" s="108"/>
      <c r="AE253" s="108"/>
      <c r="AF253" s="108"/>
      <c r="AG253" s="108"/>
      <c r="AH253" s="108"/>
      <c r="AI253" s="108"/>
      <c r="AJ253" s="108"/>
      <c r="AK253" s="108"/>
      <c r="AL253" s="108"/>
      <c r="AM253" s="108"/>
      <c r="AN253" s="108"/>
      <c r="AO253" s="108"/>
      <c r="AP253" s="108"/>
      <c r="AQ253" s="108"/>
      <c r="AR253" s="108"/>
    </row>
    <row r="254" spans="1:44" ht="55.5" customHeight="1" x14ac:dyDescent="0.3">
      <c r="A254" s="108">
        <v>356</v>
      </c>
      <c r="B254" s="688" t="s">
        <v>66</v>
      </c>
      <c r="C254" s="688" t="s">
        <v>178</v>
      </c>
      <c r="D254" s="107" t="s">
        <v>20</v>
      </c>
      <c r="E254" s="686" t="e">
        <f>HLOOKUP($D$2,'2020 Data(H)'!$C$1:$CR$399,118,FALSE)</f>
        <v>#N/A</v>
      </c>
      <c r="F254" s="296">
        <v>0</v>
      </c>
      <c r="G254" s="757"/>
      <c r="H254" s="17"/>
      <c r="I254" s="749"/>
      <c r="Z254" s="108"/>
      <c r="AA254" s="108"/>
      <c r="AB254" s="108"/>
      <c r="AC254" s="108"/>
      <c r="AD254" s="108"/>
      <c r="AE254" s="108"/>
      <c r="AF254" s="108"/>
      <c r="AG254" s="108"/>
      <c r="AH254" s="108"/>
      <c r="AI254" s="108"/>
      <c r="AJ254" s="108"/>
      <c r="AK254" s="108"/>
      <c r="AL254" s="108"/>
      <c r="AM254" s="108"/>
      <c r="AN254" s="108"/>
      <c r="AO254" s="108"/>
      <c r="AP254" s="108"/>
      <c r="AQ254" s="108"/>
      <c r="AR254" s="108"/>
    </row>
    <row r="255" spans="1:44" ht="55.5" customHeight="1" x14ac:dyDescent="0.3">
      <c r="A255" s="108">
        <v>357</v>
      </c>
      <c r="B255" s="688" t="s">
        <v>56</v>
      </c>
      <c r="C255" s="688" t="s">
        <v>179</v>
      </c>
      <c r="D255" s="107" t="s">
        <v>21</v>
      </c>
      <c r="E255" s="686" t="e">
        <f>HLOOKUP($D$2,'2020 Data(H)'!$C$1:$CR$399,119,FALSE)</f>
        <v>#N/A</v>
      </c>
      <c r="F255" s="296">
        <v>0</v>
      </c>
      <c r="G255" s="747">
        <f>IF(F255&lt;0,"Error: Enter as positive.",)</f>
        <v>0</v>
      </c>
      <c r="H255" s="17"/>
      <c r="I255" s="749"/>
      <c r="Z255" s="108"/>
      <c r="AA255" s="108"/>
      <c r="AB255" s="108"/>
      <c r="AC255" s="108"/>
      <c r="AD255" s="108"/>
      <c r="AE255" s="108"/>
      <c r="AF255" s="108"/>
      <c r="AG255" s="108"/>
      <c r="AH255" s="108"/>
      <c r="AI255" s="108"/>
      <c r="AJ255" s="108"/>
      <c r="AK255" s="108"/>
      <c r="AL255" s="108"/>
      <c r="AM255" s="108"/>
      <c r="AN255" s="108"/>
      <c r="AO255" s="108"/>
      <c r="AP255" s="108"/>
      <c r="AQ255" s="108"/>
      <c r="AR255" s="108"/>
    </row>
    <row r="256" spans="1:44" s="18" customFormat="1" ht="35.25" customHeight="1" x14ac:dyDescent="0.3">
      <c r="A256" s="108"/>
      <c r="B256" s="881" t="s">
        <v>10</v>
      </c>
      <c r="C256" s="882"/>
      <c r="D256" s="857"/>
      <c r="E256" s="858"/>
      <c r="F256" s="897"/>
      <c r="G256" s="878"/>
      <c r="H256" s="17"/>
      <c r="I256" s="79"/>
      <c r="N256" s="298"/>
      <c r="Z256" s="108"/>
      <c r="AA256" s="108"/>
      <c r="AB256" s="108"/>
      <c r="AC256" s="108"/>
      <c r="AD256" s="108"/>
      <c r="AE256" s="108"/>
      <c r="AF256" s="108"/>
      <c r="AG256" s="108"/>
      <c r="AH256" s="108"/>
      <c r="AI256" s="108"/>
      <c r="AJ256" s="108"/>
      <c r="AK256" s="108"/>
      <c r="AL256" s="108"/>
      <c r="AM256" s="108"/>
      <c r="AN256" s="108"/>
      <c r="AO256" s="108"/>
      <c r="AP256" s="108"/>
      <c r="AQ256" s="108"/>
      <c r="AR256" s="108"/>
    </row>
    <row r="257" spans="1:1881" s="18" customFormat="1" ht="273.75" customHeight="1" x14ac:dyDescent="0.3">
      <c r="A257" s="108">
        <v>337</v>
      </c>
      <c r="B257" s="4" t="s">
        <v>56</v>
      </c>
      <c r="C257" s="4" t="s">
        <v>1522</v>
      </c>
      <c r="D257" s="24" t="s">
        <v>1317</v>
      </c>
      <c r="E257" s="686" t="e">
        <f>HLOOKUP($D$2,'2020 Data(H)'!$C$1:$CR$399,103,FALSE)</f>
        <v>#N/A</v>
      </c>
      <c r="F257" s="296">
        <v>0</v>
      </c>
      <c r="G257" s="747">
        <f>IF(F257&lt;0,"Error: Enter as positive.",)</f>
        <v>0</v>
      </c>
      <c r="H257" s="17"/>
      <c r="I257" s="79"/>
      <c r="N257" s="298"/>
      <c r="Z257" s="108"/>
      <c r="AA257" s="108"/>
      <c r="AB257" s="108"/>
      <c r="AC257" s="108"/>
      <c r="AD257" s="108"/>
      <c r="AE257" s="108"/>
      <c r="AF257" s="108"/>
      <c r="AG257" s="108"/>
      <c r="AH257" s="108"/>
      <c r="AI257" s="108"/>
      <c r="AJ257" s="108"/>
      <c r="AK257" s="108"/>
      <c r="AL257" s="108"/>
      <c r="AM257" s="108"/>
      <c r="AN257" s="108"/>
      <c r="AO257" s="108"/>
      <c r="AP257" s="108"/>
      <c r="AQ257" s="108"/>
      <c r="AR257" s="108"/>
    </row>
    <row r="258" spans="1:1881" s="18" customFormat="1" ht="81.75" customHeight="1" x14ac:dyDescent="0.3">
      <c r="A258" s="108">
        <v>343</v>
      </c>
      <c r="B258" s="4" t="s">
        <v>56</v>
      </c>
      <c r="C258" s="4" t="s">
        <v>676</v>
      </c>
      <c r="D258" s="29" t="s">
        <v>1523</v>
      </c>
      <c r="E258" s="686" t="e">
        <f>HLOOKUP($D$2,'2020 Data(H)'!$C$1:$CR$399,109,FALSE)</f>
        <v>#N/A</v>
      </c>
      <c r="F258" s="296">
        <v>0</v>
      </c>
      <c r="G258" s="747">
        <f>IF(F258&lt;0,"Error: Enter as positive.",)</f>
        <v>0</v>
      </c>
      <c r="H258" s="17"/>
      <c r="I258" s="79"/>
      <c r="M258" s="98"/>
      <c r="N258" s="298"/>
      <c r="Z258" s="108"/>
      <c r="AA258" s="108"/>
      <c r="AB258" s="108"/>
      <c r="AC258" s="108"/>
      <c r="AD258" s="108"/>
      <c r="AE258" s="108"/>
      <c r="AF258" s="108"/>
      <c r="AG258" s="108"/>
      <c r="AH258" s="108"/>
      <c r="AI258" s="108"/>
      <c r="AJ258" s="108"/>
      <c r="AK258" s="108"/>
      <c r="AL258" s="108"/>
      <c r="AM258" s="108"/>
      <c r="AN258" s="108"/>
      <c r="AO258" s="108"/>
      <c r="AP258" s="108"/>
      <c r="AQ258" s="108"/>
      <c r="AR258" s="108"/>
    </row>
    <row r="259" spans="1:1881" ht="274.5" customHeight="1" x14ac:dyDescent="0.3">
      <c r="A259" s="108">
        <v>82</v>
      </c>
      <c r="B259" s="4" t="s">
        <v>61</v>
      </c>
      <c r="C259" s="4" t="s">
        <v>1524</v>
      </c>
      <c r="D259" s="24" t="s">
        <v>861</v>
      </c>
      <c r="E259" s="686" t="e">
        <f>HLOOKUP($D$2,'2020 Data(H)'!$C$1:$CR$399,46,FALSE)</f>
        <v>#N/A</v>
      </c>
      <c r="F259" s="296">
        <v>0</v>
      </c>
      <c r="G259" s="747">
        <f>IF(F259&lt;0,"Error: Enter as positive.",)</f>
        <v>0</v>
      </c>
      <c r="H259" s="17"/>
      <c r="I259" s="783"/>
      <c r="Z259" s="108"/>
      <c r="AA259" s="108"/>
      <c r="AB259" s="108"/>
      <c r="AC259" s="108"/>
      <c r="AD259" s="108"/>
      <c r="AE259" s="108"/>
      <c r="AF259" s="108"/>
      <c r="AG259" s="108"/>
      <c r="AH259" s="108"/>
      <c r="AI259" s="108"/>
      <c r="AJ259" s="108"/>
      <c r="AK259" s="108"/>
      <c r="AL259" s="108"/>
      <c r="AM259" s="108"/>
      <c r="AN259" s="108"/>
      <c r="AO259" s="108"/>
      <c r="AP259" s="108"/>
      <c r="AQ259" s="108"/>
      <c r="AR259" s="108"/>
    </row>
    <row r="260" spans="1:1881" ht="270.75" customHeight="1" x14ac:dyDescent="0.3">
      <c r="A260" s="108">
        <v>359</v>
      </c>
      <c r="B260" s="4" t="s">
        <v>56</v>
      </c>
      <c r="C260" s="4" t="s">
        <v>1525</v>
      </c>
      <c r="D260" s="24" t="s">
        <v>861</v>
      </c>
      <c r="E260" s="686" t="e">
        <f>HLOOKUP($D$2,'2020 Data(H)'!$C$1:$CR$399,120,FALSE)</f>
        <v>#N/A</v>
      </c>
      <c r="F260" s="296">
        <v>0</v>
      </c>
      <c r="G260" s="747">
        <f>IF(F260&lt;0,"Error: Enter as positive.",)</f>
        <v>0</v>
      </c>
      <c r="H260" s="17"/>
      <c r="I260" s="783"/>
      <c r="J260" s="592"/>
      <c r="L260" s="784" t="str">
        <f>IF(ISBLANK(K258),"",IF(ISBLANK(K259),"",IF(K260=M260,"","Please review percentage")))</f>
        <v/>
      </c>
      <c r="Z260" s="108"/>
      <c r="AA260" s="108"/>
      <c r="AB260" s="108"/>
      <c r="AC260" s="108"/>
      <c r="AD260" s="108"/>
      <c r="AE260" s="108"/>
      <c r="AF260" s="108"/>
      <c r="AG260" s="108"/>
      <c r="AH260" s="108"/>
      <c r="AI260" s="108"/>
      <c r="AJ260" s="108"/>
      <c r="AK260" s="108"/>
      <c r="AL260" s="108"/>
      <c r="AM260" s="108"/>
      <c r="AN260" s="108"/>
      <c r="AO260" s="108"/>
      <c r="AP260" s="108"/>
      <c r="AQ260" s="108"/>
      <c r="AR260" s="108"/>
    </row>
    <row r="261" spans="1:1881" s="786" customFormat="1" ht="33" customHeight="1" x14ac:dyDescent="0.3">
      <c r="A261" s="108"/>
      <c r="B261" s="843" t="s">
        <v>715</v>
      </c>
      <c r="C261" s="844"/>
      <c r="D261" s="96"/>
      <c r="E261" s="785"/>
      <c r="F261" s="771"/>
      <c r="G261" s="746"/>
      <c r="H261" s="17"/>
      <c r="I261" s="783"/>
      <c r="J261" s="18"/>
      <c r="K261" s="18"/>
      <c r="L261" s="18"/>
      <c r="M261" s="18"/>
      <c r="N261" s="298"/>
      <c r="O261" s="18"/>
      <c r="P261" s="18"/>
      <c r="Q261" s="18"/>
      <c r="R261" s="18"/>
      <c r="S261" s="18"/>
      <c r="T261" s="18"/>
      <c r="U261" s="18"/>
      <c r="V261" s="18"/>
      <c r="W261" s="18"/>
      <c r="X261" s="18"/>
      <c r="Y261" s="18"/>
      <c r="Z261" s="108"/>
      <c r="AA261" s="108"/>
      <c r="AB261" s="108"/>
      <c r="AC261" s="108"/>
      <c r="AD261" s="108"/>
      <c r="AE261" s="108"/>
      <c r="AF261" s="108"/>
      <c r="AG261" s="108"/>
      <c r="AH261" s="108"/>
      <c r="AI261" s="108"/>
      <c r="AJ261" s="108"/>
      <c r="AK261" s="108"/>
      <c r="AL261" s="108"/>
      <c r="AM261" s="108"/>
      <c r="AN261" s="108"/>
      <c r="AO261" s="108"/>
      <c r="AP261" s="108"/>
      <c r="AQ261" s="108"/>
      <c r="AR261" s="10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c r="WZ261" s="18"/>
      <c r="XA261" s="18"/>
      <c r="XB261" s="18"/>
      <c r="XC261" s="18"/>
      <c r="XD261" s="18"/>
      <c r="XE261" s="18"/>
      <c r="XF261" s="18"/>
      <c r="XG261" s="18"/>
      <c r="XH261" s="18"/>
      <c r="XI261" s="18"/>
      <c r="XJ261" s="18"/>
      <c r="XK261" s="18"/>
      <c r="XL261" s="18"/>
      <c r="XM261" s="18"/>
      <c r="XN261" s="18"/>
      <c r="XO261" s="18"/>
      <c r="XP261" s="18"/>
      <c r="XQ261" s="18"/>
      <c r="XR261" s="18"/>
      <c r="XS261" s="18"/>
      <c r="XT261" s="18"/>
      <c r="XU261" s="18"/>
      <c r="XV261" s="18"/>
      <c r="XW261" s="18"/>
      <c r="XX261" s="18"/>
      <c r="XY261" s="18"/>
      <c r="XZ261" s="18"/>
      <c r="YA261" s="18"/>
      <c r="YB261" s="18"/>
      <c r="YC261" s="18"/>
      <c r="YD261" s="18"/>
      <c r="YE261" s="18"/>
      <c r="YF261" s="18"/>
      <c r="YG261" s="18"/>
      <c r="YH261" s="18"/>
      <c r="YI261" s="18"/>
      <c r="YJ261" s="18"/>
      <c r="YK261" s="18"/>
      <c r="YL261" s="18"/>
      <c r="YM261" s="18"/>
      <c r="YN261" s="18"/>
      <c r="YO261" s="18"/>
      <c r="YP261" s="18"/>
      <c r="YQ261" s="18"/>
      <c r="YR261" s="18"/>
      <c r="YS261" s="18"/>
      <c r="YT261" s="18"/>
      <c r="YU261" s="18"/>
      <c r="YV261" s="18"/>
      <c r="YW261" s="18"/>
      <c r="YX261" s="18"/>
      <c r="YY261" s="18"/>
      <c r="YZ261" s="18"/>
      <c r="ZA261" s="18"/>
      <c r="ZB261" s="18"/>
      <c r="ZC261" s="18"/>
      <c r="ZD261" s="18"/>
      <c r="ZE261" s="18"/>
      <c r="ZF261" s="18"/>
      <c r="ZG261" s="18"/>
      <c r="ZH261" s="18"/>
      <c r="ZI261" s="18"/>
      <c r="ZJ261" s="18"/>
      <c r="ZK261" s="18"/>
      <c r="ZL261" s="18"/>
      <c r="ZM261" s="18"/>
      <c r="ZN261" s="18"/>
      <c r="ZO261" s="18"/>
      <c r="ZP261" s="18"/>
      <c r="ZQ261" s="18"/>
      <c r="ZR261" s="18"/>
      <c r="ZS261" s="18"/>
      <c r="ZT261" s="18"/>
      <c r="ZU261" s="18"/>
      <c r="ZV261" s="18"/>
      <c r="ZW261" s="18"/>
      <c r="ZX261" s="18"/>
      <c r="ZY261" s="18"/>
      <c r="ZZ261" s="18"/>
      <c r="AAA261" s="18"/>
      <c r="AAB261" s="18"/>
      <c r="AAC261" s="18"/>
      <c r="AAD261" s="18"/>
      <c r="AAE261" s="18"/>
      <c r="AAF261" s="18"/>
      <c r="AAG261" s="18"/>
      <c r="AAH261" s="18"/>
      <c r="AAI261" s="18"/>
      <c r="AAJ261" s="18"/>
      <c r="AAK261" s="18"/>
      <c r="AAL261" s="18"/>
      <c r="AAM261" s="18"/>
      <c r="AAN261" s="18"/>
      <c r="AAO261" s="18"/>
      <c r="AAP261" s="18"/>
      <c r="AAQ261" s="18"/>
      <c r="AAR261" s="18"/>
      <c r="AAS261" s="18"/>
      <c r="AAT261" s="18"/>
      <c r="AAU261" s="18"/>
      <c r="AAV261" s="18"/>
      <c r="AAW261" s="18"/>
      <c r="AAX261" s="18"/>
      <c r="AAY261" s="18"/>
      <c r="AAZ261" s="18"/>
      <c r="ABA261" s="18"/>
      <c r="ABB261" s="18"/>
      <c r="ABC261" s="18"/>
      <c r="ABD261" s="18"/>
      <c r="ABE261" s="18"/>
      <c r="ABF261" s="18"/>
      <c r="ABG261" s="18"/>
      <c r="ABH261" s="18"/>
      <c r="ABI261" s="18"/>
      <c r="ABJ261" s="18"/>
      <c r="ABK261" s="18"/>
      <c r="ABL261" s="18"/>
      <c r="ABM261" s="18"/>
      <c r="ABN261" s="18"/>
      <c r="ABO261" s="18"/>
      <c r="ABP261" s="18"/>
      <c r="ABQ261" s="18"/>
      <c r="ABR261" s="18"/>
      <c r="ABS261" s="18"/>
      <c r="ABT261" s="18"/>
      <c r="ABU261" s="18"/>
      <c r="ABV261" s="18"/>
      <c r="ABW261" s="18"/>
      <c r="ABX261" s="18"/>
      <c r="ABY261" s="18"/>
      <c r="ABZ261" s="18"/>
      <c r="ACA261" s="18"/>
      <c r="ACB261" s="18"/>
      <c r="ACC261" s="18"/>
      <c r="ACD261" s="18"/>
      <c r="ACE261" s="18"/>
      <c r="ACF261" s="18"/>
      <c r="ACG261" s="18"/>
      <c r="ACH261" s="18"/>
      <c r="ACI261" s="18"/>
      <c r="ACJ261" s="18"/>
      <c r="ACK261" s="18"/>
      <c r="ACL261" s="18"/>
      <c r="ACM261" s="18"/>
      <c r="ACN261" s="18"/>
      <c r="ACO261" s="18"/>
      <c r="ACP261" s="18"/>
      <c r="ACQ261" s="18"/>
      <c r="ACR261" s="18"/>
      <c r="ACS261" s="18"/>
      <c r="ACT261" s="18"/>
      <c r="ACU261" s="18"/>
      <c r="ACV261" s="18"/>
      <c r="ACW261" s="18"/>
      <c r="ACX261" s="18"/>
      <c r="ACY261" s="18"/>
      <c r="ACZ261" s="18"/>
      <c r="ADA261" s="18"/>
      <c r="ADB261" s="18"/>
      <c r="ADC261" s="18"/>
      <c r="ADD261" s="18"/>
      <c r="ADE261" s="18"/>
      <c r="ADF261" s="18"/>
      <c r="ADG261" s="18"/>
      <c r="ADH261" s="18"/>
      <c r="ADI261" s="18"/>
      <c r="ADJ261" s="18"/>
      <c r="ADK261" s="18"/>
      <c r="ADL261" s="18"/>
      <c r="ADM261" s="18"/>
      <c r="ADN261" s="18"/>
      <c r="ADO261" s="18"/>
      <c r="ADP261" s="18"/>
      <c r="ADQ261" s="18"/>
      <c r="ADR261" s="18"/>
      <c r="ADS261" s="18"/>
      <c r="ADT261" s="18"/>
      <c r="ADU261" s="18"/>
      <c r="ADV261" s="18"/>
      <c r="ADW261" s="18"/>
      <c r="ADX261" s="18"/>
      <c r="ADY261" s="18"/>
      <c r="ADZ261" s="18"/>
      <c r="AEA261" s="18"/>
      <c r="AEB261" s="18"/>
      <c r="AEC261" s="18"/>
      <c r="AED261" s="18"/>
      <c r="AEE261" s="18"/>
      <c r="AEF261" s="18"/>
      <c r="AEG261" s="18"/>
      <c r="AEH261" s="18"/>
      <c r="AEI261" s="18"/>
      <c r="AEJ261" s="18"/>
      <c r="AEK261" s="18"/>
      <c r="AEL261" s="18"/>
      <c r="AEM261" s="18"/>
      <c r="AEN261" s="18"/>
      <c r="AEO261" s="18"/>
      <c r="AEP261" s="18"/>
      <c r="AEQ261" s="18"/>
      <c r="AER261" s="18"/>
      <c r="AES261" s="18"/>
      <c r="AET261" s="18"/>
      <c r="AEU261" s="18"/>
      <c r="AEV261" s="18"/>
      <c r="AEW261" s="18"/>
      <c r="AEX261" s="18"/>
      <c r="AEY261" s="18"/>
      <c r="AEZ261" s="18"/>
      <c r="AFA261" s="18"/>
      <c r="AFB261" s="18"/>
      <c r="AFC261" s="18"/>
      <c r="AFD261" s="18"/>
      <c r="AFE261" s="18"/>
      <c r="AFF261" s="18"/>
      <c r="AFG261" s="18"/>
      <c r="AFH261" s="18"/>
      <c r="AFI261" s="18"/>
      <c r="AFJ261" s="18"/>
      <c r="AFK261" s="18"/>
      <c r="AFL261" s="18"/>
      <c r="AFM261" s="18"/>
      <c r="AFN261" s="18"/>
      <c r="AFO261" s="18"/>
      <c r="AFP261" s="18"/>
      <c r="AFQ261" s="18"/>
      <c r="AFR261" s="18"/>
      <c r="AFS261" s="18"/>
      <c r="AFT261" s="18"/>
      <c r="AFU261" s="18"/>
      <c r="AFV261" s="18"/>
      <c r="AFW261" s="18"/>
      <c r="AFX261" s="18"/>
      <c r="AFY261" s="18"/>
      <c r="AFZ261" s="18"/>
      <c r="AGA261" s="18"/>
      <c r="AGB261" s="18"/>
      <c r="AGC261" s="18"/>
      <c r="AGD261" s="18"/>
      <c r="AGE261" s="18"/>
      <c r="AGF261" s="18"/>
      <c r="AGG261" s="18"/>
      <c r="AGH261" s="18"/>
      <c r="AGI261" s="18"/>
      <c r="AGJ261" s="18"/>
      <c r="AGK261" s="18"/>
      <c r="AGL261" s="18"/>
      <c r="AGM261" s="18"/>
      <c r="AGN261" s="18"/>
      <c r="AGO261" s="18"/>
      <c r="AGP261" s="18"/>
      <c r="AGQ261" s="18"/>
      <c r="AGR261" s="18"/>
      <c r="AGS261" s="18"/>
      <c r="AGT261" s="18"/>
      <c r="AGU261" s="18"/>
      <c r="AGV261" s="18"/>
      <c r="AGW261" s="18"/>
      <c r="AGX261" s="18"/>
      <c r="AGY261" s="18"/>
      <c r="AGZ261" s="18"/>
      <c r="AHA261" s="18"/>
      <c r="AHB261" s="18"/>
      <c r="AHC261" s="18"/>
      <c r="AHD261" s="18"/>
      <c r="AHE261" s="18"/>
      <c r="AHF261" s="18"/>
      <c r="AHG261" s="18"/>
      <c r="AHH261" s="18"/>
      <c r="AHI261" s="18"/>
      <c r="AHJ261" s="18"/>
      <c r="AHK261" s="18"/>
      <c r="AHL261" s="18"/>
      <c r="AHM261" s="18"/>
      <c r="AHN261" s="18"/>
      <c r="AHO261" s="18"/>
      <c r="AHP261" s="18"/>
      <c r="AHQ261" s="18"/>
      <c r="AHR261" s="18"/>
      <c r="AHS261" s="18"/>
      <c r="AHT261" s="18"/>
      <c r="AHU261" s="18"/>
      <c r="AHV261" s="18"/>
      <c r="AHW261" s="18"/>
      <c r="AHX261" s="18"/>
      <c r="AHY261" s="18"/>
      <c r="AHZ261" s="18"/>
      <c r="AIA261" s="18"/>
      <c r="AIB261" s="18"/>
      <c r="AIC261" s="18"/>
      <c r="AID261" s="18"/>
      <c r="AIE261" s="18"/>
      <c r="AIF261" s="18"/>
      <c r="AIG261" s="18"/>
      <c r="AIH261" s="18"/>
      <c r="AII261" s="18"/>
      <c r="AIJ261" s="18"/>
      <c r="AIK261" s="18"/>
      <c r="AIL261" s="18"/>
      <c r="AIM261" s="18"/>
      <c r="AIN261" s="18"/>
      <c r="AIO261" s="18"/>
      <c r="AIP261" s="18"/>
      <c r="AIQ261" s="18"/>
      <c r="AIR261" s="18"/>
      <c r="AIS261" s="18"/>
      <c r="AIT261" s="18"/>
      <c r="AIU261" s="18"/>
      <c r="AIV261" s="18"/>
      <c r="AIW261" s="18"/>
      <c r="AIX261" s="18"/>
      <c r="AIY261" s="18"/>
      <c r="AIZ261" s="18"/>
      <c r="AJA261" s="18"/>
      <c r="AJB261" s="18"/>
      <c r="AJC261" s="18"/>
      <c r="AJD261" s="18"/>
      <c r="AJE261" s="18"/>
      <c r="AJF261" s="18"/>
      <c r="AJG261" s="18"/>
      <c r="AJH261" s="18"/>
      <c r="AJI261" s="18"/>
      <c r="AJJ261" s="18"/>
      <c r="AJK261" s="18"/>
      <c r="AJL261" s="18"/>
      <c r="AJM261" s="18"/>
      <c r="AJN261" s="18"/>
      <c r="AJO261" s="18"/>
      <c r="AJP261" s="18"/>
      <c r="AJQ261" s="18"/>
      <c r="AJR261" s="18"/>
      <c r="AJS261" s="18"/>
      <c r="AJT261" s="18"/>
      <c r="AJU261" s="18"/>
      <c r="AJV261" s="18"/>
      <c r="AJW261" s="18"/>
      <c r="AJX261" s="18"/>
      <c r="AJY261" s="18"/>
      <c r="AJZ261" s="18"/>
      <c r="AKA261" s="18"/>
      <c r="AKB261" s="18"/>
      <c r="AKC261" s="18"/>
      <c r="AKD261" s="18"/>
      <c r="AKE261" s="18"/>
      <c r="AKF261" s="18"/>
      <c r="AKG261" s="18"/>
      <c r="AKH261" s="18"/>
      <c r="AKI261" s="18"/>
      <c r="AKJ261" s="18"/>
      <c r="AKK261" s="18"/>
      <c r="AKL261" s="18"/>
      <c r="AKM261" s="18"/>
      <c r="AKN261" s="18"/>
      <c r="AKO261" s="18"/>
      <c r="AKP261" s="18"/>
      <c r="AKQ261" s="18"/>
      <c r="AKR261" s="18"/>
      <c r="AKS261" s="18"/>
      <c r="AKT261" s="18"/>
      <c r="AKU261" s="18"/>
      <c r="AKV261" s="18"/>
      <c r="AKW261" s="18"/>
      <c r="AKX261" s="18"/>
      <c r="AKY261" s="18"/>
      <c r="AKZ261" s="18"/>
      <c r="ALA261" s="18"/>
      <c r="ALB261" s="18"/>
      <c r="ALC261" s="18"/>
      <c r="ALD261" s="18"/>
      <c r="ALE261" s="18"/>
      <c r="ALF261" s="18"/>
      <c r="ALG261" s="18"/>
      <c r="ALH261" s="18"/>
      <c r="ALI261" s="18"/>
      <c r="ALJ261" s="18"/>
      <c r="ALK261" s="18"/>
      <c r="ALL261" s="18"/>
      <c r="ALM261" s="18"/>
      <c r="ALN261" s="18"/>
      <c r="ALO261" s="18"/>
      <c r="ALP261" s="18"/>
      <c r="ALQ261" s="18"/>
      <c r="ALR261" s="18"/>
      <c r="ALS261" s="18"/>
      <c r="ALT261" s="18"/>
      <c r="ALU261" s="18"/>
      <c r="ALV261" s="18"/>
      <c r="ALW261" s="18"/>
      <c r="ALX261" s="18"/>
      <c r="ALY261" s="18"/>
      <c r="ALZ261" s="18"/>
      <c r="AMA261" s="18"/>
      <c r="AMB261" s="18"/>
      <c r="AMC261" s="18"/>
      <c r="AMD261" s="18"/>
      <c r="AME261" s="18"/>
      <c r="AMF261" s="18"/>
      <c r="AMG261" s="18"/>
      <c r="AMH261" s="18"/>
      <c r="AMI261" s="18"/>
      <c r="AMJ261" s="18"/>
      <c r="AMK261" s="18"/>
      <c r="AML261" s="18"/>
      <c r="AMM261" s="18"/>
      <c r="AMN261" s="18"/>
      <c r="AMO261" s="18"/>
      <c r="AMP261" s="18"/>
      <c r="AMQ261" s="18"/>
      <c r="AMR261" s="18"/>
      <c r="AMS261" s="18"/>
      <c r="AMT261" s="18"/>
      <c r="AMU261" s="18"/>
      <c r="AMV261" s="18"/>
      <c r="AMW261" s="18"/>
      <c r="AMX261" s="18"/>
      <c r="AMY261" s="18"/>
      <c r="AMZ261" s="18"/>
      <c r="ANA261" s="18"/>
      <c r="ANB261" s="18"/>
      <c r="ANC261" s="18"/>
      <c r="AND261" s="18"/>
      <c r="ANE261" s="18"/>
      <c r="ANF261" s="18"/>
      <c r="ANG261" s="18"/>
      <c r="ANH261" s="18"/>
      <c r="ANI261" s="18"/>
      <c r="ANJ261" s="18"/>
      <c r="ANK261" s="18"/>
      <c r="ANL261" s="18"/>
      <c r="ANM261" s="18"/>
      <c r="ANN261" s="18"/>
      <c r="ANO261" s="18"/>
      <c r="ANP261" s="18"/>
      <c r="ANQ261" s="18"/>
      <c r="ANR261" s="18"/>
      <c r="ANS261" s="18"/>
      <c r="ANT261" s="18"/>
      <c r="ANU261" s="18"/>
      <c r="ANV261" s="18"/>
      <c r="ANW261" s="18"/>
      <c r="ANX261" s="18"/>
      <c r="ANY261" s="18"/>
      <c r="ANZ261" s="18"/>
      <c r="AOA261" s="18"/>
      <c r="AOB261" s="18"/>
      <c r="AOC261" s="18"/>
      <c r="AOD261" s="18"/>
      <c r="AOE261" s="18"/>
      <c r="AOF261" s="18"/>
      <c r="AOG261" s="18"/>
      <c r="AOH261" s="18"/>
      <c r="AOI261" s="18"/>
      <c r="AOJ261" s="18"/>
      <c r="AOK261" s="18"/>
      <c r="AOL261" s="18"/>
      <c r="AOM261" s="18"/>
      <c r="AON261" s="18"/>
      <c r="AOO261" s="18"/>
      <c r="AOP261" s="18"/>
      <c r="AOQ261" s="18"/>
      <c r="AOR261" s="18"/>
      <c r="AOS261" s="18"/>
      <c r="AOT261" s="18"/>
      <c r="AOU261" s="18"/>
      <c r="AOV261" s="18"/>
      <c r="AOW261" s="18"/>
      <c r="AOX261" s="18"/>
      <c r="AOY261" s="18"/>
      <c r="AOZ261" s="18"/>
      <c r="APA261" s="18"/>
      <c r="APB261" s="18"/>
      <c r="APC261" s="18"/>
      <c r="APD261" s="18"/>
      <c r="APE261" s="18"/>
      <c r="APF261" s="18"/>
      <c r="APG261" s="18"/>
      <c r="APH261" s="18"/>
      <c r="API261" s="18"/>
      <c r="APJ261" s="18"/>
      <c r="APK261" s="18"/>
      <c r="APL261" s="18"/>
      <c r="APM261" s="18"/>
      <c r="APN261" s="18"/>
      <c r="APO261" s="18"/>
      <c r="APP261" s="18"/>
      <c r="APQ261" s="18"/>
      <c r="APR261" s="18"/>
      <c r="APS261" s="18"/>
      <c r="APT261" s="18"/>
      <c r="APU261" s="18"/>
      <c r="APV261" s="18"/>
      <c r="APW261" s="18"/>
      <c r="APX261" s="18"/>
      <c r="APY261" s="18"/>
      <c r="APZ261" s="18"/>
      <c r="AQA261" s="18"/>
      <c r="AQB261" s="18"/>
      <c r="AQC261" s="18"/>
      <c r="AQD261" s="18"/>
      <c r="AQE261" s="18"/>
      <c r="AQF261" s="18"/>
      <c r="AQG261" s="18"/>
      <c r="AQH261" s="18"/>
      <c r="AQI261" s="18"/>
      <c r="AQJ261" s="18"/>
      <c r="AQK261" s="18"/>
      <c r="AQL261" s="18"/>
      <c r="AQM261" s="18"/>
      <c r="AQN261" s="18"/>
      <c r="AQO261" s="18"/>
      <c r="AQP261" s="18"/>
      <c r="AQQ261" s="18"/>
      <c r="AQR261" s="18"/>
      <c r="AQS261" s="18"/>
      <c r="AQT261" s="18"/>
      <c r="AQU261" s="18"/>
      <c r="AQV261" s="18"/>
      <c r="AQW261" s="18"/>
      <c r="AQX261" s="18"/>
      <c r="AQY261" s="18"/>
      <c r="AQZ261" s="18"/>
      <c r="ARA261" s="18"/>
      <c r="ARB261" s="18"/>
      <c r="ARC261" s="18"/>
      <c r="ARD261" s="18"/>
      <c r="ARE261" s="18"/>
      <c r="ARF261" s="18"/>
      <c r="ARG261" s="18"/>
      <c r="ARH261" s="18"/>
      <c r="ARI261" s="18"/>
      <c r="ARJ261" s="18"/>
      <c r="ARK261" s="18"/>
      <c r="ARL261" s="18"/>
      <c r="ARM261" s="18"/>
      <c r="ARN261" s="18"/>
      <c r="ARO261" s="18"/>
      <c r="ARP261" s="18"/>
      <c r="ARQ261" s="18"/>
      <c r="ARR261" s="18"/>
      <c r="ARS261" s="18"/>
      <c r="ART261" s="18"/>
      <c r="ARU261" s="18"/>
      <c r="ARV261" s="18"/>
      <c r="ARW261" s="18"/>
      <c r="ARX261" s="18"/>
      <c r="ARY261" s="18"/>
      <c r="ARZ261" s="18"/>
      <c r="ASA261" s="18"/>
      <c r="ASB261" s="18"/>
      <c r="ASC261" s="18"/>
      <c r="ASD261" s="18"/>
      <c r="ASE261" s="18"/>
      <c r="ASF261" s="18"/>
      <c r="ASG261" s="18"/>
      <c r="ASH261" s="18"/>
      <c r="ASI261" s="18"/>
      <c r="ASJ261" s="18"/>
      <c r="ASK261" s="18"/>
      <c r="ASL261" s="18"/>
      <c r="ASM261" s="18"/>
      <c r="ASN261" s="18"/>
      <c r="ASO261" s="18"/>
      <c r="ASP261" s="18"/>
      <c r="ASQ261" s="18"/>
      <c r="ASR261" s="18"/>
      <c r="ASS261" s="18"/>
      <c r="AST261" s="18"/>
      <c r="ASU261" s="18"/>
      <c r="ASV261" s="18"/>
      <c r="ASW261" s="18"/>
      <c r="ASX261" s="18"/>
      <c r="ASY261" s="18"/>
      <c r="ASZ261" s="18"/>
      <c r="ATA261" s="18"/>
      <c r="ATB261" s="18"/>
      <c r="ATC261" s="18"/>
      <c r="ATD261" s="18"/>
      <c r="ATE261" s="18"/>
      <c r="ATF261" s="18"/>
      <c r="ATG261" s="18"/>
      <c r="ATH261" s="18"/>
      <c r="ATI261" s="18"/>
      <c r="ATJ261" s="18"/>
      <c r="ATK261" s="18"/>
      <c r="ATL261" s="18"/>
      <c r="ATM261" s="18"/>
      <c r="ATN261" s="18"/>
      <c r="ATO261" s="18"/>
      <c r="ATP261" s="18"/>
      <c r="ATQ261" s="18"/>
      <c r="ATR261" s="18"/>
      <c r="ATS261" s="18"/>
      <c r="ATT261" s="18"/>
      <c r="ATU261" s="18"/>
      <c r="ATV261" s="18"/>
      <c r="ATW261" s="18"/>
      <c r="ATX261" s="18"/>
      <c r="ATY261" s="18"/>
      <c r="ATZ261" s="18"/>
      <c r="AUA261" s="18"/>
      <c r="AUB261" s="18"/>
      <c r="AUC261" s="18"/>
      <c r="AUD261" s="18"/>
      <c r="AUE261" s="18"/>
      <c r="AUF261" s="18"/>
      <c r="AUG261" s="18"/>
      <c r="AUH261" s="18"/>
      <c r="AUI261" s="18"/>
      <c r="AUJ261" s="18"/>
      <c r="AUK261" s="18"/>
      <c r="AUL261" s="18"/>
      <c r="AUM261" s="18"/>
      <c r="AUN261" s="18"/>
      <c r="AUO261" s="18"/>
      <c r="AUP261" s="18"/>
      <c r="AUQ261" s="18"/>
      <c r="AUR261" s="18"/>
      <c r="AUS261" s="18"/>
      <c r="AUT261" s="18"/>
      <c r="AUU261" s="18"/>
      <c r="AUV261" s="18"/>
      <c r="AUW261" s="18"/>
      <c r="AUX261" s="18"/>
      <c r="AUY261" s="18"/>
      <c r="AUZ261" s="18"/>
      <c r="AVA261" s="18"/>
      <c r="AVB261" s="18"/>
      <c r="AVC261" s="18"/>
      <c r="AVD261" s="18"/>
      <c r="AVE261" s="18"/>
      <c r="AVF261" s="18"/>
      <c r="AVG261" s="18"/>
      <c r="AVH261" s="18"/>
      <c r="AVI261" s="18"/>
      <c r="AVJ261" s="18"/>
      <c r="AVK261" s="18"/>
      <c r="AVL261" s="18"/>
      <c r="AVM261" s="18"/>
      <c r="AVN261" s="18"/>
      <c r="AVO261" s="18"/>
      <c r="AVP261" s="18"/>
      <c r="AVQ261" s="18"/>
      <c r="AVR261" s="18"/>
      <c r="AVS261" s="18"/>
      <c r="AVT261" s="18"/>
      <c r="AVU261" s="18"/>
      <c r="AVV261" s="18"/>
      <c r="AVW261" s="18"/>
      <c r="AVX261" s="18"/>
      <c r="AVY261" s="18"/>
      <c r="AVZ261" s="18"/>
      <c r="AWA261" s="18"/>
      <c r="AWB261" s="18"/>
      <c r="AWC261" s="18"/>
      <c r="AWD261" s="18"/>
      <c r="AWE261" s="18"/>
      <c r="AWF261" s="18"/>
      <c r="AWG261" s="18"/>
      <c r="AWH261" s="18"/>
      <c r="AWI261" s="18"/>
      <c r="AWJ261" s="18"/>
      <c r="AWK261" s="18"/>
      <c r="AWL261" s="18"/>
      <c r="AWM261" s="18"/>
      <c r="AWN261" s="18"/>
      <c r="AWO261" s="18"/>
      <c r="AWP261" s="18"/>
      <c r="AWQ261" s="18"/>
      <c r="AWR261" s="18"/>
      <c r="AWS261" s="18"/>
      <c r="AWT261" s="18"/>
      <c r="AWU261" s="18"/>
      <c r="AWV261" s="18"/>
      <c r="AWW261" s="18"/>
      <c r="AWX261" s="18"/>
      <c r="AWY261" s="18"/>
      <c r="AWZ261" s="18"/>
      <c r="AXA261" s="18"/>
      <c r="AXB261" s="18"/>
      <c r="AXC261" s="18"/>
      <c r="AXD261" s="18"/>
      <c r="AXE261" s="18"/>
      <c r="AXF261" s="18"/>
      <c r="AXG261" s="18"/>
      <c r="AXH261" s="18"/>
      <c r="AXI261" s="18"/>
      <c r="AXJ261" s="18"/>
      <c r="AXK261" s="18"/>
      <c r="AXL261" s="18"/>
      <c r="AXM261" s="18"/>
      <c r="AXN261" s="18"/>
      <c r="AXO261" s="18"/>
      <c r="AXP261" s="18"/>
      <c r="AXQ261" s="18"/>
      <c r="AXR261" s="18"/>
      <c r="AXS261" s="18"/>
      <c r="AXT261" s="18"/>
      <c r="AXU261" s="18"/>
      <c r="AXV261" s="18"/>
      <c r="AXW261" s="18"/>
      <c r="AXX261" s="18"/>
      <c r="AXY261" s="18"/>
      <c r="AXZ261" s="18"/>
      <c r="AYA261" s="18"/>
      <c r="AYB261" s="18"/>
      <c r="AYC261" s="18"/>
      <c r="AYD261" s="18"/>
      <c r="AYE261" s="18"/>
      <c r="AYF261" s="18"/>
      <c r="AYG261" s="18"/>
      <c r="AYH261" s="18"/>
      <c r="AYI261" s="18"/>
      <c r="AYJ261" s="18"/>
      <c r="AYK261" s="18"/>
      <c r="AYL261" s="18"/>
      <c r="AYM261" s="18"/>
      <c r="AYN261" s="18"/>
      <c r="AYO261" s="18"/>
      <c r="AYP261" s="18"/>
      <c r="AYQ261" s="18"/>
      <c r="AYR261" s="18"/>
      <c r="AYS261" s="18"/>
      <c r="AYT261" s="18"/>
      <c r="AYU261" s="18"/>
      <c r="AYV261" s="18"/>
      <c r="AYW261" s="18"/>
      <c r="AYX261" s="18"/>
      <c r="AYY261" s="18"/>
      <c r="AYZ261" s="18"/>
      <c r="AZA261" s="18"/>
      <c r="AZB261" s="18"/>
      <c r="AZC261" s="18"/>
      <c r="AZD261" s="18"/>
      <c r="AZE261" s="18"/>
      <c r="AZF261" s="18"/>
      <c r="AZG261" s="18"/>
      <c r="AZH261" s="18"/>
      <c r="AZI261" s="18"/>
      <c r="AZJ261" s="18"/>
      <c r="AZK261" s="18"/>
      <c r="AZL261" s="18"/>
      <c r="AZM261" s="18"/>
      <c r="AZN261" s="18"/>
      <c r="AZO261" s="18"/>
      <c r="AZP261" s="18"/>
      <c r="AZQ261" s="18"/>
      <c r="AZR261" s="18"/>
      <c r="AZS261" s="18"/>
      <c r="AZT261" s="18"/>
      <c r="AZU261" s="18"/>
      <c r="AZV261" s="18"/>
      <c r="AZW261" s="18"/>
      <c r="AZX261" s="18"/>
      <c r="AZY261" s="18"/>
      <c r="AZZ261" s="18"/>
      <c r="BAA261" s="18"/>
      <c r="BAB261" s="18"/>
      <c r="BAC261" s="18"/>
      <c r="BAD261" s="18"/>
      <c r="BAE261" s="18"/>
      <c r="BAF261" s="18"/>
      <c r="BAG261" s="18"/>
      <c r="BAH261" s="18"/>
      <c r="BAI261" s="18"/>
      <c r="BAJ261" s="18"/>
      <c r="BAK261" s="18"/>
      <c r="BAL261" s="18"/>
      <c r="BAM261" s="18"/>
      <c r="BAN261" s="18"/>
      <c r="BAO261" s="18"/>
      <c r="BAP261" s="18"/>
      <c r="BAQ261" s="18"/>
      <c r="BAR261" s="18"/>
      <c r="BAS261" s="18"/>
      <c r="BAT261" s="18"/>
      <c r="BAU261" s="18"/>
      <c r="BAV261" s="18"/>
      <c r="BAW261" s="18"/>
      <c r="BAX261" s="18"/>
      <c r="BAY261" s="18"/>
      <c r="BAZ261" s="18"/>
      <c r="BBA261" s="18"/>
      <c r="BBB261" s="18"/>
      <c r="BBC261" s="18"/>
      <c r="BBD261" s="18"/>
      <c r="BBE261" s="18"/>
      <c r="BBF261" s="18"/>
      <c r="BBG261" s="18"/>
      <c r="BBH261" s="18"/>
      <c r="BBI261" s="18"/>
      <c r="BBJ261" s="18"/>
      <c r="BBK261" s="18"/>
      <c r="BBL261" s="18"/>
      <c r="BBM261" s="18"/>
      <c r="BBN261" s="18"/>
      <c r="BBO261" s="18"/>
      <c r="BBP261" s="18"/>
      <c r="BBQ261" s="18"/>
      <c r="BBR261" s="18"/>
      <c r="BBS261" s="18"/>
      <c r="BBT261" s="18"/>
      <c r="BBU261" s="18"/>
      <c r="BBV261" s="18"/>
      <c r="BBW261" s="18"/>
      <c r="BBX261" s="18"/>
      <c r="BBY261" s="18"/>
      <c r="BBZ261" s="18"/>
      <c r="BCA261" s="18"/>
      <c r="BCB261" s="18"/>
      <c r="BCC261" s="18"/>
      <c r="BCD261" s="18"/>
      <c r="BCE261" s="18"/>
      <c r="BCF261" s="18"/>
      <c r="BCG261" s="18"/>
      <c r="BCH261" s="18"/>
      <c r="BCI261" s="18"/>
      <c r="BCJ261" s="18"/>
      <c r="BCK261" s="18"/>
      <c r="BCL261" s="18"/>
      <c r="BCM261" s="18"/>
      <c r="BCN261" s="18"/>
      <c r="BCO261" s="18"/>
      <c r="BCP261" s="18"/>
      <c r="BCQ261" s="18"/>
      <c r="BCR261" s="18"/>
      <c r="BCS261" s="18"/>
      <c r="BCT261" s="18"/>
      <c r="BCU261" s="18"/>
      <c r="BCV261" s="18"/>
      <c r="BCW261" s="18"/>
      <c r="BCX261" s="18"/>
      <c r="BCY261" s="18"/>
      <c r="BCZ261" s="18"/>
      <c r="BDA261" s="18"/>
      <c r="BDB261" s="18"/>
      <c r="BDC261" s="18"/>
      <c r="BDD261" s="18"/>
      <c r="BDE261" s="18"/>
      <c r="BDF261" s="18"/>
      <c r="BDG261" s="18"/>
      <c r="BDH261" s="18"/>
      <c r="BDI261" s="18"/>
      <c r="BDJ261" s="18"/>
      <c r="BDK261" s="18"/>
      <c r="BDL261" s="18"/>
      <c r="BDM261" s="18"/>
      <c r="BDN261" s="18"/>
      <c r="BDO261" s="18"/>
      <c r="BDP261" s="18"/>
      <c r="BDQ261" s="18"/>
      <c r="BDR261" s="18"/>
      <c r="BDS261" s="18"/>
      <c r="BDT261" s="18"/>
      <c r="BDU261" s="18"/>
      <c r="BDV261" s="18"/>
      <c r="BDW261" s="18"/>
      <c r="BDX261" s="18"/>
      <c r="BDY261" s="18"/>
      <c r="BDZ261" s="18"/>
      <c r="BEA261" s="18"/>
      <c r="BEB261" s="18"/>
      <c r="BEC261" s="18"/>
      <c r="BED261" s="18"/>
      <c r="BEE261" s="18"/>
      <c r="BEF261" s="18"/>
      <c r="BEG261" s="18"/>
      <c r="BEH261" s="18"/>
      <c r="BEI261" s="18"/>
      <c r="BEJ261" s="18"/>
      <c r="BEK261" s="18"/>
      <c r="BEL261" s="18"/>
      <c r="BEM261" s="18"/>
      <c r="BEN261" s="18"/>
      <c r="BEO261" s="18"/>
      <c r="BEP261" s="18"/>
      <c r="BEQ261" s="18"/>
      <c r="BER261" s="18"/>
      <c r="BES261" s="18"/>
      <c r="BET261" s="18"/>
      <c r="BEU261" s="18"/>
      <c r="BEV261" s="18"/>
      <c r="BEW261" s="18"/>
      <c r="BEX261" s="18"/>
      <c r="BEY261" s="18"/>
      <c r="BEZ261" s="18"/>
      <c r="BFA261" s="18"/>
      <c r="BFB261" s="18"/>
      <c r="BFC261" s="18"/>
      <c r="BFD261" s="18"/>
      <c r="BFE261" s="18"/>
      <c r="BFF261" s="18"/>
      <c r="BFG261" s="18"/>
      <c r="BFH261" s="18"/>
      <c r="BFI261" s="18"/>
      <c r="BFJ261" s="18"/>
      <c r="BFK261" s="18"/>
      <c r="BFL261" s="18"/>
      <c r="BFM261" s="18"/>
      <c r="BFN261" s="18"/>
      <c r="BFO261" s="18"/>
      <c r="BFP261" s="18"/>
      <c r="BFQ261" s="18"/>
      <c r="BFR261" s="18"/>
      <c r="BFS261" s="18"/>
      <c r="BFT261" s="18"/>
      <c r="BFU261" s="18"/>
      <c r="BFV261" s="18"/>
      <c r="BFW261" s="18"/>
      <c r="BFX261" s="18"/>
      <c r="BFY261" s="18"/>
      <c r="BFZ261" s="18"/>
      <c r="BGA261" s="18"/>
      <c r="BGB261" s="18"/>
      <c r="BGC261" s="18"/>
      <c r="BGD261" s="18"/>
      <c r="BGE261" s="18"/>
      <c r="BGF261" s="18"/>
      <c r="BGG261" s="18"/>
      <c r="BGH261" s="18"/>
      <c r="BGI261" s="18"/>
      <c r="BGJ261" s="18"/>
      <c r="BGK261" s="18"/>
      <c r="BGL261" s="18"/>
      <c r="BGM261" s="18"/>
      <c r="BGN261" s="18"/>
      <c r="BGO261" s="18"/>
      <c r="BGP261" s="18"/>
      <c r="BGQ261" s="18"/>
      <c r="BGR261" s="18"/>
      <c r="BGS261" s="18"/>
      <c r="BGT261" s="18"/>
      <c r="BGU261" s="18"/>
      <c r="BGV261" s="18"/>
      <c r="BGW261" s="18"/>
      <c r="BGX261" s="18"/>
      <c r="BGY261" s="18"/>
      <c r="BGZ261" s="18"/>
      <c r="BHA261" s="18"/>
      <c r="BHB261" s="18"/>
      <c r="BHC261" s="18"/>
      <c r="BHD261" s="18"/>
      <c r="BHE261" s="18"/>
      <c r="BHF261" s="18"/>
      <c r="BHG261" s="18"/>
      <c r="BHH261" s="18"/>
      <c r="BHI261" s="18"/>
      <c r="BHJ261" s="18"/>
      <c r="BHK261" s="18"/>
      <c r="BHL261" s="18"/>
      <c r="BHM261" s="18"/>
      <c r="BHN261" s="18"/>
      <c r="BHO261" s="18"/>
      <c r="BHP261" s="18"/>
      <c r="BHQ261" s="18"/>
      <c r="BHR261" s="18"/>
      <c r="BHS261" s="18"/>
      <c r="BHT261" s="18"/>
      <c r="BHU261" s="18"/>
      <c r="BHV261" s="18"/>
      <c r="BHW261" s="18"/>
      <c r="BHX261" s="18"/>
      <c r="BHY261" s="18"/>
      <c r="BHZ261" s="18"/>
      <c r="BIA261" s="18"/>
      <c r="BIB261" s="18"/>
      <c r="BIC261" s="18"/>
      <c r="BID261" s="18"/>
      <c r="BIE261" s="18"/>
      <c r="BIF261" s="18"/>
      <c r="BIG261" s="18"/>
      <c r="BIH261" s="18"/>
      <c r="BII261" s="18"/>
      <c r="BIJ261" s="18"/>
      <c r="BIK261" s="18"/>
      <c r="BIL261" s="18"/>
      <c r="BIM261" s="18"/>
      <c r="BIN261" s="18"/>
      <c r="BIO261" s="18"/>
      <c r="BIP261" s="18"/>
      <c r="BIQ261" s="18"/>
      <c r="BIR261" s="18"/>
      <c r="BIS261" s="18"/>
      <c r="BIT261" s="18"/>
      <c r="BIU261" s="18"/>
      <c r="BIV261" s="18"/>
      <c r="BIW261" s="18"/>
      <c r="BIX261" s="18"/>
      <c r="BIY261" s="18"/>
      <c r="BIZ261" s="18"/>
      <c r="BJA261" s="18"/>
      <c r="BJB261" s="18"/>
      <c r="BJC261" s="18"/>
      <c r="BJD261" s="18"/>
      <c r="BJE261" s="18"/>
      <c r="BJF261" s="18"/>
      <c r="BJG261" s="18"/>
      <c r="BJH261" s="18"/>
      <c r="BJI261" s="18"/>
      <c r="BJJ261" s="18"/>
      <c r="BJK261" s="18"/>
      <c r="BJL261" s="18"/>
      <c r="BJM261" s="18"/>
      <c r="BJN261" s="18"/>
      <c r="BJO261" s="18"/>
      <c r="BJP261" s="18"/>
      <c r="BJQ261" s="18"/>
      <c r="BJR261" s="18"/>
      <c r="BJS261" s="18"/>
      <c r="BJT261" s="18"/>
      <c r="BJU261" s="18"/>
      <c r="BJV261" s="18"/>
      <c r="BJW261" s="18"/>
      <c r="BJX261" s="18"/>
      <c r="BJY261" s="18"/>
      <c r="BJZ261" s="18"/>
      <c r="BKA261" s="18"/>
      <c r="BKB261" s="18"/>
      <c r="BKC261" s="18"/>
      <c r="BKD261" s="18"/>
      <c r="BKE261" s="18"/>
      <c r="BKF261" s="18"/>
      <c r="BKG261" s="18"/>
      <c r="BKH261" s="18"/>
      <c r="BKI261" s="18"/>
      <c r="BKJ261" s="18"/>
      <c r="BKK261" s="18"/>
      <c r="BKL261" s="18"/>
      <c r="BKM261" s="18"/>
      <c r="BKN261" s="18"/>
      <c r="BKO261" s="18"/>
      <c r="BKP261" s="18"/>
      <c r="BKQ261" s="18"/>
      <c r="BKR261" s="18"/>
      <c r="BKS261" s="18"/>
      <c r="BKT261" s="18"/>
      <c r="BKU261" s="18"/>
      <c r="BKV261" s="18"/>
      <c r="BKW261" s="18"/>
      <c r="BKX261" s="18"/>
      <c r="BKY261" s="18"/>
      <c r="BKZ261" s="18"/>
      <c r="BLA261" s="18"/>
      <c r="BLB261" s="18"/>
      <c r="BLC261" s="18"/>
      <c r="BLD261" s="18"/>
      <c r="BLE261" s="18"/>
      <c r="BLF261" s="18"/>
      <c r="BLG261" s="18"/>
      <c r="BLH261" s="18"/>
      <c r="BLI261" s="18"/>
      <c r="BLJ261" s="18"/>
      <c r="BLK261" s="18"/>
      <c r="BLL261" s="18"/>
      <c r="BLM261" s="18"/>
      <c r="BLN261" s="18"/>
      <c r="BLO261" s="18"/>
      <c r="BLP261" s="18"/>
      <c r="BLQ261" s="18"/>
      <c r="BLR261" s="18"/>
      <c r="BLS261" s="18"/>
      <c r="BLT261" s="18"/>
      <c r="BLU261" s="18"/>
      <c r="BLV261" s="18"/>
      <c r="BLW261" s="18"/>
      <c r="BLX261" s="18"/>
      <c r="BLY261" s="18"/>
      <c r="BLZ261" s="18"/>
      <c r="BMA261" s="18"/>
      <c r="BMB261" s="18"/>
      <c r="BMC261" s="18"/>
      <c r="BMD261" s="18"/>
      <c r="BME261" s="18"/>
      <c r="BMF261" s="18"/>
      <c r="BMG261" s="18"/>
      <c r="BMH261" s="18"/>
      <c r="BMI261" s="18"/>
      <c r="BMJ261" s="18"/>
      <c r="BMK261" s="18"/>
      <c r="BML261" s="18"/>
      <c r="BMM261" s="18"/>
      <c r="BMN261" s="18"/>
      <c r="BMO261" s="18"/>
      <c r="BMP261" s="18"/>
      <c r="BMQ261" s="18"/>
      <c r="BMR261" s="18"/>
      <c r="BMS261" s="18"/>
      <c r="BMT261" s="18"/>
      <c r="BMU261" s="18"/>
      <c r="BMV261" s="18"/>
      <c r="BMW261" s="18"/>
      <c r="BMX261" s="18"/>
      <c r="BMY261" s="18"/>
      <c r="BMZ261" s="18"/>
      <c r="BNA261" s="18"/>
      <c r="BNB261" s="18"/>
      <c r="BNC261" s="18"/>
      <c r="BND261" s="18"/>
      <c r="BNE261" s="18"/>
      <c r="BNF261" s="18"/>
      <c r="BNG261" s="18"/>
      <c r="BNH261" s="18"/>
      <c r="BNI261" s="18"/>
      <c r="BNJ261" s="18"/>
      <c r="BNK261" s="18"/>
      <c r="BNL261" s="18"/>
      <c r="BNM261" s="18"/>
      <c r="BNN261" s="18"/>
      <c r="BNO261" s="18"/>
      <c r="BNP261" s="18"/>
      <c r="BNQ261" s="18"/>
      <c r="BNR261" s="18"/>
      <c r="BNS261" s="18"/>
      <c r="BNT261" s="18"/>
      <c r="BNU261" s="18"/>
      <c r="BNV261" s="18"/>
      <c r="BNW261" s="18"/>
      <c r="BNX261" s="18"/>
      <c r="BNY261" s="18"/>
      <c r="BNZ261" s="18"/>
      <c r="BOA261" s="18"/>
      <c r="BOB261" s="18"/>
      <c r="BOC261" s="18"/>
      <c r="BOD261" s="18"/>
      <c r="BOE261" s="18"/>
      <c r="BOF261" s="18"/>
      <c r="BOG261" s="18"/>
      <c r="BOH261" s="18"/>
      <c r="BOI261" s="18"/>
      <c r="BOJ261" s="18"/>
      <c r="BOK261" s="18"/>
      <c r="BOL261" s="18"/>
      <c r="BOM261" s="18"/>
      <c r="BON261" s="18"/>
      <c r="BOO261" s="18"/>
      <c r="BOP261" s="18"/>
      <c r="BOQ261" s="18"/>
      <c r="BOR261" s="18"/>
      <c r="BOS261" s="18"/>
      <c r="BOT261" s="18"/>
      <c r="BOU261" s="18"/>
      <c r="BOV261" s="18"/>
      <c r="BOW261" s="18"/>
      <c r="BOX261" s="18"/>
      <c r="BOY261" s="18"/>
      <c r="BOZ261" s="18"/>
      <c r="BPA261" s="18"/>
      <c r="BPB261" s="18"/>
      <c r="BPC261" s="18"/>
      <c r="BPD261" s="18"/>
      <c r="BPE261" s="18"/>
      <c r="BPF261" s="18"/>
      <c r="BPG261" s="18"/>
      <c r="BPH261" s="18"/>
      <c r="BPI261" s="18"/>
      <c r="BPJ261" s="18"/>
      <c r="BPK261" s="18"/>
      <c r="BPL261" s="18"/>
      <c r="BPM261" s="18"/>
      <c r="BPN261" s="18"/>
      <c r="BPO261" s="18"/>
      <c r="BPP261" s="18"/>
      <c r="BPQ261" s="18"/>
      <c r="BPR261" s="18"/>
      <c r="BPS261" s="18"/>
      <c r="BPT261" s="18"/>
      <c r="BPU261" s="18"/>
      <c r="BPV261" s="18"/>
      <c r="BPW261" s="18"/>
      <c r="BPX261" s="18"/>
      <c r="BPY261" s="18"/>
      <c r="BPZ261" s="18"/>
      <c r="BQA261" s="18"/>
      <c r="BQB261" s="18"/>
      <c r="BQC261" s="18"/>
      <c r="BQD261" s="18"/>
      <c r="BQE261" s="18"/>
      <c r="BQF261" s="18"/>
      <c r="BQG261" s="18"/>
      <c r="BQH261" s="18"/>
      <c r="BQI261" s="18"/>
      <c r="BQJ261" s="18"/>
      <c r="BQK261" s="18"/>
      <c r="BQL261" s="18"/>
      <c r="BQM261" s="18"/>
      <c r="BQN261" s="18"/>
      <c r="BQO261" s="18"/>
      <c r="BQP261" s="18"/>
      <c r="BQQ261" s="18"/>
      <c r="BQR261" s="18"/>
      <c r="BQS261" s="18"/>
      <c r="BQT261" s="18"/>
      <c r="BQU261" s="18"/>
      <c r="BQV261" s="18"/>
      <c r="BQW261" s="18"/>
      <c r="BQX261" s="18"/>
      <c r="BQY261" s="18"/>
      <c r="BQZ261" s="18"/>
      <c r="BRA261" s="18"/>
      <c r="BRB261" s="18"/>
      <c r="BRC261" s="18"/>
      <c r="BRD261" s="18"/>
      <c r="BRE261" s="18"/>
      <c r="BRF261" s="18"/>
      <c r="BRG261" s="18"/>
      <c r="BRH261" s="18"/>
      <c r="BRI261" s="18"/>
      <c r="BRJ261" s="18"/>
      <c r="BRK261" s="18"/>
      <c r="BRL261" s="18"/>
      <c r="BRM261" s="18"/>
      <c r="BRN261" s="18"/>
      <c r="BRO261" s="18"/>
      <c r="BRP261" s="18"/>
      <c r="BRQ261" s="18"/>
      <c r="BRR261" s="18"/>
      <c r="BRS261" s="18"/>
      <c r="BRT261" s="18"/>
      <c r="BRU261" s="18"/>
      <c r="BRV261" s="18"/>
      <c r="BRW261" s="18"/>
      <c r="BRX261" s="18"/>
      <c r="BRY261" s="18"/>
      <c r="BRZ261" s="18"/>
      <c r="BSA261" s="18"/>
      <c r="BSB261" s="18"/>
      <c r="BSC261" s="18"/>
      <c r="BSD261" s="18"/>
      <c r="BSE261" s="18"/>
      <c r="BSF261" s="18"/>
      <c r="BSG261" s="18"/>
      <c r="BSH261" s="18"/>
      <c r="BSI261" s="18"/>
      <c r="BSJ261" s="18"/>
      <c r="BSK261" s="18"/>
      <c r="BSL261" s="18"/>
      <c r="BSM261" s="18"/>
      <c r="BSN261" s="18"/>
      <c r="BSO261" s="18"/>
      <c r="BSP261" s="18"/>
      <c r="BSQ261" s="18"/>
      <c r="BSR261" s="18"/>
      <c r="BSS261" s="18"/>
      <c r="BST261" s="18"/>
      <c r="BSU261" s="18"/>
      <c r="BSV261" s="18"/>
      <c r="BSW261" s="18"/>
      <c r="BSX261" s="18"/>
      <c r="BSY261" s="18"/>
      <c r="BSZ261" s="18"/>
      <c r="BTA261" s="18"/>
      <c r="BTB261" s="18"/>
      <c r="BTC261" s="18"/>
      <c r="BTD261" s="18"/>
      <c r="BTE261" s="18"/>
      <c r="BTF261" s="18"/>
      <c r="BTG261" s="18"/>
      <c r="BTH261" s="18"/>
      <c r="BTI261" s="18"/>
    </row>
    <row r="262" spans="1:1881" s="786" customFormat="1" ht="110.25" customHeight="1" x14ac:dyDescent="0.3">
      <c r="A262" s="124">
        <v>622</v>
      </c>
      <c r="B262" s="787" t="s">
        <v>606</v>
      </c>
      <c r="C262" s="124" t="s">
        <v>714</v>
      </c>
      <c r="D262" s="124" t="s">
        <v>1418</v>
      </c>
      <c r="E262" s="686" t="e">
        <f>HLOOKUP($D$2,'2020 Data(H)'!$C$1:$CR$399,282,FALSE)</f>
        <v>#N/A</v>
      </c>
      <c r="F262" s="296">
        <v>0</v>
      </c>
      <c r="G262" s="747"/>
      <c r="H262" s="17"/>
      <c r="I262" s="783"/>
      <c r="J262" s="18"/>
      <c r="K262" s="18"/>
      <c r="L262" s="18"/>
      <c r="M262" s="18"/>
      <c r="N262" s="298"/>
      <c r="O262" s="18"/>
      <c r="P262" s="18"/>
      <c r="Q262" s="18"/>
      <c r="R262" s="18"/>
      <c r="S262" s="18"/>
      <c r="T262" s="18"/>
      <c r="U262" s="18"/>
      <c r="V262" s="18"/>
      <c r="W262" s="18"/>
      <c r="X262" s="18"/>
      <c r="Y262" s="18"/>
      <c r="Z262" s="124"/>
      <c r="AA262" s="124"/>
      <c r="AB262" s="124"/>
      <c r="AC262" s="124"/>
      <c r="AD262" s="124"/>
      <c r="AE262" s="124"/>
      <c r="AF262" s="124"/>
      <c r="AG262" s="124"/>
      <c r="AH262" s="124"/>
      <c r="AI262" s="124"/>
      <c r="AJ262" s="124"/>
      <c r="AK262" s="124"/>
      <c r="AL262" s="124"/>
      <c r="AM262" s="124"/>
      <c r="AN262" s="124"/>
      <c r="AO262" s="124"/>
      <c r="AP262" s="124"/>
      <c r="AQ262" s="124"/>
      <c r="AR262" s="124"/>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c r="WZ262" s="18"/>
      <c r="XA262" s="18"/>
      <c r="XB262" s="18"/>
      <c r="XC262" s="18"/>
      <c r="XD262" s="18"/>
      <c r="XE262" s="18"/>
      <c r="XF262" s="18"/>
      <c r="XG262" s="18"/>
      <c r="XH262" s="18"/>
      <c r="XI262" s="18"/>
      <c r="XJ262" s="18"/>
      <c r="XK262" s="18"/>
      <c r="XL262" s="18"/>
      <c r="XM262" s="18"/>
      <c r="XN262" s="18"/>
      <c r="XO262" s="18"/>
      <c r="XP262" s="18"/>
      <c r="XQ262" s="18"/>
      <c r="XR262" s="18"/>
      <c r="XS262" s="18"/>
      <c r="XT262" s="18"/>
      <c r="XU262" s="18"/>
      <c r="XV262" s="18"/>
      <c r="XW262" s="18"/>
      <c r="XX262" s="18"/>
      <c r="XY262" s="18"/>
      <c r="XZ262" s="18"/>
      <c r="YA262" s="18"/>
      <c r="YB262" s="18"/>
      <c r="YC262" s="18"/>
      <c r="YD262" s="18"/>
      <c r="YE262" s="18"/>
      <c r="YF262" s="18"/>
      <c r="YG262" s="18"/>
      <c r="YH262" s="18"/>
      <c r="YI262" s="18"/>
      <c r="YJ262" s="18"/>
      <c r="YK262" s="18"/>
      <c r="YL262" s="18"/>
      <c r="YM262" s="18"/>
      <c r="YN262" s="18"/>
      <c r="YO262" s="18"/>
      <c r="YP262" s="18"/>
      <c r="YQ262" s="18"/>
      <c r="YR262" s="18"/>
      <c r="YS262" s="18"/>
      <c r="YT262" s="18"/>
      <c r="YU262" s="18"/>
      <c r="YV262" s="18"/>
      <c r="YW262" s="18"/>
      <c r="YX262" s="18"/>
      <c r="YY262" s="18"/>
      <c r="YZ262" s="18"/>
      <c r="ZA262" s="18"/>
      <c r="ZB262" s="18"/>
      <c r="ZC262" s="18"/>
      <c r="ZD262" s="18"/>
      <c r="ZE262" s="18"/>
      <c r="ZF262" s="18"/>
      <c r="ZG262" s="18"/>
      <c r="ZH262" s="18"/>
      <c r="ZI262" s="18"/>
      <c r="ZJ262" s="18"/>
      <c r="ZK262" s="18"/>
      <c r="ZL262" s="18"/>
      <c r="ZM262" s="18"/>
      <c r="ZN262" s="18"/>
      <c r="ZO262" s="18"/>
      <c r="ZP262" s="18"/>
      <c r="ZQ262" s="18"/>
      <c r="ZR262" s="18"/>
      <c r="ZS262" s="18"/>
      <c r="ZT262" s="18"/>
      <c r="ZU262" s="18"/>
      <c r="ZV262" s="18"/>
      <c r="ZW262" s="18"/>
      <c r="ZX262" s="18"/>
      <c r="ZY262" s="18"/>
      <c r="ZZ262" s="18"/>
      <c r="AAA262" s="18"/>
      <c r="AAB262" s="18"/>
      <c r="AAC262" s="18"/>
      <c r="AAD262" s="18"/>
      <c r="AAE262" s="18"/>
      <c r="AAF262" s="18"/>
      <c r="AAG262" s="18"/>
      <c r="AAH262" s="18"/>
      <c r="AAI262" s="18"/>
      <c r="AAJ262" s="18"/>
      <c r="AAK262" s="18"/>
      <c r="AAL262" s="18"/>
      <c r="AAM262" s="18"/>
      <c r="AAN262" s="18"/>
      <c r="AAO262" s="18"/>
      <c r="AAP262" s="18"/>
      <c r="AAQ262" s="18"/>
      <c r="AAR262" s="18"/>
      <c r="AAS262" s="18"/>
      <c r="AAT262" s="18"/>
      <c r="AAU262" s="18"/>
      <c r="AAV262" s="18"/>
      <c r="AAW262" s="18"/>
      <c r="AAX262" s="18"/>
      <c r="AAY262" s="18"/>
      <c r="AAZ262" s="18"/>
      <c r="ABA262" s="18"/>
      <c r="ABB262" s="18"/>
      <c r="ABC262" s="18"/>
      <c r="ABD262" s="18"/>
      <c r="ABE262" s="18"/>
      <c r="ABF262" s="18"/>
      <c r="ABG262" s="18"/>
      <c r="ABH262" s="18"/>
      <c r="ABI262" s="18"/>
      <c r="ABJ262" s="18"/>
      <c r="ABK262" s="18"/>
      <c r="ABL262" s="18"/>
      <c r="ABM262" s="18"/>
      <c r="ABN262" s="18"/>
      <c r="ABO262" s="18"/>
      <c r="ABP262" s="18"/>
      <c r="ABQ262" s="18"/>
      <c r="ABR262" s="18"/>
      <c r="ABS262" s="18"/>
      <c r="ABT262" s="18"/>
      <c r="ABU262" s="18"/>
      <c r="ABV262" s="18"/>
      <c r="ABW262" s="18"/>
      <c r="ABX262" s="18"/>
      <c r="ABY262" s="18"/>
      <c r="ABZ262" s="18"/>
      <c r="ACA262" s="18"/>
      <c r="ACB262" s="18"/>
      <c r="ACC262" s="18"/>
      <c r="ACD262" s="18"/>
      <c r="ACE262" s="18"/>
      <c r="ACF262" s="18"/>
      <c r="ACG262" s="18"/>
      <c r="ACH262" s="18"/>
      <c r="ACI262" s="18"/>
      <c r="ACJ262" s="18"/>
      <c r="ACK262" s="18"/>
      <c r="ACL262" s="18"/>
      <c r="ACM262" s="18"/>
      <c r="ACN262" s="18"/>
      <c r="ACO262" s="18"/>
      <c r="ACP262" s="18"/>
      <c r="ACQ262" s="18"/>
      <c r="ACR262" s="18"/>
      <c r="ACS262" s="18"/>
      <c r="ACT262" s="18"/>
      <c r="ACU262" s="18"/>
      <c r="ACV262" s="18"/>
      <c r="ACW262" s="18"/>
      <c r="ACX262" s="18"/>
      <c r="ACY262" s="18"/>
      <c r="ACZ262" s="18"/>
      <c r="ADA262" s="18"/>
      <c r="ADB262" s="18"/>
      <c r="ADC262" s="18"/>
      <c r="ADD262" s="18"/>
      <c r="ADE262" s="18"/>
      <c r="ADF262" s="18"/>
      <c r="ADG262" s="18"/>
      <c r="ADH262" s="18"/>
      <c r="ADI262" s="18"/>
      <c r="ADJ262" s="18"/>
      <c r="ADK262" s="18"/>
      <c r="ADL262" s="18"/>
      <c r="ADM262" s="18"/>
      <c r="ADN262" s="18"/>
      <c r="ADO262" s="18"/>
      <c r="ADP262" s="18"/>
      <c r="ADQ262" s="18"/>
      <c r="ADR262" s="18"/>
      <c r="ADS262" s="18"/>
      <c r="ADT262" s="18"/>
      <c r="ADU262" s="18"/>
      <c r="ADV262" s="18"/>
      <c r="ADW262" s="18"/>
      <c r="ADX262" s="18"/>
      <c r="ADY262" s="18"/>
      <c r="ADZ262" s="18"/>
      <c r="AEA262" s="18"/>
      <c r="AEB262" s="18"/>
      <c r="AEC262" s="18"/>
      <c r="AED262" s="18"/>
      <c r="AEE262" s="18"/>
      <c r="AEF262" s="18"/>
      <c r="AEG262" s="18"/>
      <c r="AEH262" s="18"/>
      <c r="AEI262" s="18"/>
      <c r="AEJ262" s="18"/>
      <c r="AEK262" s="18"/>
      <c r="AEL262" s="18"/>
      <c r="AEM262" s="18"/>
      <c r="AEN262" s="18"/>
      <c r="AEO262" s="18"/>
      <c r="AEP262" s="18"/>
      <c r="AEQ262" s="18"/>
      <c r="AER262" s="18"/>
      <c r="AES262" s="18"/>
      <c r="AET262" s="18"/>
      <c r="AEU262" s="18"/>
      <c r="AEV262" s="18"/>
      <c r="AEW262" s="18"/>
      <c r="AEX262" s="18"/>
      <c r="AEY262" s="18"/>
      <c r="AEZ262" s="18"/>
      <c r="AFA262" s="18"/>
      <c r="AFB262" s="18"/>
      <c r="AFC262" s="18"/>
      <c r="AFD262" s="18"/>
      <c r="AFE262" s="18"/>
      <c r="AFF262" s="18"/>
      <c r="AFG262" s="18"/>
      <c r="AFH262" s="18"/>
      <c r="AFI262" s="18"/>
      <c r="AFJ262" s="18"/>
      <c r="AFK262" s="18"/>
      <c r="AFL262" s="18"/>
      <c r="AFM262" s="18"/>
      <c r="AFN262" s="18"/>
      <c r="AFO262" s="18"/>
      <c r="AFP262" s="18"/>
      <c r="AFQ262" s="18"/>
      <c r="AFR262" s="18"/>
      <c r="AFS262" s="18"/>
      <c r="AFT262" s="18"/>
      <c r="AFU262" s="18"/>
      <c r="AFV262" s="18"/>
      <c r="AFW262" s="18"/>
      <c r="AFX262" s="18"/>
      <c r="AFY262" s="18"/>
      <c r="AFZ262" s="18"/>
      <c r="AGA262" s="18"/>
      <c r="AGB262" s="18"/>
      <c r="AGC262" s="18"/>
      <c r="AGD262" s="18"/>
      <c r="AGE262" s="18"/>
      <c r="AGF262" s="18"/>
      <c r="AGG262" s="18"/>
      <c r="AGH262" s="18"/>
      <c r="AGI262" s="18"/>
      <c r="AGJ262" s="18"/>
      <c r="AGK262" s="18"/>
      <c r="AGL262" s="18"/>
      <c r="AGM262" s="18"/>
      <c r="AGN262" s="18"/>
      <c r="AGO262" s="18"/>
      <c r="AGP262" s="18"/>
      <c r="AGQ262" s="18"/>
      <c r="AGR262" s="18"/>
      <c r="AGS262" s="18"/>
      <c r="AGT262" s="18"/>
      <c r="AGU262" s="18"/>
      <c r="AGV262" s="18"/>
      <c r="AGW262" s="18"/>
      <c r="AGX262" s="18"/>
      <c r="AGY262" s="18"/>
      <c r="AGZ262" s="18"/>
      <c r="AHA262" s="18"/>
      <c r="AHB262" s="18"/>
      <c r="AHC262" s="18"/>
      <c r="AHD262" s="18"/>
      <c r="AHE262" s="18"/>
      <c r="AHF262" s="18"/>
      <c r="AHG262" s="18"/>
      <c r="AHH262" s="18"/>
      <c r="AHI262" s="18"/>
      <c r="AHJ262" s="18"/>
      <c r="AHK262" s="18"/>
      <c r="AHL262" s="18"/>
      <c r="AHM262" s="18"/>
      <c r="AHN262" s="18"/>
      <c r="AHO262" s="18"/>
      <c r="AHP262" s="18"/>
      <c r="AHQ262" s="18"/>
      <c r="AHR262" s="18"/>
      <c r="AHS262" s="18"/>
      <c r="AHT262" s="18"/>
      <c r="AHU262" s="18"/>
      <c r="AHV262" s="18"/>
      <c r="AHW262" s="18"/>
      <c r="AHX262" s="18"/>
      <c r="AHY262" s="18"/>
      <c r="AHZ262" s="18"/>
      <c r="AIA262" s="18"/>
      <c r="AIB262" s="18"/>
      <c r="AIC262" s="18"/>
      <c r="AID262" s="18"/>
      <c r="AIE262" s="18"/>
      <c r="AIF262" s="18"/>
      <c r="AIG262" s="18"/>
      <c r="AIH262" s="18"/>
      <c r="AII262" s="18"/>
      <c r="AIJ262" s="18"/>
      <c r="AIK262" s="18"/>
      <c r="AIL262" s="18"/>
      <c r="AIM262" s="18"/>
      <c r="AIN262" s="18"/>
      <c r="AIO262" s="18"/>
      <c r="AIP262" s="18"/>
      <c r="AIQ262" s="18"/>
      <c r="AIR262" s="18"/>
      <c r="AIS262" s="18"/>
      <c r="AIT262" s="18"/>
      <c r="AIU262" s="18"/>
      <c r="AIV262" s="18"/>
      <c r="AIW262" s="18"/>
      <c r="AIX262" s="18"/>
      <c r="AIY262" s="18"/>
      <c r="AIZ262" s="18"/>
      <c r="AJA262" s="18"/>
      <c r="AJB262" s="18"/>
      <c r="AJC262" s="18"/>
      <c r="AJD262" s="18"/>
      <c r="AJE262" s="18"/>
      <c r="AJF262" s="18"/>
      <c r="AJG262" s="18"/>
      <c r="AJH262" s="18"/>
      <c r="AJI262" s="18"/>
      <c r="AJJ262" s="18"/>
      <c r="AJK262" s="18"/>
      <c r="AJL262" s="18"/>
      <c r="AJM262" s="18"/>
      <c r="AJN262" s="18"/>
      <c r="AJO262" s="18"/>
      <c r="AJP262" s="18"/>
      <c r="AJQ262" s="18"/>
      <c r="AJR262" s="18"/>
      <c r="AJS262" s="18"/>
      <c r="AJT262" s="18"/>
      <c r="AJU262" s="18"/>
      <c r="AJV262" s="18"/>
      <c r="AJW262" s="18"/>
      <c r="AJX262" s="18"/>
      <c r="AJY262" s="18"/>
      <c r="AJZ262" s="18"/>
      <c r="AKA262" s="18"/>
      <c r="AKB262" s="18"/>
      <c r="AKC262" s="18"/>
      <c r="AKD262" s="18"/>
      <c r="AKE262" s="18"/>
      <c r="AKF262" s="18"/>
      <c r="AKG262" s="18"/>
      <c r="AKH262" s="18"/>
      <c r="AKI262" s="18"/>
      <c r="AKJ262" s="18"/>
      <c r="AKK262" s="18"/>
      <c r="AKL262" s="18"/>
      <c r="AKM262" s="18"/>
      <c r="AKN262" s="18"/>
      <c r="AKO262" s="18"/>
      <c r="AKP262" s="18"/>
      <c r="AKQ262" s="18"/>
      <c r="AKR262" s="18"/>
      <c r="AKS262" s="18"/>
      <c r="AKT262" s="18"/>
      <c r="AKU262" s="18"/>
      <c r="AKV262" s="18"/>
      <c r="AKW262" s="18"/>
      <c r="AKX262" s="18"/>
      <c r="AKY262" s="18"/>
      <c r="AKZ262" s="18"/>
      <c r="ALA262" s="18"/>
      <c r="ALB262" s="18"/>
      <c r="ALC262" s="18"/>
      <c r="ALD262" s="18"/>
      <c r="ALE262" s="18"/>
      <c r="ALF262" s="18"/>
      <c r="ALG262" s="18"/>
      <c r="ALH262" s="18"/>
      <c r="ALI262" s="18"/>
      <c r="ALJ262" s="18"/>
      <c r="ALK262" s="18"/>
      <c r="ALL262" s="18"/>
      <c r="ALM262" s="18"/>
      <c r="ALN262" s="18"/>
      <c r="ALO262" s="18"/>
      <c r="ALP262" s="18"/>
      <c r="ALQ262" s="18"/>
      <c r="ALR262" s="18"/>
      <c r="ALS262" s="18"/>
      <c r="ALT262" s="18"/>
      <c r="ALU262" s="18"/>
      <c r="ALV262" s="18"/>
      <c r="ALW262" s="18"/>
      <c r="ALX262" s="18"/>
      <c r="ALY262" s="18"/>
      <c r="ALZ262" s="18"/>
      <c r="AMA262" s="18"/>
      <c r="AMB262" s="18"/>
      <c r="AMC262" s="18"/>
      <c r="AMD262" s="18"/>
      <c r="AME262" s="18"/>
      <c r="AMF262" s="18"/>
      <c r="AMG262" s="18"/>
      <c r="AMH262" s="18"/>
      <c r="AMI262" s="18"/>
      <c r="AMJ262" s="18"/>
      <c r="AMK262" s="18"/>
      <c r="AML262" s="18"/>
      <c r="AMM262" s="18"/>
      <c r="AMN262" s="18"/>
      <c r="AMO262" s="18"/>
      <c r="AMP262" s="18"/>
      <c r="AMQ262" s="18"/>
      <c r="AMR262" s="18"/>
      <c r="AMS262" s="18"/>
      <c r="AMT262" s="18"/>
      <c r="AMU262" s="18"/>
      <c r="AMV262" s="18"/>
      <c r="AMW262" s="18"/>
      <c r="AMX262" s="18"/>
      <c r="AMY262" s="18"/>
      <c r="AMZ262" s="18"/>
      <c r="ANA262" s="18"/>
      <c r="ANB262" s="18"/>
      <c r="ANC262" s="18"/>
      <c r="AND262" s="18"/>
      <c r="ANE262" s="18"/>
      <c r="ANF262" s="18"/>
      <c r="ANG262" s="18"/>
      <c r="ANH262" s="18"/>
      <c r="ANI262" s="18"/>
      <c r="ANJ262" s="18"/>
      <c r="ANK262" s="18"/>
      <c r="ANL262" s="18"/>
      <c r="ANM262" s="18"/>
      <c r="ANN262" s="18"/>
      <c r="ANO262" s="18"/>
      <c r="ANP262" s="18"/>
      <c r="ANQ262" s="18"/>
      <c r="ANR262" s="18"/>
      <c r="ANS262" s="18"/>
      <c r="ANT262" s="18"/>
      <c r="ANU262" s="18"/>
      <c r="ANV262" s="18"/>
      <c r="ANW262" s="18"/>
      <c r="ANX262" s="18"/>
      <c r="ANY262" s="18"/>
      <c r="ANZ262" s="18"/>
      <c r="AOA262" s="18"/>
      <c r="AOB262" s="18"/>
      <c r="AOC262" s="18"/>
      <c r="AOD262" s="18"/>
      <c r="AOE262" s="18"/>
      <c r="AOF262" s="18"/>
      <c r="AOG262" s="18"/>
      <c r="AOH262" s="18"/>
      <c r="AOI262" s="18"/>
      <c r="AOJ262" s="18"/>
      <c r="AOK262" s="18"/>
      <c r="AOL262" s="18"/>
      <c r="AOM262" s="18"/>
      <c r="AON262" s="18"/>
      <c r="AOO262" s="18"/>
      <c r="AOP262" s="18"/>
      <c r="AOQ262" s="18"/>
      <c r="AOR262" s="18"/>
      <c r="AOS262" s="18"/>
      <c r="AOT262" s="18"/>
      <c r="AOU262" s="18"/>
      <c r="AOV262" s="18"/>
      <c r="AOW262" s="18"/>
      <c r="AOX262" s="18"/>
      <c r="AOY262" s="18"/>
      <c r="AOZ262" s="18"/>
      <c r="APA262" s="18"/>
      <c r="APB262" s="18"/>
      <c r="APC262" s="18"/>
      <c r="APD262" s="18"/>
      <c r="APE262" s="18"/>
      <c r="APF262" s="18"/>
      <c r="APG262" s="18"/>
      <c r="APH262" s="18"/>
      <c r="API262" s="18"/>
      <c r="APJ262" s="18"/>
      <c r="APK262" s="18"/>
      <c r="APL262" s="18"/>
      <c r="APM262" s="18"/>
      <c r="APN262" s="18"/>
      <c r="APO262" s="18"/>
      <c r="APP262" s="18"/>
      <c r="APQ262" s="18"/>
      <c r="APR262" s="18"/>
      <c r="APS262" s="18"/>
      <c r="APT262" s="18"/>
      <c r="APU262" s="18"/>
      <c r="APV262" s="18"/>
      <c r="APW262" s="18"/>
      <c r="APX262" s="18"/>
      <c r="APY262" s="18"/>
      <c r="APZ262" s="18"/>
      <c r="AQA262" s="18"/>
      <c r="AQB262" s="18"/>
      <c r="AQC262" s="18"/>
      <c r="AQD262" s="18"/>
      <c r="AQE262" s="18"/>
      <c r="AQF262" s="18"/>
      <c r="AQG262" s="18"/>
      <c r="AQH262" s="18"/>
      <c r="AQI262" s="18"/>
      <c r="AQJ262" s="18"/>
      <c r="AQK262" s="18"/>
      <c r="AQL262" s="18"/>
      <c r="AQM262" s="18"/>
      <c r="AQN262" s="18"/>
      <c r="AQO262" s="18"/>
      <c r="AQP262" s="18"/>
      <c r="AQQ262" s="18"/>
      <c r="AQR262" s="18"/>
      <c r="AQS262" s="18"/>
      <c r="AQT262" s="18"/>
      <c r="AQU262" s="18"/>
      <c r="AQV262" s="18"/>
      <c r="AQW262" s="18"/>
      <c r="AQX262" s="18"/>
      <c r="AQY262" s="18"/>
      <c r="AQZ262" s="18"/>
      <c r="ARA262" s="18"/>
      <c r="ARB262" s="18"/>
      <c r="ARC262" s="18"/>
      <c r="ARD262" s="18"/>
      <c r="ARE262" s="18"/>
      <c r="ARF262" s="18"/>
      <c r="ARG262" s="18"/>
      <c r="ARH262" s="18"/>
      <c r="ARI262" s="18"/>
      <c r="ARJ262" s="18"/>
      <c r="ARK262" s="18"/>
      <c r="ARL262" s="18"/>
      <c r="ARM262" s="18"/>
      <c r="ARN262" s="18"/>
      <c r="ARO262" s="18"/>
      <c r="ARP262" s="18"/>
      <c r="ARQ262" s="18"/>
      <c r="ARR262" s="18"/>
      <c r="ARS262" s="18"/>
      <c r="ART262" s="18"/>
      <c r="ARU262" s="18"/>
      <c r="ARV262" s="18"/>
      <c r="ARW262" s="18"/>
      <c r="ARX262" s="18"/>
      <c r="ARY262" s="18"/>
      <c r="ARZ262" s="18"/>
      <c r="ASA262" s="18"/>
      <c r="ASB262" s="18"/>
      <c r="ASC262" s="18"/>
      <c r="ASD262" s="18"/>
      <c r="ASE262" s="18"/>
      <c r="ASF262" s="18"/>
      <c r="ASG262" s="18"/>
      <c r="ASH262" s="18"/>
      <c r="ASI262" s="18"/>
      <c r="ASJ262" s="18"/>
      <c r="ASK262" s="18"/>
      <c r="ASL262" s="18"/>
      <c r="ASM262" s="18"/>
      <c r="ASN262" s="18"/>
      <c r="ASO262" s="18"/>
      <c r="ASP262" s="18"/>
      <c r="ASQ262" s="18"/>
      <c r="ASR262" s="18"/>
      <c r="ASS262" s="18"/>
      <c r="AST262" s="18"/>
      <c r="ASU262" s="18"/>
      <c r="ASV262" s="18"/>
      <c r="ASW262" s="18"/>
      <c r="ASX262" s="18"/>
      <c r="ASY262" s="18"/>
      <c r="ASZ262" s="18"/>
      <c r="ATA262" s="18"/>
      <c r="ATB262" s="18"/>
      <c r="ATC262" s="18"/>
      <c r="ATD262" s="18"/>
      <c r="ATE262" s="18"/>
      <c r="ATF262" s="18"/>
      <c r="ATG262" s="18"/>
      <c r="ATH262" s="18"/>
      <c r="ATI262" s="18"/>
      <c r="ATJ262" s="18"/>
      <c r="ATK262" s="18"/>
      <c r="ATL262" s="18"/>
      <c r="ATM262" s="18"/>
      <c r="ATN262" s="18"/>
      <c r="ATO262" s="18"/>
      <c r="ATP262" s="18"/>
      <c r="ATQ262" s="18"/>
      <c r="ATR262" s="18"/>
      <c r="ATS262" s="18"/>
      <c r="ATT262" s="18"/>
      <c r="ATU262" s="18"/>
      <c r="ATV262" s="18"/>
      <c r="ATW262" s="18"/>
      <c r="ATX262" s="18"/>
      <c r="ATY262" s="18"/>
      <c r="ATZ262" s="18"/>
      <c r="AUA262" s="18"/>
      <c r="AUB262" s="18"/>
      <c r="AUC262" s="18"/>
      <c r="AUD262" s="18"/>
      <c r="AUE262" s="18"/>
      <c r="AUF262" s="18"/>
      <c r="AUG262" s="18"/>
      <c r="AUH262" s="18"/>
      <c r="AUI262" s="18"/>
      <c r="AUJ262" s="18"/>
      <c r="AUK262" s="18"/>
      <c r="AUL262" s="18"/>
      <c r="AUM262" s="18"/>
      <c r="AUN262" s="18"/>
      <c r="AUO262" s="18"/>
      <c r="AUP262" s="18"/>
      <c r="AUQ262" s="18"/>
      <c r="AUR262" s="18"/>
      <c r="AUS262" s="18"/>
      <c r="AUT262" s="18"/>
      <c r="AUU262" s="18"/>
      <c r="AUV262" s="18"/>
      <c r="AUW262" s="18"/>
      <c r="AUX262" s="18"/>
      <c r="AUY262" s="18"/>
      <c r="AUZ262" s="18"/>
      <c r="AVA262" s="18"/>
      <c r="AVB262" s="18"/>
      <c r="AVC262" s="18"/>
      <c r="AVD262" s="18"/>
      <c r="AVE262" s="18"/>
      <c r="AVF262" s="18"/>
      <c r="AVG262" s="18"/>
      <c r="AVH262" s="18"/>
      <c r="AVI262" s="18"/>
      <c r="AVJ262" s="18"/>
      <c r="AVK262" s="18"/>
      <c r="AVL262" s="18"/>
      <c r="AVM262" s="18"/>
      <c r="AVN262" s="18"/>
      <c r="AVO262" s="18"/>
      <c r="AVP262" s="18"/>
      <c r="AVQ262" s="18"/>
      <c r="AVR262" s="18"/>
      <c r="AVS262" s="18"/>
      <c r="AVT262" s="18"/>
      <c r="AVU262" s="18"/>
      <c r="AVV262" s="18"/>
      <c r="AVW262" s="18"/>
      <c r="AVX262" s="18"/>
      <c r="AVY262" s="18"/>
      <c r="AVZ262" s="18"/>
      <c r="AWA262" s="18"/>
      <c r="AWB262" s="18"/>
      <c r="AWC262" s="18"/>
      <c r="AWD262" s="18"/>
      <c r="AWE262" s="18"/>
      <c r="AWF262" s="18"/>
      <c r="AWG262" s="18"/>
      <c r="AWH262" s="18"/>
      <c r="AWI262" s="18"/>
      <c r="AWJ262" s="18"/>
      <c r="AWK262" s="18"/>
      <c r="AWL262" s="18"/>
      <c r="AWM262" s="18"/>
      <c r="AWN262" s="18"/>
      <c r="AWO262" s="18"/>
      <c r="AWP262" s="18"/>
      <c r="AWQ262" s="18"/>
      <c r="AWR262" s="18"/>
      <c r="AWS262" s="18"/>
      <c r="AWT262" s="18"/>
      <c r="AWU262" s="18"/>
      <c r="AWV262" s="18"/>
      <c r="AWW262" s="18"/>
      <c r="AWX262" s="18"/>
      <c r="AWY262" s="18"/>
      <c r="AWZ262" s="18"/>
      <c r="AXA262" s="18"/>
      <c r="AXB262" s="18"/>
      <c r="AXC262" s="18"/>
      <c r="AXD262" s="18"/>
      <c r="AXE262" s="18"/>
      <c r="AXF262" s="18"/>
      <c r="AXG262" s="18"/>
      <c r="AXH262" s="18"/>
      <c r="AXI262" s="18"/>
      <c r="AXJ262" s="18"/>
      <c r="AXK262" s="18"/>
      <c r="AXL262" s="18"/>
      <c r="AXM262" s="18"/>
      <c r="AXN262" s="18"/>
      <c r="AXO262" s="18"/>
      <c r="AXP262" s="18"/>
      <c r="AXQ262" s="18"/>
      <c r="AXR262" s="18"/>
      <c r="AXS262" s="18"/>
      <c r="AXT262" s="18"/>
      <c r="AXU262" s="18"/>
      <c r="AXV262" s="18"/>
      <c r="AXW262" s="18"/>
      <c r="AXX262" s="18"/>
      <c r="AXY262" s="18"/>
      <c r="AXZ262" s="18"/>
      <c r="AYA262" s="18"/>
      <c r="AYB262" s="18"/>
      <c r="AYC262" s="18"/>
      <c r="AYD262" s="18"/>
      <c r="AYE262" s="18"/>
      <c r="AYF262" s="18"/>
      <c r="AYG262" s="18"/>
      <c r="AYH262" s="18"/>
      <c r="AYI262" s="18"/>
      <c r="AYJ262" s="18"/>
      <c r="AYK262" s="18"/>
      <c r="AYL262" s="18"/>
      <c r="AYM262" s="18"/>
      <c r="AYN262" s="18"/>
      <c r="AYO262" s="18"/>
      <c r="AYP262" s="18"/>
      <c r="AYQ262" s="18"/>
      <c r="AYR262" s="18"/>
      <c r="AYS262" s="18"/>
      <c r="AYT262" s="18"/>
      <c r="AYU262" s="18"/>
      <c r="AYV262" s="18"/>
      <c r="AYW262" s="18"/>
      <c r="AYX262" s="18"/>
      <c r="AYY262" s="18"/>
      <c r="AYZ262" s="18"/>
      <c r="AZA262" s="18"/>
      <c r="AZB262" s="18"/>
      <c r="AZC262" s="18"/>
      <c r="AZD262" s="18"/>
      <c r="AZE262" s="18"/>
      <c r="AZF262" s="18"/>
      <c r="AZG262" s="18"/>
      <c r="AZH262" s="18"/>
      <c r="AZI262" s="18"/>
      <c r="AZJ262" s="18"/>
      <c r="AZK262" s="18"/>
      <c r="AZL262" s="18"/>
      <c r="AZM262" s="18"/>
      <c r="AZN262" s="18"/>
      <c r="AZO262" s="18"/>
      <c r="AZP262" s="18"/>
      <c r="AZQ262" s="18"/>
      <c r="AZR262" s="18"/>
      <c r="AZS262" s="18"/>
      <c r="AZT262" s="18"/>
      <c r="AZU262" s="18"/>
      <c r="AZV262" s="18"/>
      <c r="AZW262" s="18"/>
      <c r="AZX262" s="18"/>
      <c r="AZY262" s="18"/>
      <c r="AZZ262" s="18"/>
      <c r="BAA262" s="18"/>
      <c r="BAB262" s="18"/>
      <c r="BAC262" s="18"/>
      <c r="BAD262" s="18"/>
      <c r="BAE262" s="18"/>
      <c r="BAF262" s="18"/>
      <c r="BAG262" s="18"/>
      <c r="BAH262" s="18"/>
      <c r="BAI262" s="18"/>
      <c r="BAJ262" s="18"/>
      <c r="BAK262" s="18"/>
      <c r="BAL262" s="18"/>
      <c r="BAM262" s="18"/>
      <c r="BAN262" s="18"/>
      <c r="BAO262" s="18"/>
      <c r="BAP262" s="18"/>
      <c r="BAQ262" s="18"/>
      <c r="BAR262" s="18"/>
      <c r="BAS262" s="18"/>
      <c r="BAT262" s="18"/>
      <c r="BAU262" s="18"/>
      <c r="BAV262" s="18"/>
      <c r="BAW262" s="18"/>
      <c r="BAX262" s="18"/>
      <c r="BAY262" s="18"/>
      <c r="BAZ262" s="18"/>
      <c r="BBA262" s="18"/>
      <c r="BBB262" s="18"/>
      <c r="BBC262" s="18"/>
      <c r="BBD262" s="18"/>
      <c r="BBE262" s="18"/>
      <c r="BBF262" s="18"/>
      <c r="BBG262" s="18"/>
      <c r="BBH262" s="18"/>
      <c r="BBI262" s="18"/>
      <c r="BBJ262" s="18"/>
      <c r="BBK262" s="18"/>
      <c r="BBL262" s="18"/>
      <c r="BBM262" s="18"/>
      <c r="BBN262" s="18"/>
      <c r="BBO262" s="18"/>
      <c r="BBP262" s="18"/>
      <c r="BBQ262" s="18"/>
      <c r="BBR262" s="18"/>
      <c r="BBS262" s="18"/>
      <c r="BBT262" s="18"/>
      <c r="BBU262" s="18"/>
      <c r="BBV262" s="18"/>
      <c r="BBW262" s="18"/>
      <c r="BBX262" s="18"/>
      <c r="BBY262" s="18"/>
      <c r="BBZ262" s="18"/>
      <c r="BCA262" s="18"/>
      <c r="BCB262" s="18"/>
      <c r="BCC262" s="18"/>
      <c r="BCD262" s="18"/>
      <c r="BCE262" s="18"/>
      <c r="BCF262" s="18"/>
      <c r="BCG262" s="18"/>
      <c r="BCH262" s="18"/>
      <c r="BCI262" s="18"/>
      <c r="BCJ262" s="18"/>
      <c r="BCK262" s="18"/>
      <c r="BCL262" s="18"/>
      <c r="BCM262" s="18"/>
      <c r="BCN262" s="18"/>
      <c r="BCO262" s="18"/>
      <c r="BCP262" s="18"/>
      <c r="BCQ262" s="18"/>
      <c r="BCR262" s="18"/>
      <c r="BCS262" s="18"/>
      <c r="BCT262" s="18"/>
      <c r="BCU262" s="18"/>
      <c r="BCV262" s="18"/>
      <c r="BCW262" s="18"/>
      <c r="BCX262" s="18"/>
      <c r="BCY262" s="18"/>
      <c r="BCZ262" s="18"/>
      <c r="BDA262" s="18"/>
      <c r="BDB262" s="18"/>
      <c r="BDC262" s="18"/>
      <c r="BDD262" s="18"/>
      <c r="BDE262" s="18"/>
      <c r="BDF262" s="18"/>
      <c r="BDG262" s="18"/>
      <c r="BDH262" s="18"/>
      <c r="BDI262" s="18"/>
      <c r="BDJ262" s="18"/>
      <c r="BDK262" s="18"/>
      <c r="BDL262" s="18"/>
      <c r="BDM262" s="18"/>
      <c r="BDN262" s="18"/>
      <c r="BDO262" s="18"/>
      <c r="BDP262" s="18"/>
      <c r="BDQ262" s="18"/>
      <c r="BDR262" s="18"/>
      <c r="BDS262" s="18"/>
      <c r="BDT262" s="18"/>
      <c r="BDU262" s="18"/>
      <c r="BDV262" s="18"/>
      <c r="BDW262" s="18"/>
      <c r="BDX262" s="18"/>
      <c r="BDY262" s="18"/>
      <c r="BDZ262" s="18"/>
      <c r="BEA262" s="18"/>
      <c r="BEB262" s="18"/>
      <c r="BEC262" s="18"/>
      <c r="BED262" s="18"/>
      <c r="BEE262" s="18"/>
      <c r="BEF262" s="18"/>
      <c r="BEG262" s="18"/>
      <c r="BEH262" s="18"/>
      <c r="BEI262" s="18"/>
      <c r="BEJ262" s="18"/>
      <c r="BEK262" s="18"/>
      <c r="BEL262" s="18"/>
      <c r="BEM262" s="18"/>
      <c r="BEN262" s="18"/>
      <c r="BEO262" s="18"/>
      <c r="BEP262" s="18"/>
      <c r="BEQ262" s="18"/>
      <c r="BER262" s="18"/>
      <c r="BES262" s="18"/>
      <c r="BET262" s="18"/>
      <c r="BEU262" s="18"/>
      <c r="BEV262" s="18"/>
      <c r="BEW262" s="18"/>
      <c r="BEX262" s="18"/>
      <c r="BEY262" s="18"/>
      <c r="BEZ262" s="18"/>
      <c r="BFA262" s="18"/>
      <c r="BFB262" s="18"/>
      <c r="BFC262" s="18"/>
      <c r="BFD262" s="18"/>
      <c r="BFE262" s="18"/>
      <c r="BFF262" s="18"/>
      <c r="BFG262" s="18"/>
      <c r="BFH262" s="18"/>
      <c r="BFI262" s="18"/>
      <c r="BFJ262" s="18"/>
      <c r="BFK262" s="18"/>
      <c r="BFL262" s="18"/>
      <c r="BFM262" s="18"/>
      <c r="BFN262" s="18"/>
      <c r="BFO262" s="18"/>
      <c r="BFP262" s="18"/>
      <c r="BFQ262" s="18"/>
      <c r="BFR262" s="18"/>
      <c r="BFS262" s="18"/>
      <c r="BFT262" s="18"/>
      <c r="BFU262" s="18"/>
      <c r="BFV262" s="18"/>
      <c r="BFW262" s="18"/>
      <c r="BFX262" s="18"/>
      <c r="BFY262" s="18"/>
      <c r="BFZ262" s="18"/>
      <c r="BGA262" s="18"/>
      <c r="BGB262" s="18"/>
      <c r="BGC262" s="18"/>
      <c r="BGD262" s="18"/>
      <c r="BGE262" s="18"/>
      <c r="BGF262" s="18"/>
      <c r="BGG262" s="18"/>
      <c r="BGH262" s="18"/>
      <c r="BGI262" s="18"/>
      <c r="BGJ262" s="18"/>
      <c r="BGK262" s="18"/>
      <c r="BGL262" s="18"/>
      <c r="BGM262" s="18"/>
      <c r="BGN262" s="18"/>
      <c r="BGO262" s="18"/>
      <c r="BGP262" s="18"/>
      <c r="BGQ262" s="18"/>
      <c r="BGR262" s="18"/>
      <c r="BGS262" s="18"/>
      <c r="BGT262" s="18"/>
      <c r="BGU262" s="18"/>
      <c r="BGV262" s="18"/>
      <c r="BGW262" s="18"/>
      <c r="BGX262" s="18"/>
      <c r="BGY262" s="18"/>
      <c r="BGZ262" s="18"/>
      <c r="BHA262" s="18"/>
      <c r="BHB262" s="18"/>
      <c r="BHC262" s="18"/>
      <c r="BHD262" s="18"/>
      <c r="BHE262" s="18"/>
      <c r="BHF262" s="18"/>
      <c r="BHG262" s="18"/>
      <c r="BHH262" s="18"/>
      <c r="BHI262" s="18"/>
      <c r="BHJ262" s="18"/>
      <c r="BHK262" s="18"/>
      <c r="BHL262" s="18"/>
      <c r="BHM262" s="18"/>
      <c r="BHN262" s="18"/>
      <c r="BHO262" s="18"/>
      <c r="BHP262" s="18"/>
      <c r="BHQ262" s="18"/>
      <c r="BHR262" s="18"/>
      <c r="BHS262" s="18"/>
      <c r="BHT262" s="18"/>
      <c r="BHU262" s="18"/>
      <c r="BHV262" s="18"/>
      <c r="BHW262" s="18"/>
      <c r="BHX262" s="18"/>
      <c r="BHY262" s="18"/>
      <c r="BHZ262" s="18"/>
      <c r="BIA262" s="18"/>
      <c r="BIB262" s="18"/>
      <c r="BIC262" s="18"/>
      <c r="BID262" s="18"/>
      <c r="BIE262" s="18"/>
      <c r="BIF262" s="18"/>
      <c r="BIG262" s="18"/>
      <c r="BIH262" s="18"/>
      <c r="BII262" s="18"/>
      <c r="BIJ262" s="18"/>
      <c r="BIK262" s="18"/>
      <c r="BIL262" s="18"/>
      <c r="BIM262" s="18"/>
      <c r="BIN262" s="18"/>
      <c r="BIO262" s="18"/>
      <c r="BIP262" s="18"/>
      <c r="BIQ262" s="18"/>
      <c r="BIR262" s="18"/>
      <c r="BIS262" s="18"/>
      <c r="BIT262" s="18"/>
      <c r="BIU262" s="18"/>
      <c r="BIV262" s="18"/>
      <c r="BIW262" s="18"/>
      <c r="BIX262" s="18"/>
      <c r="BIY262" s="18"/>
      <c r="BIZ262" s="18"/>
      <c r="BJA262" s="18"/>
      <c r="BJB262" s="18"/>
      <c r="BJC262" s="18"/>
      <c r="BJD262" s="18"/>
      <c r="BJE262" s="18"/>
      <c r="BJF262" s="18"/>
      <c r="BJG262" s="18"/>
      <c r="BJH262" s="18"/>
      <c r="BJI262" s="18"/>
      <c r="BJJ262" s="18"/>
      <c r="BJK262" s="18"/>
      <c r="BJL262" s="18"/>
      <c r="BJM262" s="18"/>
      <c r="BJN262" s="18"/>
      <c r="BJO262" s="18"/>
      <c r="BJP262" s="18"/>
      <c r="BJQ262" s="18"/>
      <c r="BJR262" s="18"/>
      <c r="BJS262" s="18"/>
      <c r="BJT262" s="18"/>
      <c r="BJU262" s="18"/>
      <c r="BJV262" s="18"/>
      <c r="BJW262" s="18"/>
      <c r="BJX262" s="18"/>
      <c r="BJY262" s="18"/>
      <c r="BJZ262" s="18"/>
      <c r="BKA262" s="18"/>
      <c r="BKB262" s="18"/>
      <c r="BKC262" s="18"/>
      <c r="BKD262" s="18"/>
      <c r="BKE262" s="18"/>
      <c r="BKF262" s="18"/>
      <c r="BKG262" s="18"/>
      <c r="BKH262" s="18"/>
      <c r="BKI262" s="18"/>
      <c r="BKJ262" s="18"/>
      <c r="BKK262" s="18"/>
      <c r="BKL262" s="18"/>
      <c r="BKM262" s="18"/>
      <c r="BKN262" s="18"/>
      <c r="BKO262" s="18"/>
      <c r="BKP262" s="18"/>
      <c r="BKQ262" s="18"/>
      <c r="BKR262" s="18"/>
      <c r="BKS262" s="18"/>
      <c r="BKT262" s="18"/>
      <c r="BKU262" s="18"/>
      <c r="BKV262" s="18"/>
      <c r="BKW262" s="18"/>
      <c r="BKX262" s="18"/>
      <c r="BKY262" s="18"/>
      <c r="BKZ262" s="18"/>
      <c r="BLA262" s="18"/>
      <c r="BLB262" s="18"/>
      <c r="BLC262" s="18"/>
      <c r="BLD262" s="18"/>
      <c r="BLE262" s="18"/>
      <c r="BLF262" s="18"/>
      <c r="BLG262" s="18"/>
      <c r="BLH262" s="18"/>
      <c r="BLI262" s="18"/>
      <c r="BLJ262" s="18"/>
      <c r="BLK262" s="18"/>
      <c r="BLL262" s="18"/>
      <c r="BLM262" s="18"/>
      <c r="BLN262" s="18"/>
      <c r="BLO262" s="18"/>
      <c r="BLP262" s="18"/>
      <c r="BLQ262" s="18"/>
      <c r="BLR262" s="18"/>
      <c r="BLS262" s="18"/>
      <c r="BLT262" s="18"/>
      <c r="BLU262" s="18"/>
      <c r="BLV262" s="18"/>
      <c r="BLW262" s="18"/>
      <c r="BLX262" s="18"/>
      <c r="BLY262" s="18"/>
      <c r="BLZ262" s="18"/>
      <c r="BMA262" s="18"/>
      <c r="BMB262" s="18"/>
      <c r="BMC262" s="18"/>
      <c r="BMD262" s="18"/>
      <c r="BME262" s="18"/>
      <c r="BMF262" s="18"/>
      <c r="BMG262" s="18"/>
      <c r="BMH262" s="18"/>
      <c r="BMI262" s="18"/>
      <c r="BMJ262" s="18"/>
      <c r="BMK262" s="18"/>
      <c r="BML262" s="18"/>
      <c r="BMM262" s="18"/>
      <c r="BMN262" s="18"/>
      <c r="BMO262" s="18"/>
      <c r="BMP262" s="18"/>
      <c r="BMQ262" s="18"/>
      <c r="BMR262" s="18"/>
      <c r="BMS262" s="18"/>
      <c r="BMT262" s="18"/>
      <c r="BMU262" s="18"/>
      <c r="BMV262" s="18"/>
      <c r="BMW262" s="18"/>
      <c r="BMX262" s="18"/>
      <c r="BMY262" s="18"/>
      <c r="BMZ262" s="18"/>
      <c r="BNA262" s="18"/>
      <c r="BNB262" s="18"/>
      <c r="BNC262" s="18"/>
      <c r="BND262" s="18"/>
      <c r="BNE262" s="18"/>
      <c r="BNF262" s="18"/>
      <c r="BNG262" s="18"/>
      <c r="BNH262" s="18"/>
      <c r="BNI262" s="18"/>
      <c r="BNJ262" s="18"/>
      <c r="BNK262" s="18"/>
      <c r="BNL262" s="18"/>
      <c r="BNM262" s="18"/>
      <c r="BNN262" s="18"/>
      <c r="BNO262" s="18"/>
      <c r="BNP262" s="18"/>
      <c r="BNQ262" s="18"/>
      <c r="BNR262" s="18"/>
      <c r="BNS262" s="18"/>
      <c r="BNT262" s="18"/>
      <c r="BNU262" s="18"/>
      <c r="BNV262" s="18"/>
      <c r="BNW262" s="18"/>
      <c r="BNX262" s="18"/>
      <c r="BNY262" s="18"/>
      <c r="BNZ262" s="18"/>
      <c r="BOA262" s="18"/>
      <c r="BOB262" s="18"/>
      <c r="BOC262" s="18"/>
      <c r="BOD262" s="18"/>
      <c r="BOE262" s="18"/>
      <c r="BOF262" s="18"/>
      <c r="BOG262" s="18"/>
      <c r="BOH262" s="18"/>
      <c r="BOI262" s="18"/>
      <c r="BOJ262" s="18"/>
      <c r="BOK262" s="18"/>
      <c r="BOL262" s="18"/>
      <c r="BOM262" s="18"/>
      <c r="BON262" s="18"/>
      <c r="BOO262" s="18"/>
      <c r="BOP262" s="18"/>
      <c r="BOQ262" s="18"/>
      <c r="BOR262" s="18"/>
      <c r="BOS262" s="18"/>
      <c r="BOT262" s="18"/>
      <c r="BOU262" s="18"/>
      <c r="BOV262" s="18"/>
      <c r="BOW262" s="18"/>
      <c r="BOX262" s="18"/>
      <c r="BOY262" s="18"/>
      <c r="BOZ262" s="18"/>
      <c r="BPA262" s="18"/>
      <c r="BPB262" s="18"/>
      <c r="BPC262" s="18"/>
      <c r="BPD262" s="18"/>
      <c r="BPE262" s="18"/>
      <c r="BPF262" s="18"/>
      <c r="BPG262" s="18"/>
      <c r="BPH262" s="18"/>
      <c r="BPI262" s="18"/>
      <c r="BPJ262" s="18"/>
      <c r="BPK262" s="18"/>
      <c r="BPL262" s="18"/>
      <c r="BPM262" s="18"/>
      <c r="BPN262" s="18"/>
      <c r="BPO262" s="18"/>
      <c r="BPP262" s="18"/>
      <c r="BPQ262" s="18"/>
      <c r="BPR262" s="18"/>
      <c r="BPS262" s="18"/>
      <c r="BPT262" s="18"/>
      <c r="BPU262" s="18"/>
      <c r="BPV262" s="18"/>
      <c r="BPW262" s="18"/>
      <c r="BPX262" s="18"/>
      <c r="BPY262" s="18"/>
      <c r="BPZ262" s="18"/>
      <c r="BQA262" s="18"/>
      <c r="BQB262" s="18"/>
      <c r="BQC262" s="18"/>
      <c r="BQD262" s="18"/>
      <c r="BQE262" s="18"/>
      <c r="BQF262" s="18"/>
      <c r="BQG262" s="18"/>
      <c r="BQH262" s="18"/>
      <c r="BQI262" s="18"/>
      <c r="BQJ262" s="18"/>
      <c r="BQK262" s="18"/>
      <c r="BQL262" s="18"/>
      <c r="BQM262" s="18"/>
      <c r="BQN262" s="18"/>
      <c r="BQO262" s="18"/>
      <c r="BQP262" s="18"/>
      <c r="BQQ262" s="18"/>
      <c r="BQR262" s="18"/>
      <c r="BQS262" s="18"/>
      <c r="BQT262" s="18"/>
      <c r="BQU262" s="18"/>
      <c r="BQV262" s="18"/>
      <c r="BQW262" s="18"/>
      <c r="BQX262" s="18"/>
      <c r="BQY262" s="18"/>
      <c r="BQZ262" s="18"/>
      <c r="BRA262" s="18"/>
      <c r="BRB262" s="18"/>
      <c r="BRC262" s="18"/>
      <c r="BRD262" s="18"/>
      <c r="BRE262" s="18"/>
      <c r="BRF262" s="18"/>
      <c r="BRG262" s="18"/>
      <c r="BRH262" s="18"/>
      <c r="BRI262" s="18"/>
      <c r="BRJ262" s="18"/>
      <c r="BRK262" s="18"/>
      <c r="BRL262" s="18"/>
      <c r="BRM262" s="18"/>
      <c r="BRN262" s="18"/>
      <c r="BRO262" s="18"/>
      <c r="BRP262" s="18"/>
      <c r="BRQ262" s="18"/>
      <c r="BRR262" s="18"/>
      <c r="BRS262" s="18"/>
      <c r="BRT262" s="18"/>
      <c r="BRU262" s="18"/>
      <c r="BRV262" s="18"/>
      <c r="BRW262" s="18"/>
      <c r="BRX262" s="18"/>
      <c r="BRY262" s="18"/>
      <c r="BRZ262" s="18"/>
      <c r="BSA262" s="18"/>
      <c r="BSB262" s="18"/>
      <c r="BSC262" s="18"/>
      <c r="BSD262" s="18"/>
      <c r="BSE262" s="18"/>
      <c r="BSF262" s="18"/>
      <c r="BSG262" s="18"/>
      <c r="BSH262" s="18"/>
      <c r="BSI262" s="18"/>
      <c r="BSJ262" s="18"/>
      <c r="BSK262" s="18"/>
      <c r="BSL262" s="18"/>
      <c r="BSM262" s="18"/>
      <c r="BSN262" s="18"/>
      <c r="BSO262" s="18"/>
      <c r="BSP262" s="18"/>
      <c r="BSQ262" s="18"/>
      <c r="BSR262" s="18"/>
      <c r="BSS262" s="18"/>
      <c r="BST262" s="18"/>
      <c r="BSU262" s="18"/>
      <c r="BSV262" s="18"/>
      <c r="BSW262" s="18"/>
      <c r="BSX262" s="18"/>
      <c r="BSY262" s="18"/>
      <c r="BSZ262" s="18"/>
      <c r="BTA262" s="18"/>
      <c r="BTB262" s="18"/>
      <c r="BTC262" s="18"/>
      <c r="BTD262" s="18"/>
      <c r="BTE262" s="18"/>
      <c r="BTF262" s="18"/>
      <c r="BTG262" s="18"/>
      <c r="BTH262" s="18"/>
      <c r="BTI262" s="18"/>
    </row>
    <row r="263" spans="1:1881" s="786" customFormat="1" ht="225" customHeight="1" x14ac:dyDescent="0.3">
      <c r="A263" s="108">
        <v>577</v>
      </c>
      <c r="B263" s="688"/>
      <c r="C263" s="688" t="s">
        <v>543</v>
      </c>
      <c r="D263" s="355" t="s">
        <v>673</v>
      </c>
      <c r="E263" s="1110"/>
      <c r="F263" s="296"/>
      <c r="G263" s="1112" t="str">
        <f>IF(F263="Yes","In this cell - Please include the name of the plan, a brief description of the benefit and the population group that received the benefits."," ")</f>
        <v xml:space="preserve"> </v>
      </c>
      <c r="H263" s="17"/>
      <c r="I263" s="783"/>
      <c r="J263" s="592"/>
      <c r="K263" s="18"/>
      <c r="L263" s="18"/>
      <c r="M263" s="18"/>
      <c r="N263" s="298"/>
      <c r="O263" s="18"/>
      <c r="P263" s="18"/>
      <c r="Q263" s="18"/>
      <c r="R263" s="18"/>
      <c r="S263" s="18"/>
      <c r="T263" s="18"/>
      <c r="U263" s="18"/>
      <c r="V263" s="18"/>
      <c r="W263" s="18"/>
      <c r="X263" s="18"/>
      <c r="Y263" s="18"/>
      <c r="Z263" s="108"/>
      <c r="AA263" s="108"/>
      <c r="AB263" s="108"/>
      <c r="AC263" s="108"/>
      <c r="AD263" s="108"/>
      <c r="AE263" s="108"/>
      <c r="AF263" s="108"/>
      <c r="AG263" s="108"/>
      <c r="AH263" s="108"/>
      <c r="AI263" s="108"/>
      <c r="AJ263" s="108"/>
      <c r="AK263" s="108"/>
      <c r="AL263" s="108"/>
      <c r="AM263" s="108"/>
      <c r="AN263" s="108"/>
      <c r="AO263" s="108"/>
      <c r="AP263" s="108"/>
      <c r="AQ263" s="108"/>
      <c r="AR263" s="10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c r="WZ263" s="18"/>
      <c r="XA263" s="18"/>
      <c r="XB263" s="18"/>
      <c r="XC263" s="18"/>
      <c r="XD263" s="18"/>
      <c r="XE263" s="18"/>
      <c r="XF263" s="18"/>
      <c r="XG263" s="18"/>
      <c r="XH263" s="18"/>
      <c r="XI263" s="18"/>
      <c r="XJ263" s="18"/>
      <c r="XK263" s="18"/>
      <c r="XL263" s="18"/>
      <c r="XM263" s="18"/>
      <c r="XN263" s="18"/>
      <c r="XO263" s="18"/>
      <c r="XP263" s="18"/>
      <c r="XQ263" s="18"/>
      <c r="XR263" s="18"/>
      <c r="XS263" s="18"/>
      <c r="XT263" s="18"/>
      <c r="XU263" s="18"/>
      <c r="XV263" s="18"/>
      <c r="XW263" s="18"/>
      <c r="XX263" s="18"/>
      <c r="XY263" s="18"/>
      <c r="XZ263" s="18"/>
      <c r="YA263" s="18"/>
      <c r="YB263" s="18"/>
      <c r="YC263" s="18"/>
      <c r="YD263" s="18"/>
      <c r="YE263" s="18"/>
      <c r="YF263" s="18"/>
      <c r="YG263" s="18"/>
      <c r="YH263" s="18"/>
      <c r="YI263" s="18"/>
      <c r="YJ263" s="18"/>
      <c r="YK263" s="18"/>
      <c r="YL263" s="18"/>
      <c r="YM263" s="18"/>
      <c r="YN263" s="18"/>
      <c r="YO263" s="18"/>
      <c r="YP263" s="18"/>
      <c r="YQ263" s="18"/>
      <c r="YR263" s="18"/>
      <c r="YS263" s="18"/>
      <c r="YT263" s="18"/>
      <c r="YU263" s="18"/>
      <c r="YV263" s="18"/>
      <c r="YW263" s="18"/>
      <c r="YX263" s="18"/>
      <c r="YY263" s="18"/>
      <c r="YZ263" s="18"/>
      <c r="ZA263" s="18"/>
      <c r="ZB263" s="18"/>
      <c r="ZC263" s="18"/>
      <c r="ZD263" s="18"/>
      <c r="ZE263" s="18"/>
      <c r="ZF263" s="18"/>
      <c r="ZG263" s="18"/>
      <c r="ZH263" s="18"/>
      <c r="ZI263" s="18"/>
      <c r="ZJ263" s="18"/>
      <c r="ZK263" s="18"/>
      <c r="ZL263" s="18"/>
      <c r="ZM263" s="18"/>
      <c r="ZN263" s="18"/>
      <c r="ZO263" s="18"/>
      <c r="ZP263" s="18"/>
      <c r="ZQ263" s="18"/>
      <c r="ZR263" s="18"/>
      <c r="ZS263" s="18"/>
      <c r="ZT263" s="18"/>
      <c r="ZU263" s="18"/>
      <c r="ZV263" s="18"/>
      <c r="ZW263" s="18"/>
      <c r="ZX263" s="18"/>
      <c r="ZY263" s="18"/>
      <c r="ZZ263" s="18"/>
      <c r="AAA263" s="18"/>
      <c r="AAB263" s="18"/>
      <c r="AAC263" s="18"/>
      <c r="AAD263" s="18"/>
      <c r="AAE263" s="18"/>
      <c r="AAF263" s="18"/>
      <c r="AAG263" s="18"/>
      <c r="AAH263" s="18"/>
      <c r="AAI263" s="18"/>
      <c r="AAJ263" s="18"/>
      <c r="AAK263" s="18"/>
      <c r="AAL263" s="18"/>
      <c r="AAM263" s="18"/>
      <c r="AAN263" s="18"/>
      <c r="AAO263" s="18"/>
      <c r="AAP263" s="18"/>
      <c r="AAQ263" s="18"/>
      <c r="AAR263" s="18"/>
      <c r="AAS263" s="18"/>
      <c r="AAT263" s="18"/>
      <c r="AAU263" s="18"/>
      <c r="AAV263" s="18"/>
      <c r="AAW263" s="18"/>
      <c r="AAX263" s="18"/>
      <c r="AAY263" s="18"/>
      <c r="AAZ263" s="18"/>
      <c r="ABA263" s="18"/>
      <c r="ABB263" s="18"/>
      <c r="ABC263" s="18"/>
      <c r="ABD263" s="18"/>
      <c r="ABE263" s="18"/>
      <c r="ABF263" s="18"/>
      <c r="ABG263" s="18"/>
      <c r="ABH263" s="18"/>
      <c r="ABI263" s="18"/>
      <c r="ABJ263" s="18"/>
      <c r="ABK263" s="18"/>
      <c r="ABL263" s="18"/>
      <c r="ABM263" s="18"/>
      <c r="ABN263" s="18"/>
      <c r="ABO263" s="18"/>
      <c r="ABP263" s="18"/>
      <c r="ABQ263" s="18"/>
      <c r="ABR263" s="18"/>
      <c r="ABS263" s="18"/>
      <c r="ABT263" s="18"/>
      <c r="ABU263" s="18"/>
      <c r="ABV263" s="18"/>
      <c r="ABW263" s="18"/>
      <c r="ABX263" s="18"/>
      <c r="ABY263" s="18"/>
      <c r="ABZ263" s="18"/>
      <c r="ACA263" s="18"/>
      <c r="ACB263" s="18"/>
      <c r="ACC263" s="18"/>
      <c r="ACD263" s="18"/>
      <c r="ACE263" s="18"/>
      <c r="ACF263" s="18"/>
      <c r="ACG263" s="18"/>
      <c r="ACH263" s="18"/>
      <c r="ACI263" s="18"/>
      <c r="ACJ263" s="18"/>
      <c r="ACK263" s="18"/>
      <c r="ACL263" s="18"/>
      <c r="ACM263" s="18"/>
      <c r="ACN263" s="18"/>
      <c r="ACO263" s="18"/>
      <c r="ACP263" s="18"/>
      <c r="ACQ263" s="18"/>
      <c r="ACR263" s="18"/>
      <c r="ACS263" s="18"/>
      <c r="ACT263" s="18"/>
      <c r="ACU263" s="18"/>
      <c r="ACV263" s="18"/>
      <c r="ACW263" s="18"/>
      <c r="ACX263" s="18"/>
      <c r="ACY263" s="18"/>
      <c r="ACZ263" s="18"/>
      <c r="ADA263" s="18"/>
      <c r="ADB263" s="18"/>
      <c r="ADC263" s="18"/>
      <c r="ADD263" s="18"/>
      <c r="ADE263" s="18"/>
      <c r="ADF263" s="18"/>
      <c r="ADG263" s="18"/>
      <c r="ADH263" s="18"/>
      <c r="ADI263" s="18"/>
      <c r="ADJ263" s="18"/>
      <c r="ADK263" s="18"/>
      <c r="ADL263" s="18"/>
      <c r="ADM263" s="18"/>
      <c r="ADN263" s="18"/>
      <c r="ADO263" s="18"/>
      <c r="ADP263" s="18"/>
      <c r="ADQ263" s="18"/>
      <c r="ADR263" s="18"/>
      <c r="ADS263" s="18"/>
      <c r="ADT263" s="18"/>
      <c r="ADU263" s="18"/>
      <c r="ADV263" s="18"/>
      <c r="ADW263" s="18"/>
      <c r="ADX263" s="18"/>
      <c r="ADY263" s="18"/>
      <c r="ADZ263" s="18"/>
      <c r="AEA263" s="18"/>
      <c r="AEB263" s="18"/>
      <c r="AEC263" s="18"/>
      <c r="AED263" s="18"/>
      <c r="AEE263" s="18"/>
      <c r="AEF263" s="18"/>
      <c r="AEG263" s="18"/>
      <c r="AEH263" s="18"/>
      <c r="AEI263" s="18"/>
      <c r="AEJ263" s="18"/>
      <c r="AEK263" s="18"/>
      <c r="AEL263" s="18"/>
      <c r="AEM263" s="18"/>
      <c r="AEN263" s="18"/>
      <c r="AEO263" s="18"/>
      <c r="AEP263" s="18"/>
      <c r="AEQ263" s="18"/>
      <c r="AER263" s="18"/>
      <c r="AES263" s="18"/>
      <c r="AET263" s="18"/>
      <c r="AEU263" s="18"/>
      <c r="AEV263" s="18"/>
      <c r="AEW263" s="18"/>
      <c r="AEX263" s="18"/>
      <c r="AEY263" s="18"/>
      <c r="AEZ263" s="18"/>
      <c r="AFA263" s="18"/>
      <c r="AFB263" s="18"/>
      <c r="AFC263" s="18"/>
      <c r="AFD263" s="18"/>
      <c r="AFE263" s="18"/>
      <c r="AFF263" s="18"/>
      <c r="AFG263" s="18"/>
      <c r="AFH263" s="18"/>
      <c r="AFI263" s="18"/>
      <c r="AFJ263" s="18"/>
      <c r="AFK263" s="18"/>
      <c r="AFL263" s="18"/>
      <c r="AFM263" s="18"/>
      <c r="AFN263" s="18"/>
      <c r="AFO263" s="18"/>
      <c r="AFP263" s="18"/>
      <c r="AFQ263" s="18"/>
      <c r="AFR263" s="18"/>
      <c r="AFS263" s="18"/>
      <c r="AFT263" s="18"/>
      <c r="AFU263" s="18"/>
      <c r="AFV263" s="18"/>
      <c r="AFW263" s="18"/>
      <c r="AFX263" s="18"/>
      <c r="AFY263" s="18"/>
      <c r="AFZ263" s="18"/>
      <c r="AGA263" s="18"/>
      <c r="AGB263" s="18"/>
      <c r="AGC263" s="18"/>
      <c r="AGD263" s="18"/>
      <c r="AGE263" s="18"/>
      <c r="AGF263" s="18"/>
      <c r="AGG263" s="18"/>
      <c r="AGH263" s="18"/>
      <c r="AGI263" s="18"/>
      <c r="AGJ263" s="18"/>
      <c r="AGK263" s="18"/>
      <c r="AGL263" s="18"/>
      <c r="AGM263" s="18"/>
      <c r="AGN263" s="18"/>
      <c r="AGO263" s="18"/>
      <c r="AGP263" s="18"/>
      <c r="AGQ263" s="18"/>
      <c r="AGR263" s="18"/>
      <c r="AGS263" s="18"/>
      <c r="AGT263" s="18"/>
      <c r="AGU263" s="18"/>
      <c r="AGV263" s="18"/>
      <c r="AGW263" s="18"/>
      <c r="AGX263" s="18"/>
      <c r="AGY263" s="18"/>
      <c r="AGZ263" s="18"/>
      <c r="AHA263" s="18"/>
      <c r="AHB263" s="18"/>
      <c r="AHC263" s="18"/>
      <c r="AHD263" s="18"/>
      <c r="AHE263" s="18"/>
      <c r="AHF263" s="18"/>
      <c r="AHG263" s="18"/>
      <c r="AHH263" s="18"/>
      <c r="AHI263" s="18"/>
      <c r="AHJ263" s="18"/>
      <c r="AHK263" s="18"/>
      <c r="AHL263" s="18"/>
      <c r="AHM263" s="18"/>
      <c r="AHN263" s="18"/>
      <c r="AHO263" s="18"/>
      <c r="AHP263" s="18"/>
      <c r="AHQ263" s="18"/>
      <c r="AHR263" s="18"/>
      <c r="AHS263" s="18"/>
      <c r="AHT263" s="18"/>
      <c r="AHU263" s="18"/>
      <c r="AHV263" s="18"/>
      <c r="AHW263" s="18"/>
      <c r="AHX263" s="18"/>
      <c r="AHY263" s="18"/>
      <c r="AHZ263" s="18"/>
      <c r="AIA263" s="18"/>
      <c r="AIB263" s="18"/>
      <c r="AIC263" s="18"/>
      <c r="AID263" s="18"/>
      <c r="AIE263" s="18"/>
      <c r="AIF263" s="18"/>
      <c r="AIG263" s="18"/>
      <c r="AIH263" s="18"/>
      <c r="AII263" s="18"/>
      <c r="AIJ263" s="18"/>
      <c r="AIK263" s="18"/>
      <c r="AIL263" s="18"/>
      <c r="AIM263" s="18"/>
      <c r="AIN263" s="18"/>
      <c r="AIO263" s="18"/>
      <c r="AIP263" s="18"/>
      <c r="AIQ263" s="18"/>
      <c r="AIR263" s="18"/>
      <c r="AIS263" s="18"/>
      <c r="AIT263" s="18"/>
      <c r="AIU263" s="18"/>
      <c r="AIV263" s="18"/>
      <c r="AIW263" s="18"/>
      <c r="AIX263" s="18"/>
      <c r="AIY263" s="18"/>
      <c r="AIZ263" s="18"/>
      <c r="AJA263" s="18"/>
      <c r="AJB263" s="18"/>
      <c r="AJC263" s="18"/>
      <c r="AJD263" s="18"/>
      <c r="AJE263" s="18"/>
      <c r="AJF263" s="18"/>
      <c r="AJG263" s="18"/>
      <c r="AJH263" s="18"/>
      <c r="AJI263" s="18"/>
      <c r="AJJ263" s="18"/>
      <c r="AJK263" s="18"/>
      <c r="AJL263" s="18"/>
      <c r="AJM263" s="18"/>
      <c r="AJN263" s="18"/>
      <c r="AJO263" s="18"/>
      <c r="AJP263" s="18"/>
      <c r="AJQ263" s="18"/>
      <c r="AJR263" s="18"/>
      <c r="AJS263" s="18"/>
      <c r="AJT263" s="18"/>
      <c r="AJU263" s="18"/>
      <c r="AJV263" s="18"/>
      <c r="AJW263" s="18"/>
      <c r="AJX263" s="18"/>
      <c r="AJY263" s="18"/>
      <c r="AJZ263" s="18"/>
      <c r="AKA263" s="18"/>
      <c r="AKB263" s="18"/>
      <c r="AKC263" s="18"/>
      <c r="AKD263" s="18"/>
      <c r="AKE263" s="18"/>
      <c r="AKF263" s="18"/>
      <c r="AKG263" s="18"/>
      <c r="AKH263" s="18"/>
      <c r="AKI263" s="18"/>
      <c r="AKJ263" s="18"/>
      <c r="AKK263" s="18"/>
      <c r="AKL263" s="18"/>
      <c r="AKM263" s="18"/>
      <c r="AKN263" s="18"/>
      <c r="AKO263" s="18"/>
      <c r="AKP263" s="18"/>
      <c r="AKQ263" s="18"/>
      <c r="AKR263" s="18"/>
      <c r="AKS263" s="18"/>
      <c r="AKT263" s="18"/>
      <c r="AKU263" s="18"/>
      <c r="AKV263" s="18"/>
      <c r="AKW263" s="18"/>
      <c r="AKX263" s="18"/>
      <c r="AKY263" s="18"/>
      <c r="AKZ263" s="18"/>
      <c r="ALA263" s="18"/>
      <c r="ALB263" s="18"/>
      <c r="ALC263" s="18"/>
      <c r="ALD263" s="18"/>
      <c r="ALE263" s="18"/>
      <c r="ALF263" s="18"/>
      <c r="ALG263" s="18"/>
      <c r="ALH263" s="18"/>
      <c r="ALI263" s="18"/>
      <c r="ALJ263" s="18"/>
      <c r="ALK263" s="18"/>
      <c r="ALL263" s="18"/>
      <c r="ALM263" s="18"/>
      <c r="ALN263" s="18"/>
      <c r="ALO263" s="18"/>
      <c r="ALP263" s="18"/>
      <c r="ALQ263" s="18"/>
      <c r="ALR263" s="18"/>
      <c r="ALS263" s="18"/>
      <c r="ALT263" s="18"/>
      <c r="ALU263" s="18"/>
      <c r="ALV263" s="18"/>
      <c r="ALW263" s="18"/>
      <c r="ALX263" s="18"/>
      <c r="ALY263" s="18"/>
      <c r="ALZ263" s="18"/>
      <c r="AMA263" s="18"/>
      <c r="AMB263" s="18"/>
      <c r="AMC263" s="18"/>
      <c r="AMD263" s="18"/>
      <c r="AME263" s="18"/>
      <c r="AMF263" s="18"/>
      <c r="AMG263" s="18"/>
      <c r="AMH263" s="18"/>
      <c r="AMI263" s="18"/>
      <c r="AMJ263" s="18"/>
      <c r="AMK263" s="18"/>
      <c r="AML263" s="18"/>
      <c r="AMM263" s="18"/>
      <c r="AMN263" s="18"/>
      <c r="AMO263" s="18"/>
      <c r="AMP263" s="18"/>
      <c r="AMQ263" s="18"/>
      <c r="AMR263" s="18"/>
      <c r="AMS263" s="18"/>
      <c r="AMT263" s="18"/>
      <c r="AMU263" s="18"/>
      <c r="AMV263" s="18"/>
      <c r="AMW263" s="18"/>
      <c r="AMX263" s="18"/>
      <c r="AMY263" s="18"/>
      <c r="AMZ263" s="18"/>
      <c r="ANA263" s="18"/>
      <c r="ANB263" s="18"/>
      <c r="ANC263" s="18"/>
      <c r="AND263" s="18"/>
      <c r="ANE263" s="18"/>
      <c r="ANF263" s="18"/>
      <c r="ANG263" s="18"/>
      <c r="ANH263" s="18"/>
      <c r="ANI263" s="18"/>
      <c r="ANJ263" s="18"/>
      <c r="ANK263" s="18"/>
      <c r="ANL263" s="18"/>
      <c r="ANM263" s="18"/>
      <c r="ANN263" s="18"/>
      <c r="ANO263" s="18"/>
      <c r="ANP263" s="18"/>
      <c r="ANQ263" s="18"/>
      <c r="ANR263" s="18"/>
      <c r="ANS263" s="18"/>
      <c r="ANT263" s="18"/>
      <c r="ANU263" s="18"/>
      <c r="ANV263" s="18"/>
      <c r="ANW263" s="18"/>
      <c r="ANX263" s="18"/>
      <c r="ANY263" s="18"/>
      <c r="ANZ263" s="18"/>
      <c r="AOA263" s="18"/>
      <c r="AOB263" s="18"/>
      <c r="AOC263" s="18"/>
      <c r="AOD263" s="18"/>
      <c r="AOE263" s="18"/>
      <c r="AOF263" s="18"/>
      <c r="AOG263" s="18"/>
      <c r="AOH263" s="18"/>
      <c r="AOI263" s="18"/>
      <c r="AOJ263" s="18"/>
      <c r="AOK263" s="18"/>
      <c r="AOL263" s="18"/>
      <c r="AOM263" s="18"/>
      <c r="AON263" s="18"/>
      <c r="AOO263" s="18"/>
      <c r="AOP263" s="18"/>
      <c r="AOQ263" s="18"/>
      <c r="AOR263" s="18"/>
      <c r="AOS263" s="18"/>
      <c r="AOT263" s="18"/>
      <c r="AOU263" s="18"/>
      <c r="AOV263" s="18"/>
      <c r="AOW263" s="18"/>
      <c r="AOX263" s="18"/>
      <c r="AOY263" s="18"/>
      <c r="AOZ263" s="18"/>
      <c r="APA263" s="18"/>
      <c r="APB263" s="18"/>
      <c r="APC263" s="18"/>
      <c r="APD263" s="18"/>
      <c r="APE263" s="18"/>
      <c r="APF263" s="18"/>
      <c r="APG263" s="18"/>
      <c r="APH263" s="18"/>
      <c r="API263" s="18"/>
      <c r="APJ263" s="18"/>
      <c r="APK263" s="18"/>
      <c r="APL263" s="18"/>
      <c r="APM263" s="18"/>
      <c r="APN263" s="18"/>
      <c r="APO263" s="18"/>
      <c r="APP263" s="18"/>
      <c r="APQ263" s="18"/>
      <c r="APR263" s="18"/>
      <c r="APS263" s="18"/>
      <c r="APT263" s="18"/>
      <c r="APU263" s="18"/>
      <c r="APV263" s="18"/>
      <c r="APW263" s="18"/>
      <c r="APX263" s="18"/>
      <c r="APY263" s="18"/>
      <c r="APZ263" s="18"/>
      <c r="AQA263" s="18"/>
      <c r="AQB263" s="18"/>
      <c r="AQC263" s="18"/>
      <c r="AQD263" s="18"/>
      <c r="AQE263" s="18"/>
      <c r="AQF263" s="18"/>
      <c r="AQG263" s="18"/>
      <c r="AQH263" s="18"/>
      <c r="AQI263" s="18"/>
      <c r="AQJ263" s="18"/>
      <c r="AQK263" s="18"/>
      <c r="AQL263" s="18"/>
      <c r="AQM263" s="18"/>
      <c r="AQN263" s="18"/>
      <c r="AQO263" s="18"/>
      <c r="AQP263" s="18"/>
      <c r="AQQ263" s="18"/>
      <c r="AQR263" s="18"/>
      <c r="AQS263" s="18"/>
      <c r="AQT263" s="18"/>
      <c r="AQU263" s="18"/>
      <c r="AQV263" s="18"/>
      <c r="AQW263" s="18"/>
      <c r="AQX263" s="18"/>
      <c r="AQY263" s="18"/>
      <c r="AQZ263" s="18"/>
      <c r="ARA263" s="18"/>
      <c r="ARB263" s="18"/>
      <c r="ARC263" s="18"/>
      <c r="ARD263" s="18"/>
      <c r="ARE263" s="18"/>
      <c r="ARF263" s="18"/>
      <c r="ARG263" s="18"/>
      <c r="ARH263" s="18"/>
      <c r="ARI263" s="18"/>
      <c r="ARJ263" s="18"/>
      <c r="ARK263" s="18"/>
      <c r="ARL263" s="18"/>
      <c r="ARM263" s="18"/>
      <c r="ARN263" s="18"/>
      <c r="ARO263" s="18"/>
      <c r="ARP263" s="18"/>
      <c r="ARQ263" s="18"/>
      <c r="ARR263" s="18"/>
      <c r="ARS263" s="18"/>
      <c r="ART263" s="18"/>
      <c r="ARU263" s="18"/>
      <c r="ARV263" s="18"/>
      <c r="ARW263" s="18"/>
      <c r="ARX263" s="18"/>
      <c r="ARY263" s="18"/>
      <c r="ARZ263" s="18"/>
      <c r="ASA263" s="18"/>
      <c r="ASB263" s="18"/>
      <c r="ASC263" s="18"/>
      <c r="ASD263" s="18"/>
      <c r="ASE263" s="18"/>
      <c r="ASF263" s="18"/>
      <c r="ASG263" s="18"/>
      <c r="ASH263" s="18"/>
      <c r="ASI263" s="18"/>
      <c r="ASJ263" s="18"/>
      <c r="ASK263" s="18"/>
      <c r="ASL263" s="18"/>
      <c r="ASM263" s="18"/>
      <c r="ASN263" s="18"/>
      <c r="ASO263" s="18"/>
      <c r="ASP263" s="18"/>
      <c r="ASQ263" s="18"/>
      <c r="ASR263" s="18"/>
      <c r="ASS263" s="18"/>
      <c r="AST263" s="18"/>
      <c r="ASU263" s="18"/>
      <c r="ASV263" s="18"/>
      <c r="ASW263" s="18"/>
      <c r="ASX263" s="18"/>
      <c r="ASY263" s="18"/>
      <c r="ASZ263" s="18"/>
      <c r="ATA263" s="18"/>
      <c r="ATB263" s="18"/>
      <c r="ATC263" s="18"/>
      <c r="ATD263" s="18"/>
      <c r="ATE263" s="18"/>
      <c r="ATF263" s="18"/>
      <c r="ATG263" s="18"/>
      <c r="ATH263" s="18"/>
      <c r="ATI263" s="18"/>
      <c r="ATJ263" s="18"/>
      <c r="ATK263" s="18"/>
      <c r="ATL263" s="18"/>
      <c r="ATM263" s="18"/>
      <c r="ATN263" s="18"/>
      <c r="ATO263" s="18"/>
      <c r="ATP263" s="18"/>
      <c r="ATQ263" s="18"/>
      <c r="ATR263" s="18"/>
      <c r="ATS263" s="18"/>
      <c r="ATT263" s="18"/>
      <c r="ATU263" s="18"/>
      <c r="ATV263" s="18"/>
      <c r="ATW263" s="18"/>
      <c r="ATX263" s="18"/>
      <c r="ATY263" s="18"/>
      <c r="ATZ263" s="18"/>
      <c r="AUA263" s="18"/>
      <c r="AUB263" s="18"/>
      <c r="AUC263" s="18"/>
      <c r="AUD263" s="18"/>
      <c r="AUE263" s="18"/>
      <c r="AUF263" s="18"/>
      <c r="AUG263" s="18"/>
      <c r="AUH263" s="18"/>
      <c r="AUI263" s="18"/>
      <c r="AUJ263" s="18"/>
      <c r="AUK263" s="18"/>
      <c r="AUL263" s="18"/>
      <c r="AUM263" s="18"/>
      <c r="AUN263" s="18"/>
      <c r="AUO263" s="18"/>
      <c r="AUP263" s="18"/>
      <c r="AUQ263" s="18"/>
      <c r="AUR263" s="18"/>
      <c r="AUS263" s="18"/>
      <c r="AUT263" s="18"/>
      <c r="AUU263" s="18"/>
      <c r="AUV263" s="18"/>
      <c r="AUW263" s="18"/>
      <c r="AUX263" s="18"/>
      <c r="AUY263" s="18"/>
      <c r="AUZ263" s="18"/>
      <c r="AVA263" s="18"/>
      <c r="AVB263" s="18"/>
      <c r="AVC263" s="18"/>
      <c r="AVD263" s="18"/>
      <c r="AVE263" s="18"/>
      <c r="AVF263" s="18"/>
      <c r="AVG263" s="18"/>
      <c r="AVH263" s="18"/>
      <c r="AVI263" s="18"/>
      <c r="AVJ263" s="18"/>
      <c r="AVK263" s="18"/>
      <c r="AVL263" s="18"/>
      <c r="AVM263" s="18"/>
      <c r="AVN263" s="18"/>
      <c r="AVO263" s="18"/>
      <c r="AVP263" s="18"/>
      <c r="AVQ263" s="18"/>
      <c r="AVR263" s="18"/>
      <c r="AVS263" s="18"/>
      <c r="AVT263" s="18"/>
      <c r="AVU263" s="18"/>
      <c r="AVV263" s="18"/>
      <c r="AVW263" s="18"/>
      <c r="AVX263" s="18"/>
      <c r="AVY263" s="18"/>
      <c r="AVZ263" s="18"/>
      <c r="AWA263" s="18"/>
      <c r="AWB263" s="18"/>
      <c r="AWC263" s="18"/>
      <c r="AWD263" s="18"/>
      <c r="AWE263" s="18"/>
      <c r="AWF263" s="18"/>
      <c r="AWG263" s="18"/>
      <c r="AWH263" s="18"/>
      <c r="AWI263" s="18"/>
      <c r="AWJ263" s="18"/>
      <c r="AWK263" s="18"/>
      <c r="AWL263" s="18"/>
      <c r="AWM263" s="18"/>
      <c r="AWN263" s="18"/>
      <c r="AWO263" s="18"/>
      <c r="AWP263" s="18"/>
      <c r="AWQ263" s="18"/>
      <c r="AWR263" s="18"/>
      <c r="AWS263" s="18"/>
      <c r="AWT263" s="18"/>
      <c r="AWU263" s="18"/>
      <c r="AWV263" s="18"/>
      <c r="AWW263" s="18"/>
      <c r="AWX263" s="18"/>
      <c r="AWY263" s="18"/>
      <c r="AWZ263" s="18"/>
      <c r="AXA263" s="18"/>
      <c r="AXB263" s="18"/>
      <c r="AXC263" s="18"/>
      <c r="AXD263" s="18"/>
      <c r="AXE263" s="18"/>
      <c r="AXF263" s="18"/>
      <c r="AXG263" s="18"/>
      <c r="AXH263" s="18"/>
      <c r="AXI263" s="18"/>
      <c r="AXJ263" s="18"/>
      <c r="AXK263" s="18"/>
      <c r="AXL263" s="18"/>
      <c r="AXM263" s="18"/>
      <c r="AXN263" s="18"/>
      <c r="AXO263" s="18"/>
      <c r="AXP263" s="18"/>
      <c r="AXQ263" s="18"/>
      <c r="AXR263" s="18"/>
      <c r="AXS263" s="18"/>
      <c r="AXT263" s="18"/>
      <c r="AXU263" s="18"/>
      <c r="AXV263" s="18"/>
      <c r="AXW263" s="18"/>
      <c r="AXX263" s="18"/>
      <c r="AXY263" s="18"/>
      <c r="AXZ263" s="18"/>
      <c r="AYA263" s="18"/>
      <c r="AYB263" s="18"/>
      <c r="AYC263" s="18"/>
      <c r="AYD263" s="18"/>
      <c r="AYE263" s="18"/>
      <c r="AYF263" s="18"/>
      <c r="AYG263" s="18"/>
      <c r="AYH263" s="18"/>
      <c r="AYI263" s="18"/>
      <c r="AYJ263" s="18"/>
      <c r="AYK263" s="18"/>
      <c r="AYL263" s="18"/>
      <c r="AYM263" s="18"/>
      <c r="AYN263" s="18"/>
      <c r="AYO263" s="18"/>
      <c r="AYP263" s="18"/>
      <c r="AYQ263" s="18"/>
      <c r="AYR263" s="18"/>
      <c r="AYS263" s="18"/>
      <c r="AYT263" s="18"/>
      <c r="AYU263" s="18"/>
      <c r="AYV263" s="18"/>
      <c r="AYW263" s="18"/>
      <c r="AYX263" s="18"/>
      <c r="AYY263" s="18"/>
      <c r="AYZ263" s="18"/>
      <c r="AZA263" s="18"/>
      <c r="AZB263" s="18"/>
      <c r="AZC263" s="18"/>
      <c r="AZD263" s="18"/>
      <c r="AZE263" s="18"/>
      <c r="AZF263" s="18"/>
      <c r="AZG263" s="18"/>
      <c r="AZH263" s="18"/>
      <c r="AZI263" s="18"/>
      <c r="AZJ263" s="18"/>
      <c r="AZK263" s="18"/>
      <c r="AZL263" s="18"/>
      <c r="AZM263" s="18"/>
      <c r="AZN263" s="18"/>
      <c r="AZO263" s="18"/>
      <c r="AZP263" s="18"/>
      <c r="AZQ263" s="18"/>
      <c r="AZR263" s="18"/>
      <c r="AZS263" s="18"/>
      <c r="AZT263" s="18"/>
      <c r="AZU263" s="18"/>
      <c r="AZV263" s="18"/>
      <c r="AZW263" s="18"/>
      <c r="AZX263" s="18"/>
      <c r="AZY263" s="18"/>
      <c r="AZZ263" s="18"/>
      <c r="BAA263" s="18"/>
      <c r="BAB263" s="18"/>
      <c r="BAC263" s="18"/>
      <c r="BAD263" s="18"/>
      <c r="BAE263" s="18"/>
      <c r="BAF263" s="18"/>
      <c r="BAG263" s="18"/>
      <c r="BAH263" s="18"/>
      <c r="BAI263" s="18"/>
      <c r="BAJ263" s="18"/>
      <c r="BAK263" s="18"/>
      <c r="BAL263" s="18"/>
      <c r="BAM263" s="18"/>
      <c r="BAN263" s="18"/>
      <c r="BAO263" s="18"/>
      <c r="BAP263" s="18"/>
      <c r="BAQ263" s="18"/>
      <c r="BAR263" s="18"/>
      <c r="BAS263" s="18"/>
      <c r="BAT263" s="18"/>
      <c r="BAU263" s="18"/>
      <c r="BAV263" s="18"/>
      <c r="BAW263" s="18"/>
      <c r="BAX263" s="18"/>
      <c r="BAY263" s="18"/>
      <c r="BAZ263" s="18"/>
      <c r="BBA263" s="18"/>
      <c r="BBB263" s="18"/>
      <c r="BBC263" s="18"/>
      <c r="BBD263" s="18"/>
      <c r="BBE263" s="18"/>
      <c r="BBF263" s="18"/>
      <c r="BBG263" s="18"/>
      <c r="BBH263" s="18"/>
      <c r="BBI263" s="18"/>
      <c r="BBJ263" s="18"/>
      <c r="BBK263" s="18"/>
      <c r="BBL263" s="18"/>
      <c r="BBM263" s="18"/>
      <c r="BBN263" s="18"/>
      <c r="BBO263" s="18"/>
      <c r="BBP263" s="18"/>
      <c r="BBQ263" s="18"/>
      <c r="BBR263" s="18"/>
      <c r="BBS263" s="18"/>
      <c r="BBT263" s="18"/>
      <c r="BBU263" s="18"/>
      <c r="BBV263" s="18"/>
      <c r="BBW263" s="18"/>
      <c r="BBX263" s="18"/>
      <c r="BBY263" s="18"/>
      <c r="BBZ263" s="18"/>
      <c r="BCA263" s="18"/>
      <c r="BCB263" s="18"/>
      <c r="BCC263" s="18"/>
      <c r="BCD263" s="18"/>
      <c r="BCE263" s="18"/>
      <c r="BCF263" s="18"/>
      <c r="BCG263" s="18"/>
      <c r="BCH263" s="18"/>
      <c r="BCI263" s="18"/>
      <c r="BCJ263" s="18"/>
      <c r="BCK263" s="18"/>
      <c r="BCL263" s="18"/>
      <c r="BCM263" s="18"/>
      <c r="BCN263" s="18"/>
      <c r="BCO263" s="18"/>
      <c r="BCP263" s="18"/>
      <c r="BCQ263" s="18"/>
      <c r="BCR263" s="18"/>
      <c r="BCS263" s="18"/>
      <c r="BCT263" s="18"/>
      <c r="BCU263" s="18"/>
      <c r="BCV263" s="18"/>
      <c r="BCW263" s="18"/>
      <c r="BCX263" s="18"/>
      <c r="BCY263" s="18"/>
      <c r="BCZ263" s="18"/>
      <c r="BDA263" s="18"/>
      <c r="BDB263" s="18"/>
      <c r="BDC263" s="18"/>
      <c r="BDD263" s="18"/>
      <c r="BDE263" s="18"/>
      <c r="BDF263" s="18"/>
      <c r="BDG263" s="18"/>
      <c r="BDH263" s="18"/>
      <c r="BDI263" s="18"/>
      <c r="BDJ263" s="18"/>
      <c r="BDK263" s="18"/>
      <c r="BDL263" s="18"/>
      <c r="BDM263" s="18"/>
      <c r="BDN263" s="18"/>
      <c r="BDO263" s="18"/>
      <c r="BDP263" s="18"/>
      <c r="BDQ263" s="18"/>
      <c r="BDR263" s="18"/>
      <c r="BDS263" s="18"/>
      <c r="BDT263" s="18"/>
      <c r="BDU263" s="18"/>
      <c r="BDV263" s="18"/>
      <c r="BDW263" s="18"/>
      <c r="BDX263" s="18"/>
      <c r="BDY263" s="18"/>
      <c r="BDZ263" s="18"/>
      <c r="BEA263" s="18"/>
      <c r="BEB263" s="18"/>
      <c r="BEC263" s="18"/>
      <c r="BED263" s="18"/>
      <c r="BEE263" s="18"/>
      <c r="BEF263" s="18"/>
      <c r="BEG263" s="18"/>
      <c r="BEH263" s="18"/>
      <c r="BEI263" s="18"/>
      <c r="BEJ263" s="18"/>
      <c r="BEK263" s="18"/>
      <c r="BEL263" s="18"/>
      <c r="BEM263" s="18"/>
      <c r="BEN263" s="18"/>
      <c r="BEO263" s="18"/>
      <c r="BEP263" s="18"/>
      <c r="BEQ263" s="18"/>
      <c r="BER263" s="18"/>
      <c r="BES263" s="18"/>
      <c r="BET263" s="18"/>
      <c r="BEU263" s="18"/>
      <c r="BEV263" s="18"/>
      <c r="BEW263" s="18"/>
      <c r="BEX263" s="18"/>
      <c r="BEY263" s="18"/>
      <c r="BEZ263" s="18"/>
      <c r="BFA263" s="18"/>
      <c r="BFB263" s="18"/>
      <c r="BFC263" s="18"/>
      <c r="BFD263" s="18"/>
      <c r="BFE263" s="18"/>
      <c r="BFF263" s="18"/>
      <c r="BFG263" s="18"/>
      <c r="BFH263" s="18"/>
      <c r="BFI263" s="18"/>
      <c r="BFJ263" s="18"/>
      <c r="BFK263" s="18"/>
      <c r="BFL263" s="18"/>
      <c r="BFM263" s="18"/>
      <c r="BFN263" s="18"/>
      <c r="BFO263" s="18"/>
      <c r="BFP263" s="18"/>
      <c r="BFQ263" s="18"/>
      <c r="BFR263" s="18"/>
      <c r="BFS263" s="18"/>
      <c r="BFT263" s="18"/>
      <c r="BFU263" s="18"/>
      <c r="BFV263" s="18"/>
      <c r="BFW263" s="18"/>
      <c r="BFX263" s="18"/>
      <c r="BFY263" s="18"/>
      <c r="BFZ263" s="18"/>
      <c r="BGA263" s="18"/>
      <c r="BGB263" s="18"/>
      <c r="BGC263" s="18"/>
      <c r="BGD263" s="18"/>
      <c r="BGE263" s="18"/>
      <c r="BGF263" s="18"/>
      <c r="BGG263" s="18"/>
      <c r="BGH263" s="18"/>
      <c r="BGI263" s="18"/>
      <c r="BGJ263" s="18"/>
      <c r="BGK263" s="18"/>
      <c r="BGL263" s="18"/>
      <c r="BGM263" s="18"/>
      <c r="BGN263" s="18"/>
      <c r="BGO263" s="18"/>
      <c r="BGP263" s="18"/>
      <c r="BGQ263" s="18"/>
      <c r="BGR263" s="18"/>
      <c r="BGS263" s="18"/>
      <c r="BGT263" s="18"/>
      <c r="BGU263" s="18"/>
      <c r="BGV263" s="18"/>
      <c r="BGW263" s="18"/>
      <c r="BGX263" s="18"/>
      <c r="BGY263" s="18"/>
      <c r="BGZ263" s="18"/>
      <c r="BHA263" s="18"/>
      <c r="BHB263" s="18"/>
      <c r="BHC263" s="18"/>
      <c r="BHD263" s="18"/>
      <c r="BHE263" s="18"/>
      <c r="BHF263" s="18"/>
      <c r="BHG263" s="18"/>
      <c r="BHH263" s="18"/>
      <c r="BHI263" s="18"/>
      <c r="BHJ263" s="18"/>
      <c r="BHK263" s="18"/>
      <c r="BHL263" s="18"/>
      <c r="BHM263" s="18"/>
      <c r="BHN263" s="18"/>
      <c r="BHO263" s="18"/>
      <c r="BHP263" s="18"/>
      <c r="BHQ263" s="18"/>
      <c r="BHR263" s="18"/>
      <c r="BHS263" s="18"/>
      <c r="BHT263" s="18"/>
      <c r="BHU263" s="18"/>
      <c r="BHV263" s="18"/>
      <c r="BHW263" s="18"/>
      <c r="BHX263" s="18"/>
      <c r="BHY263" s="18"/>
      <c r="BHZ263" s="18"/>
      <c r="BIA263" s="18"/>
      <c r="BIB263" s="18"/>
      <c r="BIC263" s="18"/>
      <c r="BID263" s="18"/>
      <c r="BIE263" s="18"/>
      <c r="BIF263" s="18"/>
      <c r="BIG263" s="18"/>
      <c r="BIH263" s="18"/>
      <c r="BII263" s="18"/>
      <c r="BIJ263" s="18"/>
      <c r="BIK263" s="18"/>
      <c r="BIL263" s="18"/>
      <c r="BIM263" s="18"/>
      <c r="BIN263" s="18"/>
      <c r="BIO263" s="18"/>
      <c r="BIP263" s="18"/>
      <c r="BIQ263" s="18"/>
      <c r="BIR263" s="18"/>
      <c r="BIS263" s="18"/>
      <c r="BIT263" s="18"/>
      <c r="BIU263" s="18"/>
      <c r="BIV263" s="18"/>
      <c r="BIW263" s="18"/>
      <c r="BIX263" s="18"/>
      <c r="BIY263" s="18"/>
      <c r="BIZ263" s="18"/>
      <c r="BJA263" s="18"/>
      <c r="BJB263" s="18"/>
      <c r="BJC263" s="18"/>
      <c r="BJD263" s="18"/>
      <c r="BJE263" s="18"/>
      <c r="BJF263" s="18"/>
      <c r="BJG263" s="18"/>
      <c r="BJH263" s="18"/>
      <c r="BJI263" s="18"/>
      <c r="BJJ263" s="18"/>
      <c r="BJK263" s="18"/>
      <c r="BJL263" s="18"/>
      <c r="BJM263" s="18"/>
      <c r="BJN263" s="18"/>
      <c r="BJO263" s="18"/>
      <c r="BJP263" s="18"/>
      <c r="BJQ263" s="18"/>
      <c r="BJR263" s="18"/>
      <c r="BJS263" s="18"/>
      <c r="BJT263" s="18"/>
      <c r="BJU263" s="18"/>
      <c r="BJV263" s="18"/>
      <c r="BJW263" s="18"/>
      <c r="BJX263" s="18"/>
      <c r="BJY263" s="18"/>
      <c r="BJZ263" s="18"/>
      <c r="BKA263" s="18"/>
      <c r="BKB263" s="18"/>
      <c r="BKC263" s="18"/>
      <c r="BKD263" s="18"/>
      <c r="BKE263" s="18"/>
      <c r="BKF263" s="18"/>
      <c r="BKG263" s="18"/>
      <c r="BKH263" s="18"/>
      <c r="BKI263" s="18"/>
      <c r="BKJ263" s="18"/>
      <c r="BKK263" s="18"/>
      <c r="BKL263" s="18"/>
      <c r="BKM263" s="18"/>
      <c r="BKN263" s="18"/>
      <c r="BKO263" s="18"/>
      <c r="BKP263" s="18"/>
      <c r="BKQ263" s="18"/>
      <c r="BKR263" s="18"/>
      <c r="BKS263" s="18"/>
      <c r="BKT263" s="18"/>
      <c r="BKU263" s="18"/>
      <c r="BKV263" s="18"/>
      <c r="BKW263" s="18"/>
      <c r="BKX263" s="18"/>
      <c r="BKY263" s="18"/>
      <c r="BKZ263" s="18"/>
      <c r="BLA263" s="18"/>
      <c r="BLB263" s="18"/>
      <c r="BLC263" s="18"/>
      <c r="BLD263" s="18"/>
      <c r="BLE263" s="18"/>
      <c r="BLF263" s="18"/>
      <c r="BLG263" s="18"/>
      <c r="BLH263" s="18"/>
      <c r="BLI263" s="18"/>
      <c r="BLJ263" s="18"/>
      <c r="BLK263" s="18"/>
      <c r="BLL263" s="18"/>
      <c r="BLM263" s="18"/>
      <c r="BLN263" s="18"/>
      <c r="BLO263" s="18"/>
      <c r="BLP263" s="18"/>
      <c r="BLQ263" s="18"/>
      <c r="BLR263" s="18"/>
      <c r="BLS263" s="18"/>
      <c r="BLT263" s="18"/>
      <c r="BLU263" s="18"/>
      <c r="BLV263" s="18"/>
      <c r="BLW263" s="18"/>
      <c r="BLX263" s="18"/>
      <c r="BLY263" s="18"/>
      <c r="BLZ263" s="18"/>
      <c r="BMA263" s="18"/>
      <c r="BMB263" s="18"/>
      <c r="BMC263" s="18"/>
      <c r="BMD263" s="18"/>
      <c r="BME263" s="18"/>
      <c r="BMF263" s="18"/>
      <c r="BMG263" s="18"/>
      <c r="BMH263" s="18"/>
      <c r="BMI263" s="18"/>
      <c r="BMJ263" s="18"/>
      <c r="BMK263" s="18"/>
      <c r="BML263" s="18"/>
      <c r="BMM263" s="18"/>
      <c r="BMN263" s="18"/>
      <c r="BMO263" s="18"/>
      <c r="BMP263" s="18"/>
      <c r="BMQ263" s="18"/>
      <c r="BMR263" s="18"/>
      <c r="BMS263" s="18"/>
      <c r="BMT263" s="18"/>
      <c r="BMU263" s="18"/>
      <c r="BMV263" s="18"/>
      <c r="BMW263" s="18"/>
      <c r="BMX263" s="18"/>
      <c r="BMY263" s="18"/>
      <c r="BMZ263" s="18"/>
      <c r="BNA263" s="18"/>
      <c r="BNB263" s="18"/>
      <c r="BNC263" s="18"/>
      <c r="BND263" s="18"/>
      <c r="BNE263" s="18"/>
      <c r="BNF263" s="18"/>
      <c r="BNG263" s="18"/>
      <c r="BNH263" s="18"/>
      <c r="BNI263" s="18"/>
      <c r="BNJ263" s="18"/>
      <c r="BNK263" s="18"/>
      <c r="BNL263" s="18"/>
      <c r="BNM263" s="18"/>
      <c r="BNN263" s="18"/>
      <c r="BNO263" s="18"/>
      <c r="BNP263" s="18"/>
      <c r="BNQ263" s="18"/>
      <c r="BNR263" s="18"/>
      <c r="BNS263" s="18"/>
      <c r="BNT263" s="18"/>
      <c r="BNU263" s="18"/>
      <c r="BNV263" s="18"/>
      <c r="BNW263" s="18"/>
      <c r="BNX263" s="18"/>
      <c r="BNY263" s="18"/>
      <c r="BNZ263" s="18"/>
      <c r="BOA263" s="18"/>
      <c r="BOB263" s="18"/>
      <c r="BOC263" s="18"/>
      <c r="BOD263" s="18"/>
      <c r="BOE263" s="18"/>
      <c r="BOF263" s="18"/>
      <c r="BOG263" s="18"/>
      <c r="BOH263" s="18"/>
      <c r="BOI263" s="18"/>
      <c r="BOJ263" s="18"/>
      <c r="BOK263" s="18"/>
      <c r="BOL263" s="18"/>
      <c r="BOM263" s="18"/>
      <c r="BON263" s="18"/>
      <c r="BOO263" s="18"/>
      <c r="BOP263" s="18"/>
      <c r="BOQ263" s="18"/>
      <c r="BOR263" s="18"/>
      <c r="BOS263" s="18"/>
      <c r="BOT263" s="18"/>
      <c r="BOU263" s="18"/>
      <c r="BOV263" s="18"/>
      <c r="BOW263" s="18"/>
      <c r="BOX263" s="18"/>
      <c r="BOY263" s="18"/>
      <c r="BOZ263" s="18"/>
      <c r="BPA263" s="18"/>
      <c r="BPB263" s="18"/>
      <c r="BPC263" s="18"/>
      <c r="BPD263" s="18"/>
      <c r="BPE263" s="18"/>
      <c r="BPF263" s="18"/>
      <c r="BPG263" s="18"/>
      <c r="BPH263" s="18"/>
      <c r="BPI263" s="18"/>
      <c r="BPJ263" s="18"/>
      <c r="BPK263" s="18"/>
      <c r="BPL263" s="18"/>
      <c r="BPM263" s="18"/>
      <c r="BPN263" s="18"/>
      <c r="BPO263" s="18"/>
      <c r="BPP263" s="18"/>
      <c r="BPQ263" s="18"/>
      <c r="BPR263" s="18"/>
      <c r="BPS263" s="18"/>
      <c r="BPT263" s="18"/>
      <c r="BPU263" s="18"/>
      <c r="BPV263" s="18"/>
      <c r="BPW263" s="18"/>
      <c r="BPX263" s="18"/>
      <c r="BPY263" s="18"/>
      <c r="BPZ263" s="18"/>
      <c r="BQA263" s="18"/>
      <c r="BQB263" s="18"/>
      <c r="BQC263" s="18"/>
      <c r="BQD263" s="18"/>
      <c r="BQE263" s="18"/>
      <c r="BQF263" s="18"/>
      <c r="BQG263" s="18"/>
      <c r="BQH263" s="18"/>
      <c r="BQI263" s="18"/>
      <c r="BQJ263" s="18"/>
      <c r="BQK263" s="18"/>
      <c r="BQL263" s="18"/>
      <c r="BQM263" s="18"/>
      <c r="BQN263" s="18"/>
      <c r="BQO263" s="18"/>
      <c r="BQP263" s="18"/>
      <c r="BQQ263" s="18"/>
      <c r="BQR263" s="18"/>
      <c r="BQS263" s="18"/>
      <c r="BQT263" s="18"/>
      <c r="BQU263" s="18"/>
      <c r="BQV263" s="18"/>
      <c r="BQW263" s="18"/>
      <c r="BQX263" s="18"/>
      <c r="BQY263" s="18"/>
      <c r="BQZ263" s="18"/>
      <c r="BRA263" s="18"/>
      <c r="BRB263" s="18"/>
      <c r="BRC263" s="18"/>
      <c r="BRD263" s="18"/>
      <c r="BRE263" s="18"/>
      <c r="BRF263" s="18"/>
      <c r="BRG263" s="18"/>
      <c r="BRH263" s="18"/>
      <c r="BRI263" s="18"/>
      <c r="BRJ263" s="18"/>
      <c r="BRK263" s="18"/>
      <c r="BRL263" s="18"/>
      <c r="BRM263" s="18"/>
      <c r="BRN263" s="18"/>
      <c r="BRO263" s="18"/>
      <c r="BRP263" s="18"/>
      <c r="BRQ263" s="18"/>
      <c r="BRR263" s="18"/>
      <c r="BRS263" s="18"/>
      <c r="BRT263" s="18"/>
      <c r="BRU263" s="18"/>
      <c r="BRV263" s="18"/>
      <c r="BRW263" s="18"/>
      <c r="BRX263" s="18"/>
      <c r="BRY263" s="18"/>
      <c r="BRZ263" s="18"/>
      <c r="BSA263" s="18"/>
      <c r="BSB263" s="18"/>
      <c r="BSC263" s="18"/>
      <c r="BSD263" s="18"/>
      <c r="BSE263" s="18"/>
      <c r="BSF263" s="18"/>
      <c r="BSG263" s="18"/>
      <c r="BSH263" s="18"/>
      <c r="BSI263" s="18"/>
      <c r="BSJ263" s="18"/>
      <c r="BSK263" s="18"/>
      <c r="BSL263" s="18"/>
      <c r="BSM263" s="18"/>
      <c r="BSN263" s="18"/>
      <c r="BSO263" s="18"/>
      <c r="BSP263" s="18"/>
      <c r="BSQ263" s="18"/>
      <c r="BSR263" s="18"/>
      <c r="BSS263" s="18"/>
      <c r="BST263" s="18"/>
      <c r="BSU263" s="18"/>
      <c r="BSV263" s="18"/>
      <c r="BSW263" s="18"/>
      <c r="BSX263" s="18"/>
      <c r="BSY263" s="18"/>
      <c r="BSZ263" s="18"/>
      <c r="BTA263" s="18"/>
      <c r="BTB263" s="18"/>
      <c r="BTC263" s="18"/>
      <c r="BTD263" s="18"/>
      <c r="BTE263" s="18"/>
      <c r="BTF263" s="18"/>
      <c r="BTG263" s="18"/>
      <c r="BTH263" s="18"/>
      <c r="BTI263" s="18"/>
    </row>
    <row r="264" spans="1:1881" s="786" customFormat="1" ht="30.75" customHeight="1" x14ac:dyDescent="0.3">
      <c r="A264" s="108"/>
      <c r="B264" s="843" t="s">
        <v>528</v>
      </c>
      <c r="C264" s="844"/>
      <c r="D264" s="96"/>
      <c r="E264" s="785"/>
      <c r="F264" s="788"/>
      <c r="G264" s="746"/>
      <c r="H264" s="17"/>
      <c r="I264" s="79"/>
      <c r="J264" s="18"/>
      <c r="K264" s="18"/>
      <c r="L264" s="18"/>
      <c r="M264" s="18"/>
      <c r="N264" s="298"/>
      <c r="O264" s="18"/>
      <c r="P264" s="18"/>
      <c r="Q264" s="18"/>
      <c r="R264" s="18"/>
      <c r="S264" s="18"/>
      <c r="T264" s="18"/>
      <c r="U264" s="18"/>
      <c r="V264" s="18"/>
      <c r="W264" s="18"/>
      <c r="X264" s="18"/>
      <c r="Y264" s="18"/>
      <c r="Z264" s="108"/>
      <c r="AA264" s="108"/>
      <c r="AB264" s="108"/>
      <c r="AC264" s="108"/>
      <c r="AD264" s="108"/>
      <c r="AE264" s="108"/>
      <c r="AF264" s="108"/>
      <c r="AG264" s="108"/>
      <c r="AH264" s="108"/>
      <c r="AI264" s="108"/>
      <c r="AJ264" s="108"/>
      <c r="AK264" s="108"/>
      <c r="AL264" s="108"/>
      <c r="AM264" s="108"/>
      <c r="AN264" s="108"/>
      <c r="AO264" s="108"/>
      <c r="AP264" s="108"/>
      <c r="AQ264" s="108"/>
      <c r="AR264" s="10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c r="WZ264" s="18"/>
      <c r="XA264" s="18"/>
      <c r="XB264" s="18"/>
      <c r="XC264" s="18"/>
      <c r="XD264" s="18"/>
      <c r="XE264" s="18"/>
      <c r="XF264" s="18"/>
      <c r="XG264" s="18"/>
      <c r="XH264" s="18"/>
      <c r="XI264" s="18"/>
      <c r="XJ264" s="18"/>
      <c r="XK264" s="18"/>
      <c r="XL264" s="18"/>
      <c r="XM264" s="18"/>
      <c r="XN264" s="18"/>
      <c r="XO264" s="18"/>
      <c r="XP264" s="18"/>
      <c r="XQ264" s="18"/>
      <c r="XR264" s="18"/>
      <c r="XS264" s="18"/>
      <c r="XT264" s="18"/>
      <c r="XU264" s="18"/>
      <c r="XV264" s="18"/>
      <c r="XW264" s="18"/>
      <c r="XX264" s="18"/>
      <c r="XY264" s="18"/>
      <c r="XZ264" s="18"/>
      <c r="YA264" s="18"/>
      <c r="YB264" s="18"/>
      <c r="YC264" s="18"/>
      <c r="YD264" s="18"/>
      <c r="YE264" s="18"/>
      <c r="YF264" s="18"/>
      <c r="YG264" s="18"/>
      <c r="YH264" s="18"/>
      <c r="YI264" s="18"/>
      <c r="YJ264" s="18"/>
      <c r="YK264" s="18"/>
      <c r="YL264" s="18"/>
      <c r="YM264" s="18"/>
      <c r="YN264" s="18"/>
      <c r="YO264" s="18"/>
      <c r="YP264" s="18"/>
      <c r="YQ264" s="18"/>
      <c r="YR264" s="18"/>
      <c r="YS264" s="18"/>
      <c r="YT264" s="18"/>
      <c r="YU264" s="18"/>
      <c r="YV264" s="18"/>
      <c r="YW264" s="18"/>
      <c r="YX264" s="18"/>
      <c r="YY264" s="18"/>
      <c r="YZ264" s="18"/>
      <c r="ZA264" s="18"/>
      <c r="ZB264" s="18"/>
      <c r="ZC264" s="18"/>
      <c r="ZD264" s="18"/>
      <c r="ZE264" s="18"/>
      <c r="ZF264" s="18"/>
      <c r="ZG264" s="18"/>
      <c r="ZH264" s="18"/>
      <c r="ZI264" s="18"/>
      <c r="ZJ264" s="18"/>
      <c r="ZK264" s="18"/>
      <c r="ZL264" s="18"/>
      <c r="ZM264" s="18"/>
      <c r="ZN264" s="18"/>
      <c r="ZO264" s="18"/>
      <c r="ZP264" s="18"/>
      <c r="ZQ264" s="18"/>
      <c r="ZR264" s="18"/>
      <c r="ZS264" s="18"/>
      <c r="ZT264" s="18"/>
      <c r="ZU264" s="18"/>
      <c r="ZV264" s="18"/>
      <c r="ZW264" s="18"/>
      <c r="ZX264" s="18"/>
      <c r="ZY264" s="18"/>
      <c r="ZZ264" s="18"/>
      <c r="AAA264" s="18"/>
      <c r="AAB264" s="18"/>
      <c r="AAC264" s="18"/>
      <c r="AAD264" s="18"/>
      <c r="AAE264" s="18"/>
      <c r="AAF264" s="18"/>
      <c r="AAG264" s="18"/>
      <c r="AAH264" s="18"/>
      <c r="AAI264" s="18"/>
      <c r="AAJ264" s="18"/>
      <c r="AAK264" s="18"/>
      <c r="AAL264" s="18"/>
      <c r="AAM264" s="18"/>
      <c r="AAN264" s="18"/>
      <c r="AAO264" s="18"/>
      <c r="AAP264" s="18"/>
      <c r="AAQ264" s="18"/>
      <c r="AAR264" s="18"/>
      <c r="AAS264" s="18"/>
      <c r="AAT264" s="18"/>
      <c r="AAU264" s="18"/>
      <c r="AAV264" s="18"/>
      <c r="AAW264" s="18"/>
      <c r="AAX264" s="18"/>
      <c r="AAY264" s="18"/>
      <c r="AAZ264" s="18"/>
      <c r="ABA264" s="18"/>
      <c r="ABB264" s="18"/>
      <c r="ABC264" s="18"/>
      <c r="ABD264" s="18"/>
      <c r="ABE264" s="18"/>
      <c r="ABF264" s="18"/>
      <c r="ABG264" s="18"/>
      <c r="ABH264" s="18"/>
      <c r="ABI264" s="18"/>
      <c r="ABJ264" s="18"/>
      <c r="ABK264" s="18"/>
      <c r="ABL264" s="18"/>
      <c r="ABM264" s="18"/>
      <c r="ABN264" s="18"/>
      <c r="ABO264" s="18"/>
      <c r="ABP264" s="18"/>
      <c r="ABQ264" s="18"/>
      <c r="ABR264" s="18"/>
      <c r="ABS264" s="18"/>
      <c r="ABT264" s="18"/>
      <c r="ABU264" s="18"/>
      <c r="ABV264" s="18"/>
      <c r="ABW264" s="18"/>
      <c r="ABX264" s="18"/>
      <c r="ABY264" s="18"/>
      <c r="ABZ264" s="18"/>
      <c r="ACA264" s="18"/>
      <c r="ACB264" s="18"/>
      <c r="ACC264" s="18"/>
      <c r="ACD264" s="18"/>
      <c r="ACE264" s="18"/>
      <c r="ACF264" s="18"/>
      <c r="ACG264" s="18"/>
      <c r="ACH264" s="18"/>
      <c r="ACI264" s="18"/>
      <c r="ACJ264" s="18"/>
      <c r="ACK264" s="18"/>
      <c r="ACL264" s="18"/>
      <c r="ACM264" s="18"/>
      <c r="ACN264" s="18"/>
      <c r="ACO264" s="18"/>
      <c r="ACP264" s="18"/>
      <c r="ACQ264" s="18"/>
      <c r="ACR264" s="18"/>
      <c r="ACS264" s="18"/>
      <c r="ACT264" s="18"/>
      <c r="ACU264" s="18"/>
      <c r="ACV264" s="18"/>
      <c r="ACW264" s="18"/>
      <c r="ACX264" s="18"/>
      <c r="ACY264" s="18"/>
      <c r="ACZ264" s="18"/>
      <c r="ADA264" s="18"/>
      <c r="ADB264" s="18"/>
      <c r="ADC264" s="18"/>
      <c r="ADD264" s="18"/>
      <c r="ADE264" s="18"/>
      <c r="ADF264" s="18"/>
      <c r="ADG264" s="18"/>
      <c r="ADH264" s="18"/>
      <c r="ADI264" s="18"/>
      <c r="ADJ264" s="18"/>
      <c r="ADK264" s="18"/>
      <c r="ADL264" s="18"/>
      <c r="ADM264" s="18"/>
      <c r="ADN264" s="18"/>
      <c r="ADO264" s="18"/>
      <c r="ADP264" s="18"/>
      <c r="ADQ264" s="18"/>
      <c r="ADR264" s="18"/>
      <c r="ADS264" s="18"/>
      <c r="ADT264" s="18"/>
      <c r="ADU264" s="18"/>
      <c r="ADV264" s="18"/>
      <c r="ADW264" s="18"/>
      <c r="ADX264" s="18"/>
      <c r="ADY264" s="18"/>
      <c r="ADZ264" s="18"/>
      <c r="AEA264" s="18"/>
      <c r="AEB264" s="18"/>
      <c r="AEC264" s="18"/>
      <c r="AED264" s="18"/>
      <c r="AEE264" s="18"/>
      <c r="AEF264" s="18"/>
      <c r="AEG264" s="18"/>
      <c r="AEH264" s="18"/>
      <c r="AEI264" s="18"/>
      <c r="AEJ264" s="18"/>
      <c r="AEK264" s="18"/>
      <c r="AEL264" s="18"/>
      <c r="AEM264" s="18"/>
      <c r="AEN264" s="18"/>
      <c r="AEO264" s="18"/>
      <c r="AEP264" s="18"/>
      <c r="AEQ264" s="18"/>
      <c r="AER264" s="18"/>
      <c r="AES264" s="18"/>
      <c r="AET264" s="18"/>
      <c r="AEU264" s="18"/>
      <c r="AEV264" s="18"/>
      <c r="AEW264" s="18"/>
      <c r="AEX264" s="18"/>
      <c r="AEY264" s="18"/>
      <c r="AEZ264" s="18"/>
      <c r="AFA264" s="18"/>
      <c r="AFB264" s="18"/>
      <c r="AFC264" s="18"/>
      <c r="AFD264" s="18"/>
      <c r="AFE264" s="18"/>
      <c r="AFF264" s="18"/>
      <c r="AFG264" s="18"/>
      <c r="AFH264" s="18"/>
      <c r="AFI264" s="18"/>
      <c r="AFJ264" s="18"/>
      <c r="AFK264" s="18"/>
      <c r="AFL264" s="18"/>
      <c r="AFM264" s="18"/>
      <c r="AFN264" s="18"/>
      <c r="AFO264" s="18"/>
      <c r="AFP264" s="18"/>
      <c r="AFQ264" s="18"/>
      <c r="AFR264" s="18"/>
      <c r="AFS264" s="18"/>
      <c r="AFT264" s="18"/>
      <c r="AFU264" s="18"/>
      <c r="AFV264" s="18"/>
      <c r="AFW264" s="18"/>
      <c r="AFX264" s="18"/>
      <c r="AFY264" s="18"/>
      <c r="AFZ264" s="18"/>
      <c r="AGA264" s="18"/>
      <c r="AGB264" s="18"/>
      <c r="AGC264" s="18"/>
      <c r="AGD264" s="18"/>
      <c r="AGE264" s="18"/>
      <c r="AGF264" s="18"/>
      <c r="AGG264" s="18"/>
      <c r="AGH264" s="18"/>
      <c r="AGI264" s="18"/>
      <c r="AGJ264" s="18"/>
      <c r="AGK264" s="18"/>
      <c r="AGL264" s="18"/>
      <c r="AGM264" s="18"/>
      <c r="AGN264" s="18"/>
      <c r="AGO264" s="18"/>
      <c r="AGP264" s="18"/>
      <c r="AGQ264" s="18"/>
      <c r="AGR264" s="18"/>
      <c r="AGS264" s="18"/>
      <c r="AGT264" s="18"/>
      <c r="AGU264" s="18"/>
      <c r="AGV264" s="18"/>
      <c r="AGW264" s="18"/>
      <c r="AGX264" s="18"/>
      <c r="AGY264" s="18"/>
      <c r="AGZ264" s="18"/>
      <c r="AHA264" s="18"/>
      <c r="AHB264" s="18"/>
      <c r="AHC264" s="18"/>
      <c r="AHD264" s="18"/>
      <c r="AHE264" s="18"/>
      <c r="AHF264" s="18"/>
      <c r="AHG264" s="18"/>
      <c r="AHH264" s="18"/>
      <c r="AHI264" s="18"/>
      <c r="AHJ264" s="18"/>
      <c r="AHK264" s="18"/>
      <c r="AHL264" s="18"/>
      <c r="AHM264" s="18"/>
      <c r="AHN264" s="18"/>
      <c r="AHO264" s="18"/>
      <c r="AHP264" s="18"/>
      <c r="AHQ264" s="18"/>
      <c r="AHR264" s="18"/>
      <c r="AHS264" s="18"/>
      <c r="AHT264" s="18"/>
      <c r="AHU264" s="18"/>
      <c r="AHV264" s="18"/>
      <c r="AHW264" s="18"/>
      <c r="AHX264" s="18"/>
      <c r="AHY264" s="18"/>
      <c r="AHZ264" s="18"/>
      <c r="AIA264" s="18"/>
      <c r="AIB264" s="18"/>
      <c r="AIC264" s="18"/>
      <c r="AID264" s="18"/>
      <c r="AIE264" s="18"/>
      <c r="AIF264" s="18"/>
      <c r="AIG264" s="18"/>
      <c r="AIH264" s="18"/>
      <c r="AII264" s="18"/>
      <c r="AIJ264" s="18"/>
      <c r="AIK264" s="18"/>
      <c r="AIL264" s="18"/>
      <c r="AIM264" s="18"/>
      <c r="AIN264" s="18"/>
      <c r="AIO264" s="18"/>
      <c r="AIP264" s="18"/>
      <c r="AIQ264" s="18"/>
      <c r="AIR264" s="18"/>
      <c r="AIS264" s="18"/>
      <c r="AIT264" s="18"/>
      <c r="AIU264" s="18"/>
      <c r="AIV264" s="18"/>
      <c r="AIW264" s="18"/>
      <c r="AIX264" s="18"/>
      <c r="AIY264" s="18"/>
      <c r="AIZ264" s="18"/>
      <c r="AJA264" s="18"/>
      <c r="AJB264" s="18"/>
      <c r="AJC264" s="18"/>
      <c r="AJD264" s="18"/>
      <c r="AJE264" s="18"/>
      <c r="AJF264" s="18"/>
      <c r="AJG264" s="18"/>
      <c r="AJH264" s="18"/>
      <c r="AJI264" s="18"/>
      <c r="AJJ264" s="18"/>
      <c r="AJK264" s="18"/>
      <c r="AJL264" s="18"/>
      <c r="AJM264" s="18"/>
      <c r="AJN264" s="18"/>
      <c r="AJO264" s="18"/>
      <c r="AJP264" s="18"/>
      <c r="AJQ264" s="18"/>
      <c r="AJR264" s="18"/>
      <c r="AJS264" s="18"/>
      <c r="AJT264" s="18"/>
      <c r="AJU264" s="18"/>
      <c r="AJV264" s="18"/>
      <c r="AJW264" s="18"/>
      <c r="AJX264" s="18"/>
      <c r="AJY264" s="18"/>
      <c r="AJZ264" s="18"/>
      <c r="AKA264" s="18"/>
      <c r="AKB264" s="18"/>
      <c r="AKC264" s="18"/>
      <c r="AKD264" s="18"/>
      <c r="AKE264" s="18"/>
      <c r="AKF264" s="18"/>
      <c r="AKG264" s="18"/>
      <c r="AKH264" s="18"/>
      <c r="AKI264" s="18"/>
      <c r="AKJ264" s="18"/>
      <c r="AKK264" s="18"/>
      <c r="AKL264" s="18"/>
      <c r="AKM264" s="18"/>
      <c r="AKN264" s="18"/>
      <c r="AKO264" s="18"/>
      <c r="AKP264" s="18"/>
      <c r="AKQ264" s="18"/>
      <c r="AKR264" s="18"/>
      <c r="AKS264" s="18"/>
      <c r="AKT264" s="18"/>
      <c r="AKU264" s="18"/>
      <c r="AKV264" s="18"/>
      <c r="AKW264" s="18"/>
      <c r="AKX264" s="18"/>
      <c r="AKY264" s="18"/>
      <c r="AKZ264" s="18"/>
      <c r="ALA264" s="18"/>
      <c r="ALB264" s="18"/>
      <c r="ALC264" s="18"/>
      <c r="ALD264" s="18"/>
      <c r="ALE264" s="18"/>
      <c r="ALF264" s="18"/>
      <c r="ALG264" s="18"/>
      <c r="ALH264" s="18"/>
      <c r="ALI264" s="18"/>
      <c r="ALJ264" s="18"/>
      <c r="ALK264" s="18"/>
      <c r="ALL264" s="18"/>
      <c r="ALM264" s="18"/>
      <c r="ALN264" s="18"/>
      <c r="ALO264" s="18"/>
      <c r="ALP264" s="18"/>
      <c r="ALQ264" s="18"/>
      <c r="ALR264" s="18"/>
      <c r="ALS264" s="18"/>
      <c r="ALT264" s="18"/>
      <c r="ALU264" s="18"/>
      <c r="ALV264" s="18"/>
      <c r="ALW264" s="18"/>
      <c r="ALX264" s="18"/>
      <c r="ALY264" s="18"/>
      <c r="ALZ264" s="18"/>
      <c r="AMA264" s="18"/>
      <c r="AMB264" s="18"/>
      <c r="AMC264" s="18"/>
      <c r="AMD264" s="18"/>
      <c r="AME264" s="18"/>
      <c r="AMF264" s="18"/>
      <c r="AMG264" s="18"/>
      <c r="AMH264" s="18"/>
      <c r="AMI264" s="18"/>
      <c r="AMJ264" s="18"/>
      <c r="AMK264" s="18"/>
      <c r="AML264" s="18"/>
      <c r="AMM264" s="18"/>
      <c r="AMN264" s="18"/>
      <c r="AMO264" s="18"/>
      <c r="AMP264" s="18"/>
      <c r="AMQ264" s="18"/>
      <c r="AMR264" s="18"/>
      <c r="AMS264" s="18"/>
      <c r="AMT264" s="18"/>
      <c r="AMU264" s="18"/>
      <c r="AMV264" s="18"/>
      <c r="AMW264" s="18"/>
      <c r="AMX264" s="18"/>
      <c r="AMY264" s="18"/>
      <c r="AMZ264" s="18"/>
      <c r="ANA264" s="18"/>
      <c r="ANB264" s="18"/>
      <c r="ANC264" s="18"/>
      <c r="AND264" s="18"/>
      <c r="ANE264" s="18"/>
      <c r="ANF264" s="18"/>
      <c r="ANG264" s="18"/>
      <c r="ANH264" s="18"/>
      <c r="ANI264" s="18"/>
      <c r="ANJ264" s="18"/>
      <c r="ANK264" s="18"/>
      <c r="ANL264" s="18"/>
      <c r="ANM264" s="18"/>
      <c r="ANN264" s="18"/>
      <c r="ANO264" s="18"/>
      <c r="ANP264" s="18"/>
      <c r="ANQ264" s="18"/>
      <c r="ANR264" s="18"/>
      <c r="ANS264" s="18"/>
      <c r="ANT264" s="18"/>
      <c r="ANU264" s="18"/>
      <c r="ANV264" s="18"/>
      <c r="ANW264" s="18"/>
      <c r="ANX264" s="18"/>
      <c r="ANY264" s="18"/>
      <c r="ANZ264" s="18"/>
      <c r="AOA264" s="18"/>
      <c r="AOB264" s="18"/>
      <c r="AOC264" s="18"/>
      <c r="AOD264" s="18"/>
      <c r="AOE264" s="18"/>
      <c r="AOF264" s="18"/>
      <c r="AOG264" s="18"/>
      <c r="AOH264" s="18"/>
      <c r="AOI264" s="18"/>
      <c r="AOJ264" s="18"/>
      <c r="AOK264" s="18"/>
      <c r="AOL264" s="18"/>
      <c r="AOM264" s="18"/>
      <c r="AON264" s="18"/>
      <c r="AOO264" s="18"/>
      <c r="AOP264" s="18"/>
      <c r="AOQ264" s="18"/>
      <c r="AOR264" s="18"/>
      <c r="AOS264" s="18"/>
      <c r="AOT264" s="18"/>
      <c r="AOU264" s="18"/>
      <c r="AOV264" s="18"/>
      <c r="AOW264" s="18"/>
      <c r="AOX264" s="18"/>
      <c r="AOY264" s="18"/>
      <c r="AOZ264" s="18"/>
      <c r="APA264" s="18"/>
      <c r="APB264" s="18"/>
      <c r="APC264" s="18"/>
      <c r="APD264" s="18"/>
      <c r="APE264" s="18"/>
      <c r="APF264" s="18"/>
      <c r="APG264" s="18"/>
      <c r="APH264" s="18"/>
      <c r="API264" s="18"/>
      <c r="APJ264" s="18"/>
      <c r="APK264" s="18"/>
      <c r="APL264" s="18"/>
      <c r="APM264" s="18"/>
      <c r="APN264" s="18"/>
      <c r="APO264" s="18"/>
      <c r="APP264" s="18"/>
      <c r="APQ264" s="18"/>
      <c r="APR264" s="18"/>
      <c r="APS264" s="18"/>
      <c r="APT264" s="18"/>
      <c r="APU264" s="18"/>
      <c r="APV264" s="18"/>
      <c r="APW264" s="18"/>
      <c r="APX264" s="18"/>
      <c r="APY264" s="18"/>
      <c r="APZ264" s="18"/>
      <c r="AQA264" s="18"/>
      <c r="AQB264" s="18"/>
      <c r="AQC264" s="18"/>
      <c r="AQD264" s="18"/>
      <c r="AQE264" s="18"/>
      <c r="AQF264" s="18"/>
      <c r="AQG264" s="18"/>
      <c r="AQH264" s="18"/>
      <c r="AQI264" s="18"/>
      <c r="AQJ264" s="18"/>
      <c r="AQK264" s="18"/>
      <c r="AQL264" s="18"/>
      <c r="AQM264" s="18"/>
      <c r="AQN264" s="18"/>
      <c r="AQO264" s="18"/>
      <c r="AQP264" s="18"/>
      <c r="AQQ264" s="18"/>
      <c r="AQR264" s="18"/>
      <c r="AQS264" s="18"/>
      <c r="AQT264" s="18"/>
      <c r="AQU264" s="18"/>
      <c r="AQV264" s="18"/>
      <c r="AQW264" s="18"/>
      <c r="AQX264" s="18"/>
      <c r="AQY264" s="18"/>
      <c r="AQZ264" s="18"/>
      <c r="ARA264" s="18"/>
      <c r="ARB264" s="18"/>
      <c r="ARC264" s="18"/>
      <c r="ARD264" s="18"/>
      <c r="ARE264" s="18"/>
      <c r="ARF264" s="18"/>
      <c r="ARG264" s="18"/>
      <c r="ARH264" s="18"/>
      <c r="ARI264" s="18"/>
      <c r="ARJ264" s="18"/>
      <c r="ARK264" s="18"/>
      <c r="ARL264" s="18"/>
      <c r="ARM264" s="18"/>
      <c r="ARN264" s="18"/>
      <c r="ARO264" s="18"/>
      <c r="ARP264" s="18"/>
      <c r="ARQ264" s="18"/>
      <c r="ARR264" s="18"/>
      <c r="ARS264" s="18"/>
      <c r="ART264" s="18"/>
      <c r="ARU264" s="18"/>
      <c r="ARV264" s="18"/>
      <c r="ARW264" s="18"/>
      <c r="ARX264" s="18"/>
      <c r="ARY264" s="18"/>
      <c r="ARZ264" s="18"/>
      <c r="ASA264" s="18"/>
      <c r="ASB264" s="18"/>
      <c r="ASC264" s="18"/>
      <c r="ASD264" s="18"/>
      <c r="ASE264" s="18"/>
      <c r="ASF264" s="18"/>
      <c r="ASG264" s="18"/>
      <c r="ASH264" s="18"/>
      <c r="ASI264" s="18"/>
      <c r="ASJ264" s="18"/>
      <c r="ASK264" s="18"/>
      <c r="ASL264" s="18"/>
      <c r="ASM264" s="18"/>
      <c r="ASN264" s="18"/>
      <c r="ASO264" s="18"/>
      <c r="ASP264" s="18"/>
      <c r="ASQ264" s="18"/>
      <c r="ASR264" s="18"/>
      <c r="ASS264" s="18"/>
      <c r="AST264" s="18"/>
      <c r="ASU264" s="18"/>
      <c r="ASV264" s="18"/>
      <c r="ASW264" s="18"/>
      <c r="ASX264" s="18"/>
      <c r="ASY264" s="18"/>
      <c r="ASZ264" s="18"/>
      <c r="ATA264" s="18"/>
      <c r="ATB264" s="18"/>
      <c r="ATC264" s="18"/>
      <c r="ATD264" s="18"/>
      <c r="ATE264" s="18"/>
      <c r="ATF264" s="18"/>
      <c r="ATG264" s="18"/>
      <c r="ATH264" s="18"/>
      <c r="ATI264" s="18"/>
      <c r="ATJ264" s="18"/>
      <c r="ATK264" s="18"/>
      <c r="ATL264" s="18"/>
      <c r="ATM264" s="18"/>
      <c r="ATN264" s="18"/>
      <c r="ATO264" s="18"/>
      <c r="ATP264" s="18"/>
      <c r="ATQ264" s="18"/>
      <c r="ATR264" s="18"/>
      <c r="ATS264" s="18"/>
      <c r="ATT264" s="18"/>
      <c r="ATU264" s="18"/>
      <c r="ATV264" s="18"/>
      <c r="ATW264" s="18"/>
      <c r="ATX264" s="18"/>
      <c r="ATY264" s="18"/>
      <c r="ATZ264" s="18"/>
      <c r="AUA264" s="18"/>
      <c r="AUB264" s="18"/>
      <c r="AUC264" s="18"/>
      <c r="AUD264" s="18"/>
      <c r="AUE264" s="18"/>
      <c r="AUF264" s="18"/>
      <c r="AUG264" s="18"/>
      <c r="AUH264" s="18"/>
      <c r="AUI264" s="18"/>
      <c r="AUJ264" s="18"/>
      <c r="AUK264" s="18"/>
      <c r="AUL264" s="18"/>
      <c r="AUM264" s="18"/>
      <c r="AUN264" s="18"/>
      <c r="AUO264" s="18"/>
      <c r="AUP264" s="18"/>
      <c r="AUQ264" s="18"/>
      <c r="AUR264" s="18"/>
      <c r="AUS264" s="18"/>
      <c r="AUT264" s="18"/>
      <c r="AUU264" s="18"/>
      <c r="AUV264" s="18"/>
      <c r="AUW264" s="18"/>
      <c r="AUX264" s="18"/>
      <c r="AUY264" s="18"/>
      <c r="AUZ264" s="18"/>
      <c r="AVA264" s="18"/>
      <c r="AVB264" s="18"/>
      <c r="AVC264" s="18"/>
      <c r="AVD264" s="18"/>
      <c r="AVE264" s="18"/>
      <c r="AVF264" s="18"/>
      <c r="AVG264" s="18"/>
      <c r="AVH264" s="18"/>
      <c r="AVI264" s="18"/>
      <c r="AVJ264" s="18"/>
      <c r="AVK264" s="18"/>
      <c r="AVL264" s="18"/>
      <c r="AVM264" s="18"/>
      <c r="AVN264" s="18"/>
      <c r="AVO264" s="18"/>
      <c r="AVP264" s="18"/>
      <c r="AVQ264" s="18"/>
      <c r="AVR264" s="18"/>
      <c r="AVS264" s="18"/>
      <c r="AVT264" s="18"/>
      <c r="AVU264" s="18"/>
      <c r="AVV264" s="18"/>
      <c r="AVW264" s="18"/>
      <c r="AVX264" s="18"/>
      <c r="AVY264" s="18"/>
      <c r="AVZ264" s="18"/>
      <c r="AWA264" s="18"/>
      <c r="AWB264" s="18"/>
      <c r="AWC264" s="18"/>
      <c r="AWD264" s="18"/>
      <c r="AWE264" s="18"/>
      <c r="AWF264" s="18"/>
      <c r="AWG264" s="18"/>
      <c r="AWH264" s="18"/>
      <c r="AWI264" s="18"/>
      <c r="AWJ264" s="18"/>
      <c r="AWK264" s="18"/>
      <c r="AWL264" s="18"/>
      <c r="AWM264" s="18"/>
      <c r="AWN264" s="18"/>
      <c r="AWO264" s="18"/>
      <c r="AWP264" s="18"/>
      <c r="AWQ264" s="18"/>
      <c r="AWR264" s="18"/>
      <c r="AWS264" s="18"/>
      <c r="AWT264" s="18"/>
      <c r="AWU264" s="18"/>
      <c r="AWV264" s="18"/>
      <c r="AWW264" s="18"/>
      <c r="AWX264" s="18"/>
      <c r="AWY264" s="18"/>
      <c r="AWZ264" s="18"/>
      <c r="AXA264" s="18"/>
      <c r="AXB264" s="18"/>
      <c r="AXC264" s="18"/>
      <c r="AXD264" s="18"/>
      <c r="AXE264" s="18"/>
      <c r="AXF264" s="18"/>
      <c r="AXG264" s="18"/>
      <c r="AXH264" s="18"/>
      <c r="AXI264" s="18"/>
      <c r="AXJ264" s="18"/>
      <c r="AXK264" s="18"/>
      <c r="AXL264" s="18"/>
      <c r="AXM264" s="18"/>
      <c r="AXN264" s="18"/>
      <c r="AXO264" s="18"/>
      <c r="AXP264" s="18"/>
      <c r="AXQ264" s="18"/>
      <c r="AXR264" s="18"/>
      <c r="AXS264" s="18"/>
      <c r="AXT264" s="18"/>
      <c r="AXU264" s="18"/>
      <c r="AXV264" s="18"/>
      <c r="AXW264" s="18"/>
      <c r="AXX264" s="18"/>
      <c r="AXY264" s="18"/>
      <c r="AXZ264" s="18"/>
      <c r="AYA264" s="18"/>
      <c r="AYB264" s="18"/>
      <c r="AYC264" s="18"/>
      <c r="AYD264" s="18"/>
      <c r="AYE264" s="18"/>
      <c r="AYF264" s="18"/>
      <c r="AYG264" s="18"/>
      <c r="AYH264" s="18"/>
      <c r="AYI264" s="18"/>
      <c r="AYJ264" s="18"/>
      <c r="AYK264" s="18"/>
      <c r="AYL264" s="18"/>
      <c r="AYM264" s="18"/>
      <c r="AYN264" s="18"/>
      <c r="AYO264" s="18"/>
      <c r="AYP264" s="18"/>
      <c r="AYQ264" s="18"/>
      <c r="AYR264" s="18"/>
      <c r="AYS264" s="18"/>
      <c r="AYT264" s="18"/>
      <c r="AYU264" s="18"/>
      <c r="AYV264" s="18"/>
      <c r="AYW264" s="18"/>
      <c r="AYX264" s="18"/>
      <c r="AYY264" s="18"/>
      <c r="AYZ264" s="18"/>
      <c r="AZA264" s="18"/>
      <c r="AZB264" s="18"/>
      <c r="AZC264" s="18"/>
      <c r="AZD264" s="18"/>
      <c r="AZE264" s="18"/>
      <c r="AZF264" s="18"/>
      <c r="AZG264" s="18"/>
      <c r="AZH264" s="18"/>
      <c r="AZI264" s="18"/>
      <c r="AZJ264" s="18"/>
      <c r="AZK264" s="18"/>
      <c r="AZL264" s="18"/>
      <c r="AZM264" s="18"/>
      <c r="AZN264" s="18"/>
      <c r="AZO264" s="18"/>
      <c r="AZP264" s="18"/>
      <c r="AZQ264" s="18"/>
      <c r="AZR264" s="18"/>
      <c r="AZS264" s="18"/>
      <c r="AZT264" s="18"/>
      <c r="AZU264" s="18"/>
      <c r="AZV264" s="18"/>
      <c r="AZW264" s="18"/>
      <c r="AZX264" s="18"/>
      <c r="AZY264" s="18"/>
      <c r="AZZ264" s="18"/>
      <c r="BAA264" s="18"/>
      <c r="BAB264" s="18"/>
      <c r="BAC264" s="18"/>
      <c r="BAD264" s="18"/>
      <c r="BAE264" s="18"/>
      <c r="BAF264" s="18"/>
      <c r="BAG264" s="18"/>
      <c r="BAH264" s="18"/>
      <c r="BAI264" s="18"/>
      <c r="BAJ264" s="18"/>
      <c r="BAK264" s="18"/>
      <c r="BAL264" s="18"/>
      <c r="BAM264" s="18"/>
      <c r="BAN264" s="18"/>
      <c r="BAO264" s="18"/>
      <c r="BAP264" s="18"/>
      <c r="BAQ264" s="18"/>
      <c r="BAR264" s="18"/>
      <c r="BAS264" s="18"/>
      <c r="BAT264" s="18"/>
      <c r="BAU264" s="18"/>
      <c r="BAV264" s="18"/>
      <c r="BAW264" s="18"/>
      <c r="BAX264" s="18"/>
      <c r="BAY264" s="18"/>
      <c r="BAZ264" s="18"/>
      <c r="BBA264" s="18"/>
      <c r="BBB264" s="18"/>
      <c r="BBC264" s="18"/>
      <c r="BBD264" s="18"/>
      <c r="BBE264" s="18"/>
      <c r="BBF264" s="18"/>
      <c r="BBG264" s="18"/>
      <c r="BBH264" s="18"/>
      <c r="BBI264" s="18"/>
      <c r="BBJ264" s="18"/>
      <c r="BBK264" s="18"/>
      <c r="BBL264" s="18"/>
      <c r="BBM264" s="18"/>
      <c r="BBN264" s="18"/>
      <c r="BBO264" s="18"/>
      <c r="BBP264" s="18"/>
      <c r="BBQ264" s="18"/>
      <c r="BBR264" s="18"/>
      <c r="BBS264" s="18"/>
      <c r="BBT264" s="18"/>
      <c r="BBU264" s="18"/>
      <c r="BBV264" s="18"/>
      <c r="BBW264" s="18"/>
      <c r="BBX264" s="18"/>
      <c r="BBY264" s="18"/>
      <c r="BBZ264" s="18"/>
      <c r="BCA264" s="18"/>
      <c r="BCB264" s="18"/>
      <c r="BCC264" s="18"/>
      <c r="BCD264" s="18"/>
      <c r="BCE264" s="18"/>
      <c r="BCF264" s="18"/>
      <c r="BCG264" s="18"/>
      <c r="BCH264" s="18"/>
      <c r="BCI264" s="18"/>
      <c r="BCJ264" s="18"/>
      <c r="BCK264" s="18"/>
      <c r="BCL264" s="18"/>
      <c r="BCM264" s="18"/>
      <c r="BCN264" s="18"/>
      <c r="BCO264" s="18"/>
      <c r="BCP264" s="18"/>
      <c r="BCQ264" s="18"/>
      <c r="BCR264" s="18"/>
      <c r="BCS264" s="18"/>
      <c r="BCT264" s="18"/>
      <c r="BCU264" s="18"/>
      <c r="BCV264" s="18"/>
      <c r="BCW264" s="18"/>
      <c r="BCX264" s="18"/>
      <c r="BCY264" s="18"/>
      <c r="BCZ264" s="18"/>
      <c r="BDA264" s="18"/>
      <c r="BDB264" s="18"/>
      <c r="BDC264" s="18"/>
      <c r="BDD264" s="18"/>
      <c r="BDE264" s="18"/>
      <c r="BDF264" s="18"/>
      <c r="BDG264" s="18"/>
      <c r="BDH264" s="18"/>
      <c r="BDI264" s="18"/>
      <c r="BDJ264" s="18"/>
      <c r="BDK264" s="18"/>
      <c r="BDL264" s="18"/>
      <c r="BDM264" s="18"/>
      <c r="BDN264" s="18"/>
      <c r="BDO264" s="18"/>
      <c r="BDP264" s="18"/>
      <c r="BDQ264" s="18"/>
      <c r="BDR264" s="18"/>
      <c r="BDS264" s="18"/>
      <c r="BDT264" s="18"/>
      <c r="BDU264" s="18"/>
      <c r="BDV264" s="18"/>
      <c r="BDW264" s="18"/>
      <c r="BDX264" s="18"/>
      <c r="BDY264" s="18"/>
      <c r="BDZ264" s="18"/>
      <c r="BEA264" s="18"/>
      <c r="BEB264" s="18"/>
      <c r="BEC264" s="18"/>
      <c r="BED264" s="18"/>
      <c r="BEE264" s="18"/>
      <c r="BEF264" s="18"/>
      <c r="BEG264" s="18"/>
      <c r="BEH264" s="18"/>
      <c r="BEI264" s="18"/>
      <c r="BEJ264" s="18"/>
      <c r="BEK264" s="18"/>
      <c r="BEL264" s="18"/>
      <c r="BEM264" s="18"/>
      <c r="BEN264" s="18"/>
      <c r="BEO264" s="18"/>
      <c r="BEP264" s="18"/>
      <c r="BEQ264" s="18"/>
      <c r="BER264" s="18"/>
      <c r="BES264" s="18"/>
      <c r="BET264" s="18"/>
      <c r="BEU264" s="18"/>
      <c r="BEV264" s="18"/>
      <c r="BEW264" s="18"/>
      <c r="BEX264" s="18"/>
      <c r="BEY264" s="18"/>
      <c r="BEZ264" s="18"/>
      <c r="BFA264" s="18"/>
      <c r="BFB264" s="18"/>
      <c r="BFC264" s="18"/>
      <c r="BFD264" s="18"/>
      <c r="BFE264" s="18"/>
      <c r="BFF264" s="18"/>
      <c r="BFG264" s="18"/>
      <c r="BFH264" s="18"/>
      <c r="BFI264" s="18"/>
      <c r="BFJ264" s="18"/>
      <c r="BFK264" s="18"/>
      <c r="BFL264" s="18"/>
      <c r="BFM264" s="18"/>
      <c r="BFN264" s="18"/>
      <c r="BFO264" s="18"/>
      <c r="BFP264" s="18"/>
      <c r="BFQ264" s="18"/>
      <c r="BFR264" s="18"/>
      <c r="BFS264" s="18"/>
      <c r="BFT264" s="18"/>
      <c r="BFU264" s="18"/>
      <c r="BFV264" s="18"/>
      <c r="BFW264" s="18"/>
      <c r="BFX264" s="18"/>
      <c r="BFY264" s="18"/>
      <c r="BFZ264" s="18"/>
      <c r="BGA264" s="18"/>
      <c r="BGB264" s="18"/>
      <c r="BGC264" s="18"/>
      <c r="BGD264" s="18"/>
      <c r="BGE264" s="18"/>
      <c r="BGF264" s="18"/>
      <c r="BGG264" s="18"/>
      <c r="BGH264" s="18"/>
      <c r="BGI264" s="18"/>
      <c r="BGJ264" s="18"/>
      <c r="BGK264" s="18"/>
      <c r="BGL264" s="18"/>
      <c r="BGM264" s="18"/>
      <c r="BGN264" s="18"/>
      <c r="BGO264" s="18"/>
      <c r="BGP264" s="18"/>
      <c r="BGQ264" s="18"/>
      <c r="BGR264" s="18"/>
      <c r="BGS264" s="18"/>
      <c r="BGT264" s="18"/>
      <c r="BGU264" s="18"/>
      <c r="BGV264" s="18"/>
      <c r="BGW264" s="18"/>
      <c r="BGX264" s="18"/>
      <c r="BGY264" s="18"/>
      <c r="BGZ264" s="18"/>
      <c r="BHA264" s="18"/>
      <c r="BHB264" s="18"/>
      <c r="BHC264" s="18"/>
      <c r="BHD264" s="18"/>
      <c r="BHE264" s="18"/>
      <c r="BHF264" s="18"/>
      <c r="BHG264" s="18"/>
      <c r="BHH264" s="18"/>
      <c r="BHI264" s="18"/>
      <c r="BHJ264" s="18"/>
      <c r="BHK264" s="18"/>
      <c r="BHL264" s="18"/>
      <c r="BHM264" s="18"/>
      <c r="BHN264" s="18"/>
      <c r="BHO264" s="18"/>
      <c r="BHP264" s="18"/>
      <c r="BHQ264" s="18"/>
      <c r="BHR264" s="18"/>
      <c r="BHS264" s="18"/>
      <c r="BHT264" s="18"/>
      <c r="BHU264" s="18"/>
      <c r="BHV264" s="18"/>
      <c r="BHW264" s="18"/>
      <c r="BHX264" s="18"/>
      <c r="BHY264" s="18"/>
      <c r="BHZ264" s="18"/>
      <c r="BIA264" s="18"/>
      <c r="BIB264" s="18"/>
      <c r="BIC264" s="18"/>
      <c r="BID264" s="18"/>
      <c r="BIE264" s="18"/>
      <c r="BIF264" s="18"/>
      <c r="BIG264" s="18"/>
      <c r="BIH264" s="18"/>
      <c r="BII264" s="18"/>
      <c r="BIJ264" s="18"/>
      <c r="BIK264" s="18"/>
      <c r="BIL264" s="18"/>
      <c r="BIM264" s="18"/>
      <c r="BIN264" s="18"/>
      <c r="BIO264" s="18"/>
      <c r="BIP264" s="18"/>
      <c r="BIQ264" s="18"/>
      <c r="BIR264" s="18"/>
      <c r="BIS264" s="18"/>
      <c r="BIT264" s="18"/>
      <c r="BIU264" s="18"/>
      <c r="BIV264" s="18"/>
      <c r="BIW264" s="18"/>
      <c r="BIX264" s="18"/>
      <c r="BIY264" s="18"/>
      <c r="BIZ264" s="18"/>
      <c r="BJA264" s="18"/>
      <c r="BJB264" s="18"/>
      <c r="BJC264" s="18"/>
      <c r="BJD264" s="18"/>
      <c r="BJE264" s="18"/>
      <c r="BJF264" s="18"/>
      <c r="BJG264" s="18"/>
      <c r="BJH264" s="18"/>
      <c r="BJI264" s="18"/>
      <c r="BJJ264" s="18"/>
      <c r="BJK264" s="18"/>
      <c r="BJL264" s="18"/>
      <c r="BJM264" s="18"/>
      <c r="BJN264" s="18"/>
      <c r="BJO264" s="18"/>
      <c r="BJP264" s="18"/>
      <c r="BJQ264" s="18"/>
      <c r="BJR264" s="18"/>
      <c r="BJS264" s="18"/>
      <c r="BJT264" s="18"/>
      <c r="BJU264" s="18"/>
      <c r="BJV264" s="18"/>
      <c r="BJW264" s="18"/>
      <c r="BJX264" s="18"/>
      <c r="BJY264" s="18"/>
      <c r="BJZ264" s="18"/>
      <c r="BKA264" s="18"/>
      <c r="BKB264" s="18"/>
      <c r="BKC264" s="18"/>
      <c r="BKD264" s="18"/>
      <c r="BKE264" s="18"/>
      <c r="BKF264" s="18"/>
      <c r="BKG264" s="18"/>
      <c r="BKH264" s="18"/>
      <c r="BKI264" s="18"/>
      <c r="BKJ264" s="18"/>
      <c r="BKK264" s="18"/>
      <c r="BKL264" s="18"/>
      <c r="BKM264" s="18"/>
      <c r="BKN264" s="18"/>
      <c r="BKO264" s="18"/>
      <c r="BKP264" s="18"/>
      <c r="BKQ264" s="18"/>
      <c r="BKR264" s="18"/>
      <c r="BKS264" s="18"/>
      <c r="BKT264" s="18"/>
      <c r="BKU264" s="18"/>
      <c r="BKV264" s="18"/>
      <c r="BKW264" s="18"/>
      <c r="BKX264" s="18"/>
      <c r="BKY264" s="18"/>
      <c r="BKZ264" s="18"/>
      <c r="BLA264" s="18"/>
      <c r="BLB264" s="18"/>
      <c r="BLC264" s="18"/>
      <c r="BLD264" s="18"/>
      <c r="BLE264" s="18"/>
      <c r="BLF264" s="18"/>
      <c r="BLG264" s="18"/>
      <c r="BLH264" s="18"/>
      <c r="BLI264" s="18"/>
      <c r="BLJ264" s="18"/>
      <c r="BLK264" s="18"/>
      <c r="BLL264" s="18"/>
      <c r="BLM264" s="18"/>
      <c r="BLN264" s="18"/>
      <c r="BLO264" s="18"/>
      <c r="BLP264" s="18"/>
      <c r="BLQ264" s="18"/>
      <c r="BLR264" s="18"/>
      <c r="BLS264" s="18"/>
      <c r="BLT264" s="18"/>
      <c r="BLU264" s="18"/>
      <c r="BLV264" s="18"/>
      <c r="BLW264" s="18"/>
      <c r="BLX264" s="18"/>
      <c r="BLY264" s="18"/>
      <c r="BLZ264" s="18"/>
      <c r="BMA264" s="18"/>
      <c r="BMB264" s="18"/>
      <c r="BMC264" s="18"/>
      <c r="BMD264" s="18"/>
      <c r="BME264" s="18"/>
      <c r="BMF264" s="18"/>
      <c r="BMG264" s="18"/>
      <c r="BMH264" s="18"/>
      <c r="BMI264" s="18"/>
      <c r="BMJ264" s="18"/>
      <c r="BMK264" s="18"/>
      <c r="BML264" s="18"/>
      <c r="BMM264" s="18"/>
      <c r="BMN264" s="18"/>
      <c r="BMO264" s="18"/>
      <c r="BMP264" s="18"/>
      <c r="BMQ264" s="18"/>
      <c r="BMR264" s="18"/>
      <c r="BMS264" s="18"/>
      <c r="BMT264" s="18"/>
      <c r="BMU264" s="18"/>
      <c r="BMV264" s="18"/>
      <c r="BMW264" s="18"/>
      <c r="BMX264" s="18"/>
      <c r="BMY264" s="18"/>
      <c r="BMZ264" s="18"/>
      <c r="BNA264" s="18"/>
      <c r="BNB264" s="18"/>
      <c r="BNC264" s="18"/>
      <c r="BND264" s="18"/>
      <c r="BNE264" s="18"/>
      <c r="BNF264" s="18"/>
      <c r="BNG264" s="18"/>
      <c r="BNH264" s="18"/>
      <c r="BNI264" s="18"/>
      <c r="BNJ264" s="18"/>
      <c r="BNK264" s="18"/>
      <c r="BNL264" s="18"/>
      <c r="BNM264" s="18"/>
      <c r="BNN264" s="18"/>
      <c r="BNO264" s="18"/>
      <c r="BNP264" s="18"/>
      <c r="BNQ264" s="18"/>
      <c r="BNR264" s="18"/>
      <c r="BNS264" s="18"/>
      <c r="BNT264" s="18"/>
      <c r="BNU264" s="18"/>
      <c r="BNV264" s="18"/>
      <c r="BNW264" s="18"/>
      <c r="BNX264" s="18"/>
      <c r="BNY264" s="18"/>
      <c r="BNZ264" s="18"/>
      <c r="BOA264" s="18"/>
      <c r="BOB264" s="18"/>
      <c r="BOC264" s="18"/>
      <c r="BOD264" s="18"/>
      <c r="BOE264" s="18"/>
      <c r="BOF264" s="18"/>
      <c r="BOG264" s="18"/>
      <c r="BOH264" s="18"/>
      <c r="BOI264" s="18"/>
      <c r="BOJ264" s="18"/>
      <c r="BOK264" s="18"/>
      <c r="BOL264" s="18"/>
      <c r="BOM264" s="18"/>
      <c r="BON264" s="18"/>
      <c r="BOO264" s="18"/>
      <c r="BOP264" s="18"/>
      <c r="BOQ264" s="18"/>
      <c r="BOR264" s="18"/>
      <c r="BOS264" s="18"/>
      <c r="BOT264" s="18"/>
      <c r="BOU264" s="18"/>
      <c r="BOV264" s="18"/>
      <c r="BOW264" s="18"/>
      <c r="BOX264" s="18"/>
      <c r="BOY264" s="18"/>
      <c r="BOZ264" s="18"/>
      <c r="BPA264" s="18"/>
      <c r="BPB264" s="18"/>
      <c r="BPC264" s="18"/>
      <c r="BPD264" s="18"/>
      <c r="BPE264" s="18"/>
      <c r="BPF264" s="18"/>
      <c r="BPG264" s="18"/>
      <c r="BPH264" s="18"/>
      <c r="BPI264" s="18"/>
      <c r="BPJ264" s="18"/>
      <c r="BPK264" s="18"/>
      <c r="BPL264" s="18"/>
      <c r="BPM264" s="18"/>
      <c r="BPN264" s="18"/>
      <c r="BPO264" s="18"/>
      <c r="BPP264" s="18"/>
      <c r="BPQ264" s="18"/>
      <c r="BPR264" s="18"/>
      <c r="BPS264" s="18"/>
      <c r="BPT264" s="18"/>
      <c r="BPU264" s="18"/>
      <c r="BPV264" s="18"/>
      <c r="BPW264" s="18"/>
      <c r="BPX264" s="18"/>
      <c r="BPY264" s="18"/>
      <c r="BPZ264" s="18"/>
      <c r="BQA264" s="18"/>
      <c r="BQB264" s="18"/>
      <c r="BQC264" s="18"/>
      <c r="BQD264" s="18"/>
      <c r="BQE264" s="18"/>
      <c r="BQF264" s="18"/>
      <c r="BQG264" s="18"/>
      <c r="BQH264" s="18"/>
      <c r="BQI264" s="18"/>
      <c r="BQJ264" s="18"/>
      <c r="BQK264" s="18"/>
      <c r="BQL264" s="18"/>
      <c r="BQM264" s="18"/>
      <c r="BQN264" s="18"/>
      <c r="BQO264" s="18"/>
      <c r="BQP264" s="18"/>
      <c r="BQQ264" s="18"/>
      <c r="BQR264" s="18"/>
      <c r="BQS264" s="18"/>
      <c r="BQT264" s="18"/>
      <c r="BQU264" s="18"/>
      <c r="BQV264" s="18"/>
      <c r="BQW264" s="18"/>
      <c r="BQX264" s="18"/>
      <c r="BQY264" s="18"/>
      <c r="BQZ264" s="18"/>
      <c r="BRA264" s="18"/>
      <c r="BRB264" s="18"/>
      <c r="BRC264" s="18"/>
      <c r="BRD264" s="18"/>
      <c r="BRE264" s="18"/>
      <c r="BRF264" s="18"/>
      <c r="BRG264" s="18"/>
      <c r="BRH264" s="18"/>
      <c r="BRI264" s="18"/>
      <c r="BRJ264" s="18"/>
      <c r="BRK264" s="18"/>
      <c r="BRL264" s="18"/>
      <c r="BRM264" s="18"/>
      <c r="BRN264" s="18"/>
      <c r="BRO264" s="18"/>
      <c r="BRP264" s="18"/>
      <c r="BRQ264" s="18"/>
      <c r="BRR264" s="18"/>
      <c r="BRS264" s="18"/>
      <c r="BRT264" s="18"/>
      <c r="BRU264" s="18"/>
      <c r="BRV264" s="18"/>
      <c r="BRW264" s="18"/>
      <c r="BRX264" s="18"/>
      <c r="BRY264" s="18"/>
      <c r="BRZ264" s="18"/>
      <c r="BSA264" s="18"/>
      <c r="BSB264" s="18"/>
      <c r="BSC264" s="18"/>
      <c r="BSD264" s="18"/>
      <c r="BSE264" s="18"/>
      <c r="BSF264" s="18"/>
      <c r="BSG264" s="18"/>
      <c r="BSH264" s="18"/>
      <c r="BSI264" s="18"/>
      <c r="BSJ264" s="18"/>
      <c r="BSK264" s="18"/>
      <c r="BSL264" s="18"/>
      <c r="BSM264" s="18"/>
      <c r="BSN264" s="18"/>
      <c r="BSO264" s="18"/>
      <c r="BSP264" s="18"/>
      <c r="BSQ264" s="18"/>
      <c r="BSR264" s="18"/>
      <c r="BSS264" s="18"/>
      <c r="BST264" s="18"/>
      <c r="BSU264" s="18"/>
      <c r="BSV264" s="18"/>
      <c r="BSW264" s="18"/>
      <c r="BSX264" s="18"/>
      <c r="BSY264" s="18"/>
      <c r="BSZ264" s="18"/>
      <c r="BTA264" s="18"/>
      <c r="BTB264" s="18"/>
      <c r="BTC264" s="18"/>
      <c r="BTD264" s="18"/>
      <c r="BTE264" s="18"/>
      <c r="BTF264" s="18"/>
      <c r="BTG264" s="18"/>
      <c r="BTH264" s="18"/>
      <c r="BTI264" s="18"/>
    </row>
    <row r="265" spans="1:1881" s="786" customFormat="1" ht="81.75" customHeight="1" x14ac:dyDescent="0.3">
      <c r="A265" s="108">
        <v>598</v>
      </c>
      <c r="B265" s="688" t="s">
        <v>59</v>
      </c>
      <c r="C265" s="688" t="s">
        <v>529</v>
      </c>
      <c r="D265" s="725" t="s">
        <v>677</v>
      </c>
      <c r="E265" s="686" t="e">
        <f>HLOOKUP($D$2,'2020 Data(H)'!$C$1:$CR$399,258,FALSE)</f>
        <v>#N/A</v>
      </c>
      <c r="F265" s="296">
        <v>0</v>
      </c>
      <c r="G265" s="747">
        <f>IF(F265&lt;0,"Error: Enter as positive.",)</f>
        <v>0</v>
      </c>
      <c r="H265" s="747"/>
      <c r="I265" s="783"/>
      <c r="J265" s="592"/>
      <c r="K265" s="18"/>
      <c r="L265" s="18"/>
      <c r="M265" s="18"/>
      <c r="N265" s="298"/>
      <c r="O265" s="18"/>
      <c r="P265" s="18"/>
      <c r="Q265" s="18"/>
      <c r="R265" s="18"/>
      <c r="S265" s="18"/>
      <c r="T265" s="18"/>
      <c r="U265" s="18"/>
      <c r="V265" s="18"/>
      <c r="W265" s="18"/>
      <c r="X265" s="18"/>
      <c r="Y265" s="18"/>
      <c r="Z265" s="108"/>
      <c r="AA265" s="108"/>
      <c r="AB265" s="108"/>
      <c r="AC265" s="108"/>
      <c r="AD265" s="108"/>
      <c r="AE265" s="108"/>
      <c r="AF265" s="108"/>
      <c r="AG265" s="108"/>
      <c r="AH265" s="108"/>
      <c r="AI265" s="108"/>
      <c r="AJ265" s="108"/>
      <c r="AK265" s="108"/>
      <c r="AL265" s="108"/>
      <c r="AM265" s="108"/>
      <c r="AN265" s="108"/>
      <c r="AO265" s="108"/>
      <c r="AP265" s="108"/>
      <c r="AQ265" s="108"/>
      <c r="AR265" s="10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c r="WZ265" s="18"/>
      <c r="XA265" s="18"/>
      <c r="XB265" s="18"/>
      <c r="XC265" s="18"/>
      <c r="XD265" s="18"/>
      <c r="XE265" s="18"/>
      <c r="XF265" s="18"/>
      <c r="XG265" s="18"/>
      <c r="XH265" s="18"/>
      <c r="XI265" s="18"/>
      <c r="XJ265" s="18"/>
      <c r="XK265" s="18"/>
      <c r="XL265" s="18"/>
      <c r="XM265" s="18"/>
      <c r="XN265" s="18"/>
      <c r="XO265" s="18"/>
      <c r="XP265" s="18"/>
      <c r="XQ265" s="18"/>
      <c r="XR265" s="18"/>
      <c r="XS265" s="18"/>
      <c r="XT265" s="18"/>
      <c r="XU265" s="18"/>
      <c r="XV265" s="18"/>
      <c r="XW265" s="18"/>
      <c r="XX265" s="18"/>
      <c r="XY265" s="18"/>
      <c r="XZ265" s="18"/>
      <c r="YA265" s="18"/>
      <c r="YB265" s="18"/>
      <c r="YC265" s="18"/>
      <c r="YD265" s="18"/>
      <c r="YE265" s="18"/>
      <c r="YF265" s="18"/>
      <c r="YG265" s="18"/>
      <c r="YH265" s="18"/>
      <c r="YI265" s="18"/>
      <c r="YJ265" s="18"/>
      <c r="YK265" s="18"/>
      <c r="YL265" s="18"/>
      <c r="YM265" s="18"/>
      <c r="YN265" s="18"/>
      <c r="YO265" s="18"/>
      <c r="YP265" s="18"/>
      <c r="YQ265" s="18"/>
      <c r="YR265" s="18"/>
      <c r="YS265" s="18"/>
      <c r="YT265" s="18"/>
      <c r="YU265" s="18"/>
      <c r="YV265" s="18"/>
      <c r="YW265" s="18"/>
      <c r="YX265" s="18"/>
      <c r="YY265" s="18"/>
      <c r="YZ265" s="18"/>
      <c r="ZA265" s="18"/>
      <c r="ZB265" s="18"/>
      <c r="ZC265" s="18"/>
      <c r="ZD265" s="18"/>
      <c r="ZE265" s="18"/>
      <c r="ZF265" s="18"/>
      <c r="ZG265" s="18"/>
      <c r="ZH265" s="18"/>
      <c r="ZI265" s="18"/>
      <c r="ZJ265" s="18"/>
      <c r="ZK265" s="18"/>
      <c r="ZL265" s="18"/>
      <c r="ZM265" s="18"/>
      <c r="ZN265" s="18"/>
      <c r="ZO265" s="18"/>
      <c r="ZP265" s="18"/>
      <c r="ZQ265" s="18"/>
      <c r="ZR265" s="18"/>
      <c r="ZS265" s="18"/>
      <c r="ZT265" s="18"/>
      <c r="ZU265" s="18"/>
      <c r="ZV265" s="18"/>
      <c r="ZW265" s="18"/>
      <c r="ZX265" s="18"/>
      <c r="ZY265" s="18"/>
      <c r="ZZ265" s="18"/>
      <c r="AAA265" s="18"/>
      <c r="AAB265" s="18"/>
      <c r="AAC265" s="18"/>
      <c r="AAD265" s="18"/>
      <c r="AAE265" s="18"/>
      <c r="AAF265" s="18"/>
      <c r="AAG265" s="18"/>
      <c r="AAH265" s="18"/>
      <c r="AAI265" s="18"/>
      <c r="AAJ265" s="18"/>
      <c r="AAK265" s="18"/>
      <c r="AAL265" s="18"/>
      <c r="AAM265" s="18"/>
      <c r="AAN265" s="18"/>
      <c r="AAO265" s="18"/>
      <c r="AAP265" s="18"/>
      <c r="AAQ265" s="18"/>
      <c r="AAR265" s="18"/>
      <c r="AAS265" s="18"/>
      <c r="AAT265" s="18"/>
      <c r="AAU265" s="18"/>
      <c r="AAV265" s="18"/>
      <c r="AAW265" s="18"/>
      <c r="AAX265" s="18"/>
      <c r="AAY265" s="18"/>
      <c r="AAZ265" s="18"/>
      <c r="ABA265" s="18"/>
      <c r="ABB265" s="18"/>
      <c r="ABC265" s="18"/>
      <c r="ABD265" s="18"/>
      <c r="ABE265" s="18"/>
      <c r="ABF265" s="18"/>
      <c r="ABG265" s="18"/>
      <c r="ABH265" s="18"/>
      <c r="ABI265" s="18"/>
      <c r="ABJ265" s="18"/>
      <c r="ABK265" s="18"/>
      <c r="ABL265" s="18"/>
      <c r="ABM265" s="18"/>
      <c r="ABN265" s="18"/>
      <c r="ABO265" s="18"/>
      <c r="ABP265" s="18"/>
      <c r="ABQ265" s="18"/>
      <c r="ABR265" s="18"/>
      <c r="ABS265" s="18"/>
      <c r="ABT265" s="18"/>
      <c r="ABU265" s="18"/>
      <c r="ABV265" s="18"/>
      <c r="ABW265" s="18"/>
      <c r="ABX265" s="18"/>
      <c r="ABY265" s="18"/>
      <c r="ABZ265" s="18"/>
      <c r="ACA265" s="18"/>
      <c r="ACB265" s="18"/>
      <c r="ACC265" s="18"/>
      <c r="ACD265" s="18"/>
      <c r="ACE265" s="18"/>
      <c r="ACF265" s="18"/>
      <c r="ACG265" s="18"/>
      <c r="ACH265" s="18"/>
      <c r="ACI265" s="18"/>
      <c r="ACJ265" s="18"/>
      <c r="ACK265" s="18"/>
      <c r="ACL265" s="18"/>
      <c r="ACM265" s="18"/>
      <c r="ACN265" s="18"/>
      <c r="ACO265" s="18"/>
      <c r="ACP265" s="18"/>
      <c r="ACQ265" s="18"/>
      <c r="ACR265" s="18"/>
      <c r="ACS265" s="18"/>
      <c r="ACT265" s="18"/>
      <c r="ACU265" s="18"/>
      <c r="ACV265" s="18"/>
      <c r="ACW265" s="18"/>
      <c r="ACX265" s="18"/>
      <c r="ACY265" s="18"/>
      <c r="ACZ265" s="18"/>
      <c r="ADA265" s="18"/>
      <c r="ADB265" s="18"/>
      <c r="ADC265" s="18"/>
      <c r="ADD265" s="18"/>
      <c r="ADE265" s="18"/>
      <c r="ADF265" s="18"/>
      <c r="ADG265" s="18"/>
      <c r="ADH265" s="18"/>
      <c r="ADI265" s="18"/>
      <c r="ADJ265" s="18"/>
      <c r="ADK265" s="18"/>
      <c r="ADL265" s="18"/>
      <c r="ADM265" s="18"/>
      <c r="ADN265" s="18"/>
      <c r="ADO265" s="18"/>
      <c r="ADP265" s="18"/>
      <c r="ADQ265" s="18"/>
      <c r="ADR265" s="18"/>
      <c r="ADS265" s="18"/>
      <c r="ADT265" s="18"/>
      <c r="ADU265" s="18"/>
      <c r="ADV265" s="18"/>
      <c r="ADW265" s="18"/>
      <c r="ADX265" s="18"/>
      <c r="ADY265" s="18"/>
      <c r="ADZ265" s="18"/>
      <c r="AEA265" s="18"/>
      <c r="AEB265" s="18"/>
      <c r="AEC265" s="18"/>
      <c r="AED265" s="18"/>
      <c r="AEE265" s="18"/>
      <c r="AEF265" s="18"/>
      <c r="AEG265" s="18"/>
      <c r="AEH265" s="18"/>
      <c r="AEI265" s="18"/>
      <c r="AEJ265" s="18"/>
      <c r="AEK265" s="18"/>
      <c r="AEL265" s="18"/>
      <c r="AEM265" s="18"/>
      <c r="AEN265" s="18"/>
      <c r="AEO265" s="18"/>
      <c r="AEP265" s="18"/>
      <c r="AEQ265" s="18"/>
      <c r="AER265" s="18"/>
      <c r="AES265" s="18"/>
      <c r="AET265" s="18"/>
      <c r="AEU265" s="18"/>
      <c r="AEV265" s="18"/>
      <c r="AEW265" s="18"/>
      <c r="AEX265" s="18"/>
      <c r="AEY265" s="18"/>
      <c r="AEZ265" s="18"/>
      <c r="AFA265" s="18"/>
      <c r="AFB265" s="18"/>
      <c r="AFC265" s="18"/>
      <c r="AFD265" s="18"/>
      <c r="AFE265" s="18"/>
      <c r="AFF265" s="18"/>
      <c r="AFG265" s="18"/>
      <c r="AFH265" s="18"/>
      <c r="AFI265" s="18"/>
      <c r="AFJ265" s="18"/>
      <c r="AFK265" s="18"/>
      <c r="AFL265" s="18"/>
      <c r="AFM265" s="18"/>
      <c r="AFN265" s="18"/>
      <c r="AFO265" s="18"/>
      <c r="AFP265" s="18"/>
      <c r="AFQ265" s="18"/>
      <c r="AFR265" s="18"/>
      <c r="AFS265" s="18"/>
      <c r="AFT265" s="18"/>
      <c r="AFU265" s="18"/>
      <c r="AFV265" s="18"/>
      <c r="AFW265" s="18"/>
      <c r="AFX265" s="18"/>
      <c r="AFY265" s="18"/>
      <c r="AFZ265" s="18"/>
      <c r="AGA265" s="18"/>
      <c r="AGB265" s="18"/>
      <c r="AGC265" s="18"/>
      <c r="AGD265" s="18"/>
      <c r="AGE265" s="18"/>
      <c r="AGF265" s="18"/>
      <c r="AGG265" s="18"/>
      <c r="AGH265" s="18"/>
      <c r="AGI265" s="18"/>
      <c r="AGJ265" s="18"/>
      <c r="AGK265" s="18"/>
      <c r="AGL265" s="18"/>
      <c r="AGM265" s="18"/>
      <c r="AGN265" s="18"/>
      <c r="AGO265" s="18"/>
      <c r="AGP265" s="18"/>
      <c r="AGQ265" s="18"/>
      <c r="AGR265" s="18"/>
      <c r="AGS265" s="18"/>
      <c r="AGT265" s="18"/>
      <c r="AGU265" s="18"/>
      <c r="AGV265" s="18"/>
      <c r="AGW265" s="18"/>
      <c r="AGX265" s="18"/>
      <c r="AGY265" s="18"/>
      <c r="AGZ265" s="18"/>
      <c r="AHA265" s="18"/>
      <c r="AHB265" s="18"/>
      <c r="AHC265" s="18"/>
      <c r="AHD265" s="18"/>
      <c r="AHE265" s="18"/>
      <c r="AHF265" s="18"/>
      <c r="AHG265" s="18"/>
      <c r="AHH265" s="18"/>
      <c r="AHI265" s="18"/>
      <c r="AHJ265" s="18"/>
      <c r="AHK265" s="18"/>
      <c r="AHL265" s="18"/>
      <c r="AHM265" s="18"/>
      <c r="AHN265" s="18"/>
      <c r="AHO265" s="18"/>
      <c r="AHP265" s="18"/>
      <c r="AHQ265" s="18"/>
      <c r="AHR265" s="18"/>
      <c r="AHS265" s="18"/>
      <c r="AHT265" s="18"/>
      <c r="AHU265" s="18"/>
      <c r="AHV265" s="18"/>
      <c r="AHW265" s="18"/>
      <c r="AHX265" s="18"/>
      <c r="AHY265" s="18"/>
      <c r="AHZ265" s="18"/>
      <c r="AIA265" s="18"/>
      <c r="AIB265" s="18"/>
      <c r="AIC265" s="18"/>
      <c r="AID265" s="18"/>
      <c r="AIE265" s="18"/>
      <c r="AIF265" s="18"/>
      <c r="AIG265" s="18"/>
      <c r="AIH265" s="18"/>
      <c r="AII265" s="18"/>
      <c r="AIJ265" s="18"/>
      <c r="AIK265" s="18"/>
      <c r="AIL265" s="18"/>
      <c r="AIM265" s="18"/>
      <c r="AIN265" s="18"/>
      <c r="AIO265" s="18"/>
      <c r="AIP265" s="18"/>
      <c r="AIQ265" s="18"/>
      <c r="AIR265" s="18"/>
      <c r="AIS265" s="18"/>
      <c r="AIT265" s="18"/>
      <c r="AIU265" s="18"/>
      <c r="AIV265" s="18"/>
      <c r="AIW265" s="18"/>
      <c r="AIX265" s="18"/>
      <c r="AIY265" s="18"/>
      <c r="AIZ265" s="18"/>
      <c r="AJA265" s="18"/>
      <c r="AJB265" s="18"/>
      <c r="AJC265" s="18"/>
      <c r="AJD265" s="18"/>
      <c r="AJE265" s="18"/>
      <c r="AJF265" s="18"/>
      <c r="AJG265" s="18"/>
      <c r="AJH265" s="18"/>
      <c r="AJI265" s="18"/>
      <c r="AJJ265" s="18"/>
      <c r="AJK265" s="18"/>
      <c r="AJL265" s="18"/>
      <c r="AJM265" s="18"/>
      <c r="AJN265" s="18"/>
      <c r="AJO265" s="18"/>
      <c r="AJP265" s="18"/>
      <c r="AJQ265" s="18"/>
      <c r="AJR265" s="18"/>
      <c r="AJS265" s="18"/>
      <c r="AJT265" s="18"/>
      <c r="AJU265" s="18"/>
      <c r="AJV265" s="18"/>
      <c r="AJW265" s="18"/>
      <c r="AJX265" s="18"/>
      <c r="AJY265" s="18"/>
      <c r="AJZ265" s="18"/>
      <c r="AKA265" s="18"/>
      <c r="AKB265" s="18"/>
      <c r="AKC265" s="18"/>
      <c r="AKD265" s="18"/>
      <c r="AKE265" s="18"/>
      <c r="AKF265" s="18"/>
      <c r="AKG265" s="18"/>
      <c r="AKH265" s="18"/>
      <c r="AKI265" s="18"/>
      <c r="AKJ265" s="18"/>
      <c r="AKK265" s="18"/>
      <c r="AKL265" s="18"/>
      <c r="AKM265" s="18"/>
      <c r="AKN265" s="18"/>
      <c r="AKO265" s="18"/>
      <c r="AKP265" s="18"/>
      <c r="AKQ265" s="18"/>
      <c r="AKR265" s="18"/>
      <c r="AKS265" s="18"/>
      <c r="AKT265" s="18"/>
      <c r="AKU265" s="18"/>
      <c r="AKV265" s="18"/>
      <c r="AKW265" s="18"/>
      <c r="AKX265" s="18"/>
      <c r="AKY265" s="18"/>
      <c r="AKZ265" s="18"/>
      <c r="ALA265" s="18"/>
      <c r="ALB265" s="18"/>
      <c r="ALC265" s="18"/>
      <c r="ALD265" s="18"/>
      <c r="ALE265" s="18"/>
      <c r="ALF265" s="18"/>
      <c r="ALG265" s="18"/>
      <c r="ALH265" s="18"/>
      <c r="ALI265" s="18"/>
      <c r="ALJ265" s="18"/>
      <c r="ALK265" s="18"/>
      <c r="ALL265" s="18"/>
      <c r="ALM265" s="18"/>
      <c r="ALN265" s="18"/>
      <c r="ALO265" s="18"/>
      <c r="ALP265" s="18"/>
      <c r="ALQ265" s="18"/>
      <c r="ALR265" s="18"/>
      <c r="ALS265" s="18"/>
      <c r="ALT265" s="18"/>
      <c r="ALU265" s="18"/>
      <c r="ALV265" s="18"/>
      <c r="ALW265" s="18"/>
      <c r="ALX265" s="18"/>
      <c r="ALY265" s="18"/>
      <c r="ALZ265" s="18"/>
      <c r="AMA265" s="18"/>
      <c r="AMB265" s="18"/>
      <c r="AMC265" s="18"/>
      <c r="AMD265" s="18"/>
      <c r="AME265" s="18"/>
      <c r="AMF265" s="18"/>
      <c r="AMG265" s="18"/>
      <c r="AMH265" s="18"/>
      <c r="AMI265" s="18"/>
      <c r="AMJ265" s="18"/>
      <c r="AMK265" s="18"/>
      <c r="AML265" s="18"/>
      <c r="AMM265" s="18"/>
      <c r="AMN265" s="18"/>
      <c r="AMO265" s="18"/>
      <c r="AMP265" s="18"/>
      <c r="AMQ265" s="18"/>
      <c r="AMR265" s="18"/>
      <c r="AMS265" s="18"/>
      <c r="AMT265" s="18"/>
      <c r="AMU265" s="18"/>
      <c r="AMV265" s="18"/>
      <c r="AMW265" s="18"/>
      <c r="AMX265" s="18"/>
      <c r="AMY265" s="18"/>
      <c r="AMZ265" s="18"/>
      <c r="ANA265" s="18"/>
      <c r="ANB265" s="18"/>
      <c r="ANC265" s="18"/>
      <c r="AND265" s="18"/>
      <c r="ANE265" s="18"/>
      <c r="ANF265" s="18"/>
      <c r="ANG265" s="18"/>
      <c r="ANH265" s="18"/>
      <c r="ANI265" s="18"/>
      <c r="ANJ265" s="18"/>
      <c r="ANK265" s="18"/>
      <c r="ANL265" s="18"/>
      <c r="ANM265" s="18"/>
      <c r="ANN265" s="18"/>
      <c r="ANO265" s="18"/>
      <c r="ANP265" s="18"/>
      <c r="ANQ265" s="18"/>
      <c r="ANR265" s="18"/>
      <c r="ANS265" s="18"/>
      <c r="ANT265" s="18"/>
      <c r="ANU265" s="18"/>
      <c r="ANV265" s="18"/>
      <c r="ANW265" s="18"/>
      <c r="ANX265" s="18"/>
      <c r="ANY265" s="18"/>
      <c r="ANZ265" s="18"/>
      <c r="AOA265" s="18"/>
      <c r="AOB265" s="18"/>
      <c r="AOC265" s="18"/>
      <c r="AOD265" s="18"/>
      <c r="AOE265" s="18"/>
      <c r="AOF265" s="18"/>
      <c r="AOG265" s="18"/>
      <c r="AOH265" s="18"/>
      <c r="AOI265" s="18"/>
      <c r="AOJ265" s="18"/>
      <c r="AOK265" s="18"/>
      <c r="AOL265" s="18"/>
      <c r="AOM265" s="18"/>
      <c r="AON265" s="18"/>
      <c r="AOO265" s="18"/>
      <c r="AOP265" s="18"/>
      <c r="AOQ265" s="18"/>
      <c r="AOR265" s="18"/>
      <c r="AOS265" s="18"/>
      <c r="AOT265" s="18"/>
      <c r="AOU265" s="18"/>
      <c r="AOV265" s="18"/>
      <c r="AOW265" s="18"/>
      <c r="AOX265" s="18"/>
      <c r="AOY265" s="18"/>
      <c r="AOZ265" s="18"/>
      <c r="APA265" s="18"/>
      <c r="APB265" s="18"/>
      <c r="APC265" s="18"/>
      <c r="APD265" s="18"/>
      <c r="APE265" s="18"/>
      <c r="APF265" s="18"/>
      <c r="APG265" s="18"/>
      <c r="APH265" s="18"/>
      <c r="API265" s="18"/>
      <c r="APJ265" s="18"/>
      <c r="APK265" s="18"/>
      <c r="APL265" s="18"/>
      <c r="APM265" s="18"/>
      <c r="APN265" s="18"/>
      <c r="APO265" s="18"/>
      <c r="APP265" s="18"/>
      <c r="APQ265" s="18"/>
      <c r="APR265" s="18"/>
      <c r="APS265" s="18"/>
      <c r="APT265" s="18"/>
      <c r="APU265" s="18"/>
      <c r="APV265" s="18"/>
      <c r="APW265" s="18"/>
      <c r="APX265" s="18"/>
      <c r="APY265" s="18"/>
      <c r="APZ265" s="18"/>
      <c r="AQA265" s="18"/>
      <c r="AQB265" s="18"/>
      <c r="AQC265" s="18"/>
      <c r="AQD265" s="18"/>
      <c r="AQE265" s="18"/>
      <c r="AQF265" s="18"/>
      <c r="AQG265" s="18"/>
      <c r="AQH265" s="18"/>
      <c r="AQI265" s="18"/>
      <c r="AQJ265" s="18"/>
      <c r="AQK265" s="18"/>
      <c r="AQL265" s="18"/>
      <c r="AQM265" s="18"/>
      <c r="AQN265" s="18"/>
      <c r="AQO265" s="18"/>
      <c r="AQP265" s="18"/>
      <c r="AQQ265" s="18"/>
      <c r="AQR265" s="18"/>
      <c r="AQS265" s="18"/>
      <c r="AQT265" s="18"/>
      <c r="AQU265" s="18"/>
      <c r="AQV265" s="18"/>
      <c r="AQW265" s="18"/>
      <c r="AQX265" s="18"/>
      <c r="AQY265" s="18"/>
      <c r="AQZ265" s="18"/>
      <c r="ARA265" s="18"/>
      <c r="ARB265" s="18"/>
      <c r="ARC265" s="18"/>
      <c r="ARD265" s="18"/>
      <c r="ARE265" s="18"/>
      <c r="ARF265" s="18"/>
      <c r="ARG265" s="18"/>
      <c r="ARH265" s="18"/>
      <c r="ARI265" s="18"/>
      <c r="ARJ265" s="18"/>
      <c r="ARK265" s="18"/>
      <c r="ARL265" s="18"/>
      <c r="ARM265" s="18"/>
      <c r="ARN265" s="18"/>
      <c r="ARO265" s="18"/>
      <c r="ARP265" s="18"/>
      <c r="ARQ265" s="18"/>
      <c r="ARR265" s="18"/>
      <c r="ARS265" s="18"/>
      <c r="ART265" s="18"/>
      <c r="ARU265" s="18"/>
      <c r="ARV265" s="18"/>
      <c r="ARW265" s="18"/>
      <c r="ARX265" s="18"/>
      <c r="ARY265" s="18"/>
      <c r="ARZ265" s="18"/>
      <c r="ASA265" s="18"/>
      <c r="ASB265" s="18"/>
      <c r="ASC265" s="18"/>
      <c r="ASD265" s="18"/>
      <c r="ASE265" s="18"/>
      <c r="ASF265" s="18"/>
      <c r="ASG265" s="18"/>
      <c r="ASH265" s="18"/>
      <c r="ASI265" s="18"/>
      <c r="ASJ265" s="18"/>
      <c r="ASK265" s="18"/>
      <c r="ASL265" s="18"/>
      <c r="ASM265" s="18"/>
      <c r="ASN265" s="18"/>
      <c r="ASO265" s="18"/>
      <c r="ASP265" s="18"/>
      <c r="ASQ265" s="18"/>
      <c r="ASR265" s="18"/>
      <c r="ASS265" s="18"/>
      <c r="AST265" s="18"/>
      <c r="ASU265" s="18"/>
      <c r="ASV265" s="18"/>
      <c r="ASW265" s="18"/>
      <c r="ASX265" s="18"/>
      <c r="ASY265" s="18"/>
      <c r="ASZ265" s="18"/>
      <c r="ATA265" s="18"/>
      <c r="ATB265" s="18"/>
      <c r="ATC265" s="18"/>
      <c r="ATD265" s="18"/>
      <c r="ATE265" s="18"/>
      <c r="ATF265" s="18"/>
      <c r="ATG265" s="18"/>
      <c r="ATH265" s="18"/>
      <c r="ATI265" s="18"/>
      <c r="ATJ265" s="18"/>
      <c r="ATK265" s="18"/>
      <c r="ATL265" s="18"/>
      <c r="ATM265" s="18"/>
      <c r="ATN265" s="18"/>
      <c r="ATO265" s="18"/>
      <c r="ATP265" s="18"/>
      <c r="ATQ265" s="18"/>
      <c r="ATR265" s="18"/>
      <c r="ATS265" s="18"/>
      <c r="ATT265" s="18"/>
      <c r="ATU265" s="18"/>
      <c r="ATV265" s="18"/>
      <c r="ATW265" s="18"/>
      <c r="ATX265" s="18"/>
      <c r="ATY265" s="18"/>
      <c r="ATZ265" s="18"/>
      <c r="AUA265" s="18"/>
      <c r="AUB265" s="18"/>
      <c r="AUC265" s="18"/>
      <c r="AUD265" s="18"/>
      <c r="AUE265" s="18"/>
      <c r="AUF265" s="18"/>
      <c r="AUG265" s="18"/>
      <c r="AUH265" s="18"/>
      <c r="AUI265" s="18"/>
      <c r="AUJ265" s="18"/>
      <c r="AUK265" s="18"/>
      <c r="AUL265" s="18"/>
      <c r="AUM265" s="18"/>
      <c r="AUN265" s="18"/>
      <c r="AUO265" s="18"/>
      <c r="AUP265" s="18"/>
      <c r="AUQ265" s="18"/>
      <c r="AUR265" s="18"/>
      <c r="AUS265" s="18"/>
      <c r="AUT265" s="18"/>
      <c r="AUU265" s="18"/>
      <c r="AUV265" s="18"/>
      <c r="AUW265" s="18"/>
      <c r="AUX265" s="18"/>
      <c r="AUY265" s="18"/>
      <c r="AUZ265" s="18"/>
      <c r="AVA265" s="18"/>
      <c r="AVB265" s="18"/>
      <c r="AVC265" s="18"/>
      <c r="AVD265" s="18"/>
      <c r="AVE265" s="18"/>
      <c r="AVF265" s="18"/>
      <c r="AVG265" s="18"/>
      <c r="AVH265" s="18"/>
      <c r="AVI265" s="18"/>
      <c r="AVJ265" s="18"/>
      <c r="AVK265" s="18"/>
      <c r="AVL265" s="18"/>
      <c r="AVM265" s="18"/>
      <c r="AVN265" s="18"/>
      <c r="AVO265" s="18"/>
      <c r="AVP265" s="18"/>
      <c r="AVQ265" s="18"/>
      <c r="AVR265" s="18"/>
      <c r="AVS265" s="18"/>
      <c r="AVT265" s="18"/>
      <c r="AVU265" s="18"/>
      <c r="AVV265" s="18"/>
      <c r="AVW265" s="18"/>
      <c r="AVX265" s="18"/>
      <c r="AVY265" s="18"/>
      <c r="AVZ265" s="18"/>
      <c r="AWA265" s="18"/>
      <c r="AWB265" s="18"/>
      <c r="AWC265" s="18"/>
      <c r="AWD265" s="18"/>
      <c r="AWE265" s="18"/>
      <c r="AWF265" s="18"/>
      <c r="AWG265" s="18"/>
      <c r="AWH265" s="18"/>
      <c r="AWI265" s="18"/>
      <c r="AWJ265" s="18"/>
      <c r="AWK265" s="18"/>
      <c r="AWL265" s="18"/>
      <c r="AWM265" s="18"/>
      <c r="AWN265" s="18"/>
      <c r="AWO265" s="18"/>
      <c r="AWP265" s="18"/>
      <c r="AWQ265" s="18"/>
      <c r="AWR265" s="18"/>
      <c r="AWS265" s="18"/>
      <c r="AWT265" s="18"/>
      <c r="AWU265" s="18"/>
      <c r="AWV265" s="18"/>
      <c r="AWW265" s="18"/>
      <c r="AWX265" s="18"/>
      <c r="AWY265" s="18"/>
      <c r="AWZ265" s="18"/>
      <c r="AXA265" s="18"/>
      <c r="AXB265" s="18"/>
      <c r="AXC265" s="18"/>
      <c r="AXD265" s="18"/>
      <c r="AXE265" s="18"/>
      <c r="AXF265" s="18"/>
      <c r="AXG265" s="18"/>
      <c r="AXH265" s="18"/>
      <c r="AXI265" s="18"/>
      <c r="AXJ265" s="18"/>
      <c r="AXK265" s="18"/>
      <c r="AXL265" s="18"/>
      <c r="AXM265" s="18"/>
      <c r="AXN265" s="18"/>
      <c r="AXO265" s="18"/>
      <c r="AXP265" s="18"/>
      <c r="AXQ265" s="18"/>
      <c r="AXR265" s="18"/>
      <c r="AXS265" s="18"/>
      <c r="AXT265" s="18"/>
      <c r="AXU265" s="18"/>
      <c r="AXV265" s="18"/>
      <c r="AXW265" s="18"/>
      <c r="AXX265" s="18"/>
      <c r="AXY265" s="18"/>
      <c r="AXZ265" s="18"/>
      <c r="AYA265" s="18"/>
      <c r="AYB265" s="18"/>
      <c r="AYC265" s="18"/>
      <c r="AYD265" s="18"/>
      <c r="AYE265" s="18"/>
      <c r="AYF265" s="18"/>
      <c r="AYG265" s="18"/>
      <c r="AYH265" s="18"/>
      <c r="AYI265" s="18"/>
      <c r="AYJ265" s="18"/>
      <c r="AYK265" s="18"/>
      <c r="AYL265" s="18"/>
      <c r="AYM265" s="18"/>
      <c r="AYN265" s="18"/>
      <c r="AYO265" s="18"/>
      <c r="AYP265" s="18"/>
      <c r="AYQ265" s="18"/>
      <c r="AYR265" s="18"/>
      <c r="AYS265" s="18"/>
      <c r="AYT265" s="18"/>
      <c r="AYU265" s="18"/>
      <c r="AYV265" s="18"/>
      <c r="AYW265" s="18"/>
      <c r="AYX265" s="18"/>
      <c r="AYY265" s="18"/>
      <c r="AYZ265" s="18"/>
      <c r="AZA265" s="18"/>
      <c r="AZB265" s="18"/>
      <c r="AZC265" s="18"/>
      <c r="AZD265" s="18"/>
      <c r="AZE265" s="18"/>
      <c r="AZF265" s="18"/>
      <c r="AZG265" s="18"/>
      <c r="AZH265" s="18"/>
      <c r="AZI265" s="18"/>
      <c r="AZJ265" s="18"/>
      <c r="AZK265" s="18"/>
      <c r="AZL265" s="18"/>
      <c r="AZM265" s="18"/>
      <c r="AZN265" s="18"/>
      <c r="AZO265" s="18"/>
      <c r="AZP265" s="18"/>
      <c r="AZQ265" s="18"/>
      <c r="AZR265" s="18"/>
      <c r="AZS265" s="18"/>
      <c r="AZT265" s="18"/>
      <c r="AZU265" s="18"/>
      <c r="AZV265" s="18"/>
      <c r="AZW265" s="18"/>
      <c r="AZX265" s="18"/>
      <c r="AZY265" s="18"/>
      <c r="AZZ265" s="18"/>
      <c r="BAA265" s="18"/>
      <c r="BAB265" s="18"/>
      <c r="BAC265" s="18"/>
      <c r="BAD265" s="18"/>
      <c r="BAE265" s="18"/>
      <c r="BAF265" s="18"/>
      <c r="BAG265" s="18"/>
      <c r="BAH265" s="18"/>
      <c r="BAI265" s="18"/>
      <c r="BAJ265" s="18"/>
      <c r="BAK265" s="18"/>
      <c r="BAL265" s="18"/>
      <c r="BAM265" s="18"/>
      <c r="BAN265" s="18"/>
      <c r="BAO265" s="18"/>
      <c r="BAP265" s="18"/>
      <c r="BAQ265" s="18"/>
      <c r="BAR265" s="18"/>
      <c r="BAS265" s="18"/>
      <c r="BAT265" s="18"/>
      <c r="BAU265" s="18"/>
      <c r="BAV265" s="18"/>
      <c r="BAW265" s="18"/>
      <c r="BAX265" s="18"/>
      <c r="BAY265" s="18"/>
      <c r="BAZ265" s="18"/>
      <c r="BBA265" s="18"/>
      <c r="BBB265" s="18"/>
      <c r="BBC265" s="18"/>
      <c r="BBD265" s="18"/>
      <c r="BBE265" s="18"/>
      <c r="BBF265" s="18"/>
      <c r="BBG265" s="18"/>
      <c r="BBH265" s="18"/>
      <c r="BBI265" s="18"/>
      <c r="BBJ265" s="18"/>
      <c r="BBK265" s="18"/>
      <c r="BBL265" s="18"/>
      <c r="BBM265" s="18"/>
      <c r="BBN265" s="18"/>
      <c r="BBO265" s="18"/>
      <c r="BBP265" s="18"/>
      <c r="BBQ265" s="18"/>
      <c r="BBR265" s="18"/>
      <c r="BBS265" s="18"/>
      <c r="BBT265" s="18"/>
      <c r="BBU265" s="18"/>
      <c r="BBV265" s="18"/>
      <c r="BBW265" s="18"/>
      <c r="BBX265" s="18"/>
      <c r="BBY265" s="18"/>
      <c r="BBZ265" s="18"/>
      <c r="BCA265" s="18"/>
      <c r="BCB265" s="18"/>
      <c r="BCC265" s="18"/>
      <c r="BCD265" s="18"/>
      <c r="BCE265" s="18"/>
      <c r="BCF265" s="18"/>
      <c r="BCG265" s="18"/>
      <c r="BCH265" s="18"/>
      <c r="BCI265" s="18"/>
      <c r="BCJ265" s="18"/>
      <c r="BCK265" s="18"/>
      <c r="BCL265" s="18"/>
      <c r="BCM265" s="18"/>
      <c r="BCN265" s="18"/>
      <c r="BCO265" s="18"/>
      <c r="BCP265" s="18"/>
      <c r="BCQ265" s="18"/>
      <c r="BCR265" s="18"/>
      <c r="BCS265" s="18"/>
      <c r="BCT265" s="18"/>
      <c r="BCU265" s="18"/>
      <c r="BCV265" s="18"/>
      <c r="BCW265" s="18"/>
      <c r="BCX265" s="18"/>
      <c r="BCY265" s="18"/>
      <c r="BCZ265" s="18"/>
      <c r="BDA265" s="18"/>
      <c r="BDB265" s="18"/>
      <c r="BDC265" s="18"/>
      <c r="BDD265" s="18"/>
      <c r="BDE265" s="18"/>
      <c r="BDF265" s="18"/>
      <c r="BDG265" s="18"/>
      <c r="BDH265" s="18"/>
      <c r="BDI265" s="18"/>
      <c r="BDJ265" s="18"/>
      <c r="BDK265" s="18"/>
      <c r="BDL265" s="18"/>
      <c r="BDM265" s="18"/>
      <c r="BDN265" s="18"/>
      <c r="BDO265" s="18"/>
      <c r="BDP265" s="18"/>
      <c r="BDQ265" s="18"/>
      <c r="BDR265" s="18"/>
      <c r="BDS265" s="18"/>
      <c r="BDT265" s="18"/>
      <c r="BDU265" s="18"/>
      <c r="BDV265" s="18"/>
      <c r="BDW265" s="18"/>
      <c r="BDX265" s="18"/>
      <c r="BDY265" s="18"/>
      <c r="BDZ265" s="18"/>
      <c r="BEA265" s="18"/>
      <c r="BEB265" s="18"/>
      <c r="BEC265" s="18"/>
      <c r="BED265" s="18"/>
      <c r="BEE265" s="18"/>
      <c r="BEF265" s="18"/>
      <c r="BEG265" s="18"/>
      <c r="BEH265" s="18"/>
      <c r="BEI265" s="18"/>
      <c r="BEJ265" s="18"/>
      <c r="BEK265" s="18"/>
      <c r="BEL265" s="18"/>
      <c r="BEM265" s="18"/>
      <c r="BEN265" s="18"/>
      <c r="BEO265" s="18"/>
      <c r="BEP265" s="18"/>
      <c r="BEQ265" s="18"/>
      <c r="BER265" s="18"/>
      <c r="BES265" s="18"/>
      <c r="BET265" s="18"/>
      <c r="BEU265" s="18"/>
      <c r="BEV265" s="18"/>
      <c r="BEW265" s="18"/>
      <c r="BEX265" s="18"/>
      <c r="BEY265" s="18"/>
      <c r="BEZ265" s="18"/>
      <c r="BFA265" s="18"/>
      <c r="BFB265" s="18"/>
      <c r="BFC265" s="18"/>
      <c r="BFD265" s="18"/>
      <c r="BFE265" s="18"/>
      <c r="BFF265" s="18"/>
      <c r="BFG265" s="18"/>
      <c r="BFH265" s="18"/>
      <c r="BFI265" s="18"/>
      <c r="BFJ265" s="18"/>
      <c r="BFK265" s="18"/>
      <c r="BFL265" s="18"/>
      <c r="BFM265" s="18"/>
      <c r="BFN265" s="18"/>
      <c r="BFO265" s="18"/>
      <c r="BFP265" s="18"/>
      <c r="BFQ265" s="18"/>
      <c r="BFR265" s="18"/>
      <c r="BFS265" s="18"/>
      <c r="BFT265" s="18"/>
      <c r="BFU265" s="18"/>
      <c r="BFV265" s="18"/>
      <c r="BFW265" s="18"/>
      <c r="BFX265" s="18"/>
      <c r="BFY265" s="18"/>
      <c r="BFZ265" s="18"/>
      <c r="BGA265" s="18"/>
      <c r="BGB265" s="18"/>
      <c r="BGC265" s="18"/>
      <c r="BGD265" s="18"/>
      <c r="BGE265" s="18"/>
      <c r="BGF265" s="18"/>
      <c r="BGG265" s="18"/>
      <c r="BGH265" s="18"/>
      <c r="BGI265" s="18"/>
      <c r="BGJ265" s="18"/>
      <c r="BGK265" s="18"/>
      <c r="BGL265" s="18"/>
      <c r="BGM265" s="18"/>
      <c r="BGN265" s="18"/>
      <c r="BGO265" s="18"/>
      <c r="BGP265" s="18"/>
      <c r="BGQ265" s="18"/>
      <c r="BGR265" s="18"/>
      <c r="BGS265" s="18"/>
      <c r="BGT265" s="18"/>
      <c r="BGU265" s="18"/>
      <c r="BGV265" s="18"/>
      <c r="BGW265" s="18"/>
      <c r="BGX265" s="18"/>
      <c r="BGY265" s="18"/>
      <c r="BGZ265" s="18"/>
      <c r="BHA265" s="18"/>
      <c r="BHB265" s="18"/>
      <c r="BHC265" s="18"/>
      <c r="BHD265" s="18"/>
      <c r="BHE265" s="18"/>
      <c r="BHF265" s="18"/>
      <c r="BHG265" s="18"/>
      <c r="BHH265" s="18"/>
      <c r="BHI265" s="18"/>
      <c r="BHJ265" s="18"/>
      <c r="BHK265" s="18"/>
      <c r="BHL265" s="18"/>
      <c r="BHM265" s="18"/>
      <c r="BHN265" s="18"/>
      <c r="BHO265" s="18"/>
      <c r="BHP265" s="18"/>
      <c r="BHQ265" s="18"/>
      <c r="BHR265" s="18"/>
      <c r="BHS265" s="18"/>
      <c r="BHT265" s="18"/>
      <c r="BHU265" s="18"/>
      <c r="BHV265" s="18"/>
      <c r="BHW265" s="18"/>
      <c r="BHX265" s="18"/>
      <c r="BHY265" s="18"/>
      <c r="BHZ265" s="18"/>
      <c r="BIA265" s="18"/>
      <c r="BIB265" s="18"/>
      <c r="BIC265" s="18"/>
      <c r="BID265" s="18"/>
      <c r="BIE265" s="18"/>
      <c r="BIF265" s="18"/>
      <c r="BIG265" s="18"/>
      <c r="BIH265" s="18"/>
      <c r="BII265" s="18"/>
      <c r="BIJ265" s="18"/>
      <c r="BIK265" s="18"/>
      <c r="BIL265" s="18"/>
      <c r="BIM265" s="18"/>
      <c r="BIN265" s="18"/>
      <c r="BIO265" s="18"/>
      <c r="BIP265" s="18"/>
      <c r="BIQ265" s="18"/>
      <c r="BIR265" s="18"/>
      <c r="BIS265" s="18"/>
      <c r="BIT265" s="18"/>
      <c r="BIU265" s="18"/>
      <c r="BIV265" s="18"/>
      <c r="BIW265" s="18"/>
      <c r="BIX265" s="18"/>
      <c r="BIY265" s="18"/>
      <c r="BIZ265" s="18"/>
      <c r="BJA265" s="18"/>
      <c r="BJB265" s="18"/>
      <c r="BJC265" s="18"/>
      <c r="BJD265" s="18"/>
      <c r="BJE265" s="18"/>
      <c r="BJF265" s="18"/>
      <c r="BJG265" s="18"/>
      <c r="BJH265" s="18"/>
      <c r="BJI265" s="18"/>
      <c r="BJJ265" s="18"/>
      <c r="BJK265" s="18"/>
      <c r="BJL265" s="18"/>
      <c r="BJM265" s="18"/>
      <c r="BJN265" s="18"/>
      <c r="BJO265" s="18"/>
      <c r="BJP265" s="18"/>
      <c r="BJQ265" s="18"/>
      <c r="BJR265" s="18"/>
      <c r="BJS265" s="18"/>
      <c r="BJT265" s="18"/>
      <c r="BJU265" s="18"/>
      <c r="BJV265" s="18"/>
      <c r="BJW265" s="18"/>
      <c r="BJX265" s="18"/>
      <c r="BJY265" s="18"/>
      <c r="BJZ265" s="18"/>
      <c r="BKA265" s="18"/>
      <c r="BKB265" s="18"/>
      <c r="BKC265" s="18"/>
      <c r="BKD265" s="18"/>
      <c r="BKE265" s="18"/>
      <c r="BKF265" s="18"/>
      <c r="BKG265" s="18"/>
      <c r="BKH265" s="18"/>
      <c r="BKI265" s="18"/>
      <c r="BKJ265" s="18"/>
      <c r="BKK265" s="18"/>
      <c r="BKL265" s="18"/>
      <c r="BKM265" s="18"/>
      <c r="BKN265" s="18"/>
      <c r="BKO265" s="18"/>
      <c r="BKP265" s="18"/>
      <c r="BKQ265" s="18"/>
      <c r="BKR265" s="18"/>
      <c r="BKS265" s="18"/>
      <c r="BKT265" s="18"/>
      <c r="BKU265" s="18"/>
      <c r="BKV265" s="18"/>
      <c r="BKW265" s="18"/>
      <c r="BKX265" s="18"/>
      <c r="BKY265" s="18"/>
      <c r="BKZ265" s="18"/>
      <c r="BLA265" s="18"/>
      <c r="BLB265" s="18"/>
      <c r="BLC265" s="18"/>
      <c r="BLD265" s="18"/>
      <c r="BLE265" s="18"/>
      <c r="BLF265" s="18"/>
      <c r="BLG265" s="18"/>
      <c r="BLH265" s="18"/>
      <c r="BLI265" s="18"/>
      <c r="BLJ265" s="18"/>
      <c r="BLK265" s="18"/>
      <c r="BLL265" s="18"/>
      <c r="BLM265" s="18"/>
      <c r="BLN265" s="18"/>
      <c r="BLO265" s="18"/>
      <c r="BLP265" s="18"/>
      <c r="BLQ265" s="18"/>
      <c r="BLR265" s="18"/>
      <c r="BLS265" s="18"/>
      <c r="BLT265" s="18"/>
      <c r="BLU265" s="18"/>
      <c r="BLV265" s="18"/>
      <c r="BLW265" s="18"/>
      <c r="BLX265" s="18"/>
      <c r="BLY265" s="18"/>
      <c r="BLZ265" s="18"/>
      <c r="BMA265" s="18"/>
      <c r="BMB265" s="18"/>
      <c r="BMC265" s="18"/>
      <c r="BMD265" s="18"/>
      <c r="BME265" s="18"/>
      <c r="BMF265" s="18"/>
      <c r="BMG265" s="18"/>
      <c r="BMH265" s="18"/>
      <c r="BMI265" s="18"/>
      <c r="BMJ265" s="18"/>
      <c r="BMK265" s="18"/>
      <c r="BML265" s="18"/>
      <c r="BMM265" s="18"/>
      <c r="BMN265" s="18"/>
      <c r="BMO265" s="18"/>
      <c r="BMP265" s="18"/>
      <c r="BMQ265" s="18"/>
      <c r="BMR265" s="18"/>
      <c r="BMS265" s="18"/>
      <c r="BMT265" s="18"/>
      <c r="BMU265" s="18"/>
      <c r="BMV265" s="18"/>
      <c r="BMW265" s="18"/>
      <c r="BMX265" s="18"/>
      <c r="BMY265" s="18"/>
      <c r="BMZ265" s="18"/>
      <c r="BNA265" s="18"/>
      <c r="BNB265" s="18"/>
      <c r="BNC265" s="18"/>
      <c r="BND265" s="18"/>
      <c r="BNE265" s="18"/>
      <c r="BNF265" s="18"/>
      <c r="BNG265" s="18"/>
      <c r="BNH265" s="18"/>
      <c r="BNI265" s="18"/>
      <c r="BNJ265" s="18"/>
      <c r="BNK265" s="18"/>
      <c r="BNL265" s="18"/>
      <c r="BNM265" s="18"/>
      <c r="BNN265" s="18"/>
      <c r="BNO265" s="18"/>
      <c r="BNP265" s="18"/>
      <c r="BNQ265" s="18"/>
      <c r="BNR265" s="18"/>
      <c r="BNS265" s="18"/>
      <c r="BNT265" s="18"/>
      <c r="BNU265" s="18"/>
      <c r="BNV265" s="18"/>
      <c r="BNW265" s="18"/>
      <c r="BNX265" s="18"/>
      <c r="BNY265" s="18"/>
      <c r="BNZ265" s="18"/>
      <c r="BOA265" s="18"/>
      <c r="BOB265" s="18"/>
      <c r="BOC265" s="18"/>
      <c r="BOD265" s="18"/>
      <c r="BOE265" s="18"/>
      <c r="BOF265" s="18"/>
      <c r="BOG265" s="18"/>
      <c r="BOH265" s="18"/>
      <c r="BOI265" s="18"/>
      <c r="BOJ265" s="18"/>
      <c r="BOK265" s="18"/>
      <c r="BOL265" s="18"/>
      <c r="BOM265" s="18"/>
      <c r="BON265" s="18"/>
      <c r="BOO265" s="18"/>
      <c r="BOP265" s="18"/>
      <c r="BOQ265" s="18"/>
      <c r="BOR265" s="18"/>
      <c r="BOS265" s="18"/>
      <c r="BOT265" s="18"/>
      <c r="BOU265" s="18"/>
      <c r="BOV265" s="18"/>
      <c r="BOW265" s="18"/>
      <c r="BOX265" s="18"/>
      <c r="BOY265" s="18"/>
      <c r="BOZ265" s="18"/>
      <c r="BPA265" s="18"/>
      <c r="BPB265" s="18"/>
      <c r="BPC265" s="18"/>
      <c r="BPD265" s="18"/>
      <c r="BPE265" s="18"/>
      <c r="BPF265" s="18"/>
      <c r="BPG265" s="18"/>
      <c r="BPH265" s="18"/>
      <c r="BPI265" s="18"/>
      <c r="BPJ265" s="18"/>
      <c r="BPK265" s="18"/>
      <c r="BPL265" s="18"/>
      <c r="BPM265" s="18"/>
      <c r="BPN265" s="18"/>
      <c r="BPO265" s="18"/>
      <c r="BPP265" s="18"/>
      <c r="BPQ265" s="18"/>
      <c r="BPR265" s="18"/>
      <c r="BPS265" s="18"/>
      <c r="BPT265" s="18"/>
      <c r="BPU265" s="18"/>
      <c r="BPV265" s="18"/>
      <c r="BPW265" s="18"/>
      <c r="BPX265" s="18"/>
      <c r="BPY265" s="18"/>
      <c r="BPZ265" s="18"/>
      <c r="BQA265" s="18"/>
      <c r="BQB265" s="18"/>
      <c r="BQC265" s="18"/>
      <c r="BQD265" s="18"/>
      <c r="BQE265" s="18"/>
      <c r="BQF265" s="18"/>
      <c r="BQG265" s="18"/>
      <c r="BQH265" s="18"/>
      <c r="BQI265" s="18"/>
      <c r="BQJ265" s="18"/>
      <c r="BQK265" s="18"/>
      <c r="BQL265" s="18"/>
      <c r="BQM265" s="18"/>
      <c r="BQN265" s="18"/>
      <c r="BQO265" s="18"/>
      <c r="BQP265" s="18"/>
      <c r="BQQ265" s="18"/>
      <c r="BQR265" s="18"/>
      <c r="BQS265" s="18"/>
      <c r="BQT265" s="18"/>
      <c r="BQU265" s="18"/>
      <c r="BQV265" s="18"/>
      <c r="BQW265" s="18"/>
      <c r="BQX265" s="18"/>
      <c r="BQY265" s="18"/>
      <c r="BQZ265" s="18"/>
      <c r="BRA265" s="18"/>
      <c r="BRB265" s="18"/>
      <c r="BRC265" s="18"/>
      <c r="BRD265" s="18"/>
      <c r="BRE265" s="18"/>
      <c r="BRF265" s="18"/>
      <c r="BRG265" s="18"/>
      <c r="BRH265" s="18"/>
      <c r="BRI265" s="18"/>
      <c r="BRJ265" s="18"/>
      <c r="BRK265" s="18"/>
      <c r="BRL265" s="18"/>
      <c r="BRM265" s="18"/>
      <c r="BRN265" s="18"/>
      <c r="BRO265" s="18"/>
      <c r="BRP265" s="18"/>
      <c r="BRQ265" s="18"/>
      <c r="BRR265" s="18"/>
      <c r="BRS265" s="18"/>
      <c r="BRT265" s="18"/>
      <c r="BRU265" s="18"/>
      <c r="BRV265" s="18"/>
      <c r="BRW265" s="18"/>
      <c r="BRX265" s="18"/>
      <c r="BRY265" s="18"/>
      <c r="BRZ265" s="18"/>
      <c r="BSA265" s="18"/>
      <c r="BSB265" s="18"/>
      <c r="BSC265" s="18"/>
      <c r="BSD265" s="18"/>
      <c r="BSE265" s="18"/>
      <c r="BSF265" s="18"/>
      <c r="BSG265" s="18"/>
      <c r="BSH265" s="18"/>
      <c r="BSI265" s="18"/>
      <c r="BSJ265" s="18"/>
      <c r="BSK265" s="18"/>
      <c r="BSL265" s="18"/>
      <c r="BSM265" s="18"/>
      <c r="BSN265" s="18"/>
      <c r="BSO265" s="18"/>
      <c r="BSP265" s="18"/>
      <c r="BSQ265" s="18"/>
      <c r="BSR265" s="18"/>
      <c r="BSS265" s="18"/>
      <c r="BST265" s="18"/>
      <c r="BSU265" s="18"/>
      <c r="BSV265" s="18"/>
      <c r="BSW265" s="18"/>
      <c r="BSX265" s="18"/>
      <c r="BSY265" s="18"/>
      <c r="BSZ265" s="18"/>
      <c r="BTA265" s="18"/>
      <c r="BTB265" s="18"/>
      <c r="BTC265" s="18"/>
      <c r="BTD265" s="18"/>
      <c r="BTE265" s="18"/>
      <c r="BTF265" s="18"/>
      <c r="BTG265" s="18"/>
      <c r="BTH265" s="18"/>
      <c r="BTI265" s="18"/>
    </row>
    <row r="266" spans="1:1881" s="786" customFormat="1" ht="53.25" customHeight="1" x14ac:dyDescent="0.3">
      <c r="A266" s="108">
        <v>599</v>
      </c>
      <c r="B266" s="688" t="s">
        <v>59</v>
      </c>
      <c r="C266" s="688" t="s">
        <v>529</v>
      </c>
      <c r="D266" s="29" t="s">
        <v>678</v>
      </c>
      <c r="E266" s="686" t="e">
        <f>HLOOKUP($D$2,'2020 Data(H)'!$C$1:$CR$399,259,FALSE)</f>
        <v>#N/A</v>
      </c>
      <c r="F266" s="296">
        <v>0</v>
      </c>
      <c r="G266" s="790" t="str">
        <f>IF(ISBLANK(F266),"Please do not leave blank","")</f>
        <v/>
      </c>
      <c r="H266" s="747">
        <f>IF(F266&lt;0,"Error: Enter as positive.",)</f>
        <v>0</v>
      </c>
      <c r="I266" s="79"/>
      <c r="J266" s="784"/>
      <c r="K266" s="18"/>
      <c r="L266" s="18"/>
      <c r="M266" s="18"/>
      <c r="N266" s="298"/>
      <c r="O266" s="18"/>
      <c r="P266" s="18"/>
      <c r="Q266" s="18"/>
      <c r="R266" s="18"/>
      <c r="S266" s="18"/>
      <c r="T266" s="18"/>
      <c r="U266" s="18"/>
      <c r="V266" s="18"/>
      <c r="W266" s="18"/>
      <c r="X266" s="18"/>
      <c r="Y266" s="18"/>
      <c r="Z266" s="108"/>
      <c r="AA266" s="108"/>
      <c r="AB266" s="108"/>
      <c r="AC266" s="108"/>
      <c r="AD266" s="108"/>
      <c r="AE266" s="108"/>
      <c r="AF266" s="108"/>
      <c r="AG266" s="108"/>
      <c r="AH266" s="108"/>
      <c r="AI266" s="108"/>
      <c r="AJ266" s="108"/>
      <c r="AK266" s="108"/>
      <c r="AL266" s="108"/>
      <c r="AM266" s="108"/>
      <c r="AN266" s="108"/>
      <c r="AO266" s="108"/>
      <c r="AP266" s="108"/>
      <c r="AQ266" s="108"/>
      <c r="AR266" s="10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c r="WZ266" s="18"/>
      <c r="XA266" s="18"/>
      <c r="XB266" s="18"/>
      <c r="XC266" s="18"/>
      <c r="XD266" s="18"/>
      <c r="XE266" s="18"/>
      <c r="XF266" s="18"/>
      <c r="XG266" s="18"/>
      <c r="XH266" s="18"/>
      <c r="XI266" s="18"/>
      <c r="XJ266" s="18"/>
      <c r="XK266" s="18"/>
      <c r="XL266" s="18"/>
      <c r="XM266" s="18"/>
      <c r="XN266" s="18"/>
      <c r="XO266" s="18"/>
      <c r="XP266" s="18"/>
      <c r="XQ266" s="18"/>
      <c r="XR266" s="18"/>
      <c r="XS266" s="18"/>
      <c r="XT266" s="18"/>
      <c r="XU266" s="18"/>
      <c r="XV266" s="18"/>
      <c r="XW266" s="18"/>
      <c r="XX266" s="18"/>
      <c r="XY266" s="18"/>
      <c r="XZ266" s="18"/>
      <c r="YA266" s="18"/>
      <c r="YB266" s="18"/>
      <c r="YC266" s="18"/>
      <c r="YD266" s="18"/>
      <c r="YE266" s="18"/>
      <c r="YF266" s="18"/>
      <c r="YG266" s="18"/>
      <c r="YH266" s="18"/>
      <c r="YI266" s="18"/>
      <c r="YJ266" s="18"/>
      <c r="YK266" s="18"/>
      <c r="YL266" s="18"/>
      <c r="YM266" s="18"/>
      <c r="YN266" s="18"/>
      <c r="YO266" s="18"/>
      <c r="YP266" s="18"/>
      <c r="YQ266" s="18"/>
      <c r="YR266" s="18"/>
      <c r="YS266" s="18"/>
      <c r="YT266" s="18"/>
      <c r="YU266" s="18"/>
      <c r="YV266" s="18"/>
      <c r="YW266" s="18"/>
      <c r="YX266" s="18"/>
      <c r="YY266" s="18"/>
      <c r="YZ266" s="18"/>
      <c r="ZA266" s="18"/>
      <c r="ZB266" s="18"/>
      <c r="ZC266" s="18"/>
      <c r="ZD266" s="18"/>
      <c r="ZE266" s="18"/>
      <c r="ZF266" s="18"/>
      <c r="ZG266" s="18"/>
      <c r="ZH266" s="18"/>
      <c r="ZI266" s="18"/>
      <c r="ZJ266" s="18"/>
      <c r="ZK266" s="18"/>
      <c r="ZL266" s="18"/>
      <c r="ZM266" s="18"/>
      <c r="ZN266" s="18"/>
      <c r="ZO266" s="18"/>
      <c r="ZP266" s="18"/>
      <c r="ZQ266" s="18"/>
      <c r="ZR266" s="18"/>
      <c r="ZS266" s="18"/>
      <c r="ZT266" s="18"/>
      <c r="ZU266" s="18"/>
      <c r="ZV266" s="18"/>
      <c r="ZW266" s="18"/>
      <c r="ZX266" s="18"/>
      <c r="ZY266" s="18"/>
      <c r="ZZ266" s="18"/>
      <c r="AAA266" s="18"/>
      <c r="AAB266" s="18"/>
      <c r="AAC266" s="18"/>
      <c r="AAD266" s="18"/>
      <c r="AAE266" s="18"/>
      <c r="AAF266" s="18"/>
      <c r="AAG266" s="18"/>
      <c r="AAH266" s="18"/>
      <c r="AAI266" s="18"/>
      <c r="AAJ266" s="18"/>
      <c r="AAK266" s="18"/>
      <c r="AAL266" s="18"/>
      <c r="AAM266" s="18"/>
      <c r="AAN266" s="18"/>
      <c r="AAO266" s="18"/>
      <c r="AAP266" s="18"/>
      <c r="AAQ266" s="18"/>
      <c r="AAR266" s="18"/>
      <c r="AAS266" s="18"/>
      <c r="AAT266" s="18"/>
      <c r="AAU266" s="18"/>
      <c r="AAV266" s="18"/>
      <c r="AAW266" s="18"/>
      <c r="AAX266" s="18"/>
      <c r="AAY266" s="18"/>
      <c r="AAZ266" s="18"/>
      <c r="ABA266" s="18"/>
      <c r="ABB266" s="18"/>
      <c r="ABC266" s="18"/>
      <c r="ABD266" s="18"/>
      <c r="ABE266" s="18"/>
      <c r="ABF266" s="18"/>
      <c r="ABG266" s="18"/>
      <c r="ABH266" s="18"/>
      <c r="ABI266" s="18"/>
      <c r="ABJ266" s="18"/>
      <c r="ABK266" s="18"/>
      <c r="ABL266" s="18"/>
      <c r="ABM266" s="18"/>
      <c r="ABN266" s="18"/>
      <c r="ABO266" s="18"/>
      <c r="ABP266" s="18"/>
      <c r="ABQ266" s="18"/>
      <c r="ABR266" s="18"/>
      <c r="ABS266" s="18"/>
      <c r="ABT266" s="18"/>
      <c r="ABU266" s="18"/>
      <c r="ABV266" s="18"/>
      <c r="ABW266" s="18"/>
      <c r="ABX266" s="18"/>
      <c r="ABY266" s="18"/>
      <c r="ABZ266" s="18"/>
      <c r="ACA266" s="18"/>
      <c r="ACB266" s="18"/>
      <c r="ACC266" s="18"/>
      <c r="ACD266" s="18"/>
      <c r="ACE266" s="18"/>
      <c r="ACF266" s="18"/>
      <c r="ACG266" s="18"/>
      <c r="ACH266" s="18"/>
      <c r="ACI266" s="18"/>
      <c r="ACJ266" s="18"/>
      <c r="ACK266" s="18"/>
      <c r="ACL266" s="18"/>
      <c r="ACM266" s="18"/>
      <c r="ACN266" s="18"/>
      <c r="ACO266" s="18"/>
      <c r="ACP266" s="18"/>
      <c r="ACQ266" s="18"/>
      <c r="ACR266" s="18"/>
      <c r="ACS266" s="18"/>
      <c r="ACT266" s="18"/>
      <c r="ACU266" s="18"/>
      <c r="ACV266" s="18"/>
      <c r="ACW266" s="18"/>
      <c r="ACX266" s="18"/>
      <c r="ACY266" s="18"/>
      <c r="ACZ266" s="18"/>
      <c r="ADA266" s="18"/>
      <c r="ADB266" s="18"/>
      <c r="ADC266" s="18"/>
      <c r="ADD266" s="18"/>
      <c r="ADE266" s="18"/>
      <c r="ADF266" s="18"/>
      <c r="ADG266" s="18"/>
      <c r="ADH266" s="18"/>
      <c r="ADI266" s="18"/>
      <c r="ADJ266" s="18"/>
      <c r="ADK266" s="18"/>
      <c r="ADL266" s="18"/>
      <c r="ADM266" s="18"/>
      <c r="ADN266" s="18"/>
      <c r="ADO266" s="18"/>
      <c r="ADP266" s="18"/>
      <c r="ADQ266" s="18"/>
      <c r="ADR266" s="18"/>
      <c r="ADS266" s="18"/>
      <c r="ADT266" s="18"/>
      <c r="ADU266" s="18"/>
      <c r="ADV266" s="18"/>
      <c r="ADW266" s="18"/>
      <c r="ADX266" s="18"/>
      <c r="ADY266" s="18"/>
      <c r="ADZ266" s="18"/>
      <c r="AEA266" s="18"/>
      <c r="AEB266" s="18"/>
      <c r="AEC266" s="18"/>
      <c r="AED266" s="18"/>
      <c r="AEE266" s="18"/>
      <c r="AEF266" s="18"/>
      <c r="AEG266" s="18"/>
      <c r="AEH266" s="18"/>
      <c r="AEI266" s="18"/>
      <c r="AEJ266" s="18"/>
      <c r="AEK266" s="18"/>
      <c r="AEL266" s="18"/>
      <c r="AEM266" s="18"/>
      <c r="AEN266" s="18"/>
      <c r="AEO266" s="18"/>
      <c r="AEP266" s="18"/>
      <c r="AEQ266" s="18"/>
      <c r="AER266" s="18"/>
      <c r="AES266" s="18"/>
      <c r="AET266" s="18"/>
      <c r="AEU266" s="18"/>
      <c r="AEV266" s="18"/>
      <c r="AEW266" s="18"/>
      <c r="AEX266" s="18"/>
      <c r="AEY266" s="18"/>
      <c r="AEZ266" s="18"/>
      <c r="AFA266" s="18"/>
      <c r="AFB266" s="18"/>
      <c r="AFC266" s="18"/>
      <c r="AFD266" s="18"/>
      <c r="AFE266" s="18"/>
      <c r="AFF266" s="18"/>
      <c r="AFG266" s="18"/>
      <c r="AFH266" s="18"/>
      <c r="AFI266" s="18"/>
      <c r="AFJ266" s="18"/>
      <c r="AFK266" s="18"/>
      <c r="AFL266" s="18"/>
      <c r="AFM266" s="18"/>
      <c r="AFN266" s="18"/>
      <c r="AFO266" s="18"/>
      <c r="AFP266" s="18"/>
      <c r="AFQ266" s="18"/>
      <c r="AFR266" s="18"/>
      <c r="AFS266" s="18"/>
      <c r="AFT266" s="18"/>
      <c r="AFU266" s="18"/>
      <c r="AFV266" s="18"/>
      <c r="AFW266" s="18"/>
      <c r="AFX266" s="18"/>
      <c r="AFY266" s="18"/>
      <c r="AFZ266" s="18"/>
      <c r="AGA266" s="18"/>
      <c r="AGB266" s="18"/>
      <c r="AGC266" s="18"/>
      <c r="AGD266" s="18"/>
      <c r="AGE266" s="18"/>
      <c r="AGF266" s="18"/>
      <c r="AGG266" s="18"/>
      <c r="AGH266" s="18"/>
      <c r="AGI266" s="18"/>
      <c r="AGJ266" s="18"/>
      <c r="AGK266" s="18"/>
      <c r="AGL266" s="18"/>
      <c r="AGM266" s="18"/>
      <c r="AGN266" s="18"/>
      <c r="AGO266" s="18"/>
      <c r="AGP266" s="18"/>
      <c r="AGQ266" s="18"/>
      <c r="AGR266" s="18"/>
      <c r="AGS266" s="18"/>
      <c r="AGT266" s="18"/>
      <c r="AGU266" s="18"/>
      <c r="AGV266" s="18"/>
      <c r="AGW266" s="18"/>
      <c r="AGX266" s="18"/>
      <c r="AGY266" s="18"/>
      <c r="AGZ266" s="18"/>
      <c r="AHA266" s="18"/>
      <c r="AHB266" s="18"/>
      <c r="AHC266" s="18"/>
      <c r="AHD266" s="18"/>
      <c r="AHE266" s="18"/>
      <c r="AHF266" s="18"/>
      <c r="AHG266" s="18"/>
      <c r="AHH266" s="18"/>
      <c r="AHI266" s="18"/>
      <c r="AHJ266" s="18"/>
      <c r="AHK266" s="18"/>
      <c r="AHL266" s="18"/>
      <c r="AHM266" s="18"/>
      <c r="AHN266" s="18"/>
      <c r="AHO266" s="18"/>
      <c r="AHP266" s="18"/>
      <c r="AHQ266" s="18"/>
      <c r="AHR266" s="18"/>
      <c r="AHS266" s="18"/>
      <c r="AHT266" s="18"/>
      <c r="AHU266" s="18"/>
      <c r="AHV266" s="18"/>
      <c r="AHW266" s="18"/>
      <c r="AHX266" s="18"/>
      <c r="AHY266" s="18"/>
      <c r="AHZ266" s="18"/>
      <c r="AIA266" s="18"/>
      <c r="AIB266" s="18"/>
      <c r="AIC266" s="18"/>
      <c r="AID266" s="18"/>
      <c r="AIE266" s="18"/>
      <c r="AIF266" s="18"/>
      <c r="AIG266" s="18"/>
      <c r="AIH266" s="18"/>
      <c r="AII266" s="18"/>
      <c r="AIJ266" s="18"/>
      <c r="AIK266" s="18"/>
      <c r="AIL266" s="18"/>
      <c r="AIM266" s="18"/>
      <c r="AIN266" s="18"/>
      <c r="AIO266" s="18"/>
      <c r="AIP266" s="18"/>
      <c r="AIQ266" s="18"/>
      <c r="AIR266" s="18"/>
      <c r="AIS266" s="18"/>
      <c r="AIT266" s="18"/>
      <c r="AIU266" s="18"/>
      <c r="AIV266" s="18"/>
      <c r="AIW266" s="18"/>
      <c r="AIX266" s="18"/>
      <c r="AIY266" s="18"/>
      <c r="AIZ266" s="18"/>
      <c r="AJA266" s="18"/>
      <c r="AJB266" s="18"/>
      <c r="AJC266" s="18"/>
      <c r="AJD266" s="18"/>
      <c r="AJE266" s="18"/>
      <c r="AJF266" s="18"/>
      <c r="AJG266" s="18"/>
      <c r="AJH266" s="18"/>
      <c r="AJI266" s="18"/>
      <c r="AJJ266" s="18"/>
      <c r="AJK266" s="18"/>
      <c r="AJL266" s="18"/>
      <c r="AJM266" s="18"/>
      <c r="AJN266" s="18"/>
      <c r="AJO266" s="18"/>
      <c r="AJP266" s="18"/>
      <c r="AJQ266" s="18"/>
      <c r="AJR266" s="18"/>
      <c r="AJS266" s="18"/>
      <c r="AJT266" s="18"/>
      <c r="AJU266" s="18"/>
      <c r="AJV266" s="18"/>
      <c r="AJW266" s="18"/>
      <c r="AJX266" s="18"/>
      <c r="AJY266" s="18"/>
      <c r="AJZ266" s="18"/>
      <c r="AKA266" s="18"/>
      <c r="AKB266" s="18"/>
      <c r="AKC266" s="18"/>
      <c r="AKD266" s="18"/>
      <c r="AKE266" s="18"/>
      <c r="AKF266" s="18"/>
      <c r="AKG266" s="18"/>
      <c r="AKH266" s="18"/>
      <c r="AKI266" s="18"/>
      <c r="AKJ266" s="18"/>
      <c r="AKK266" s="18"/>
      <c r="AKL266" s="18"/>
      <c r="AKM266" s="18"/>
      <c r="AKN266" s="18"/>
      <c r="AKO266" s="18"/>
      <c r="AKP266" s="18"/>
      <c r="AKQ266" s="18"/>
      <c r="AKR266" s="18"/>
      <c r="AKS266" s="18"/>
      <c r="AKT266" s="18"/>
      <c r="AKU266" s="18"/>
      <c r="AKV266" s="18"/>
      <c r="AKW266" s="18"/>
      <c r="AKX266" s="18"/>
      <c r="AKY266" s="18"/>
      <c r="AKZ266" s="18"/>
      <c r="ALA266" s="18"/>
      <c r="ALB266" s="18"/>
      <c r="ALC266" s="18"/>
      <c r="ALD266" s="18"/>
      <c r="ALE266" s="18"/>
      <c r="ALF266" s="18"/>
      <c r="ALG266" s="18"/>
      <c r="ALH266" s="18"/>
      <c r="ALI266" s="18"/>
      <c r="ALJ266" s="18"/>
      <c r="ALK266" s="18"/>
      <c r="ALL266" s="18"/>
      <c r="ALM266" s="18"/>
      <c r="ALN266" s="18"/>
      <c r="ALO266" s="18"/>
      <c r="ALP266" s="18"/>
      <c r="ALQ266" s="18"/>
      <c r="ALR266" s="18"/>
      <c r="ALS266" s="18"/>
      <c r="ALT266" s="18"/>
      <c r="ALU266" s="18"/>
      <c r="ALV266" s="18"/>
      <c r="ALW266" s="18"/>
      <c r="ALX266" s="18"/>
      <c r="ALY266" s="18"/>
      <c r="ALZ266" s="18"/>
      <c r="AMA266" s="18"/>
      <c r="AMB266" s="18"/>
      <c r="AMC266" s="18"/>
      <c r="AMD266" s="18"/>
      <c r="AME266" s="18"/>
      <c r="AMF266" s="18"/>
      <c r="AMG266" s="18"/>
      <c r="AMH266" s="18"/>
      <c r="AMI266" s="18"/>
      <c r="AMJ266" s="18"/>
      <c r="AMK266" s="18"/>
      <c r="AML266" s="18"/>
      <c r="AMM266" s="18"/>
      <c r="AMN266" s="18"/>
      <c r="AMO266" s="18"/>
      <c r="AMP266" s="18"/>
      <c r="AMQ266" s="18"/>
      <c r="AMR266" s="18"/>
      <c r="AMS266" s="18"/>
      <c r="AMT266" s="18"/>
      <c r="AMU266" s="18"/>
      <c r="AMV266" s="18"/>
      <c r="AMW266" s="18"/>
      <c r="AMX266" s="18"/>
      <c r="AMY266" s="18"/>
      <c r="AMZ266" s="18"/>
      <c r="ANA266" s="18"/>
      <c r="ANB266" s="18"/>
      <c r="ANC266" s="18"/>
      <c r="AND266" s="18"/>
      <c r="ANE266" s="18"/>
      <c r="ANF266" s="18"/>
      <c r="ANG266" s="18"/>
      <c r="ANH266" s="18"/>
      <c r="ANI266" s="18"/>
      <c r="ANJ266" s="18"/>
      <c r="ANK266" s="18"/>
      <c r="ANL266" s="18"/>
      <c r="ANM266" s="18"/>
      <c r="ANN266" s="18"/>
      <c r="ANO266" s="18"/>
      <c r="ANP266" s="18"/>
      <c r="ANQ266" s="18"/>
      <c r="ANR266" s="18"/>
      <c r="ANS266" s="18"/>
      <c r="ANT266" s="18"/>
      <c r="ANU266" s="18"/>
      <c r="ANV266" s="18"/>
      <c r="ANW266" s="18"/>
      <c r="ANX266" s="18"/>
      <c r="ANY266" s="18"/>
      <c r="ANZ266" s="18"/>
      <c r="AOA266" s="18"/>
      <c r="AOB266" s="18"/>
      <c r="AOC266" s="18"/>
      <c r="AOD266" s="18"/>
      <c r="AOE266" s="18"/>
      <c r="AOF266" s="18"/>
      <c r="AOG266" s="18"/>
      <c r="AOH266" s="18"/>
      <c r="AOI266" s="18"/>
      <c r="AOJ266" s="18"/>
      <c r="AOK266" s="18"/>
      <c r="AOL266" s="18"/>
      <c r="AOM266" s="18"/>
      <c r="AON266" s="18"/>
      <c r="AOO266" s="18"/>
      <c r="AOP266" s="18"/>
      <c r="AOQ266" s="18"/>
      <c r="AOR266" s="18"/>
      <c r="AOS266" s="18"/>
      <c r="AOT266" s="18"/>
      <c r="AOU266" s="18"/>
      <c r="AOV266" s="18"/>
      <c r="AOW266" s="18"/>
      <c r="AOX266" s="18"/>
      <c r="AOY266" s="18"/>
      <c r="AOZ266" s="18"/>
      <c r="APA266" s="18"/>
      <c r="APB266" s="18"/>
      <c r="APC266" s="18"/>
      <c r="APD266" s="18"/>
      <c r="APE266" s="18"/>
      <c r="APF266" s="18"/>
      <c r="APG266" s="18"/>
      <c r="APH266" s="18"/>
      <c r="API266" s="18"/>
      <c r="APJ266" s="18"/>
      <c r="APK266" s="18"/>
      <c r="APL266" s="18"/>
      <c r="APM266" s="18"/>
      <c r="APN266" s="18"/>
      <c r="APO266" s="18"/>
      <c r="APP266" s="18"/>
      <c r="APQ266" s="18"/>
      <c r="APR266" s="18"/>
      <c r="APS266" s="18"/>
      <c r="APT266" s="18"/>
      <c r="APU266" s="18"/>
      <c r="APV266" s="18"/>
      <c r="APW266" s="18"/>
      <c r="APX266" s="18"/>
      <c r="APY266" s="18"/>
      <c r="APZ266" s="18"/>
      <c r="AQA266" s="18"/>
      <c r="AQB266" s="18"/>
      <c r="AQC266" s="18"/>
      <c r="AQD266" s="18"/>
      <c r="AQE266" s="18"/>
      <c r="AQF266" s="18"/>
      <c r="AQG266" s="18"/>
      <c r="AQH266" s="18"/>
      <c r="AQI266" s="18"/>
      <c r="AQJ266" s="18"/>
      <c r="AQK266" s="18"/>
      <c r="AQL266" s="18"/>
      <c r="AQM266" s="18"/>
      <c r="AQN266" s="18"/>
      <c r="AQO266" s="18"/>
      <c r="AQP266" s="18"/>
      <c r="AQQ266" s="18"/>
      <c r="AQR266" s="18"/>
      <c r="AQS266" s="18"/>
      <c r="AQT266" s="18"/>
      <c r="AQU266" s="18"/>
      <c r="AQV266" s="18"/>
      <c r="AQW266" s="18"/>
      <c r="AQX266" s="18"/>
      <c r="AQY266" s="18"/>
      <c r="AQZ266" s="18"/>
      <c r="ARA266" s="18"/>
      <c r="ARB266" s="18"/>
      <c r="ARC266" s="18"/>
      <c r="ARD266" s="18"/>
      <c r="ARE266" s="18"/>
      <c r="ARF266" s="18"/>
      <c r="ARG266" s="18"/>
      <c r="ARH266" s="18"/>
      <c r="ARI266" s="18"/>
      <c r="ARJ266" s="18"/>
      <c r="ARK266" s="18"/>
      <c r="ARL266" s="18"/>
      <c r="ARM266" s="18"/>
      <c r="ARN266" s="18"/>
      <c r="ARO266" s="18"/>
      <c r="ARP266" s="18"/>
      <c r="ARQ266" s="18"/>
      <c r="ARR266" s="18"/>
      <c r="ARS266" s="18"/>
      <c r="ART266" s="18"/>
      <c r="ARU266" s="18"/>
      <c r="ARV266" s="18"/>
      <c r="ARW266" s="18"/>
      <c r="ARX266" s="18"/>
      <c r="ARY266" s="18"/>
      <c r="ARZ266" s="18"/>
      <c r="ASA266" s="18"/>
      <c r="ASB266" s="18"/>
      <c r="ASC266" s="18"/>
      <c r="ASD266" s="18"/>
      <c r="ASE266" s="18"/>
      <c r="ASF266" s="18"/>
      <c r="ASG266" s="18"/>
      <c r="ASH266" s="18"/>
      <c r="ASI266" s="18"/>
      <c r="ASJ266" s="18"/>
      <c r="ASK266" s="18"/>
      <c r="ASL266" s="18"/>
      <c r="ASM266" s="18"/>
      <c r="ASN266" s="18"/>
      <c r="ASO266" s="18"/>
      <c r="ASP266" s="18"/>
      <c r="ASQ266" s="18"/>
      <c r="ASR266" s="18"/>
      <c r="ASS266" s="18"/>
      <c r="AST266" s="18"/>
      <c r="ASU266" s="18"/>
      <c r="ASV266" s="18"/>
      <c r="ASW266" s="18"/>
      <c r="ASX266" s="18"/>
      <c r="ASY266" s="18"/>
      <c r="ASZ266" s="18"/>
      <c r="ATA266" s="18"/>
      <c r="ATB266" s="18"/>
      <c r="ATC266" s="18"/>
      <c r="ATD266" s="18"/>
      <c r="ATE266" s="18"/>
      <c r="ATF266" s="18"/>
      <c r="ATG266" s="18"/>
      <c r="ATH266" s="18"/>
      <c r="ATI266" s="18"/>
      <c r="ATJ266" s="18"/>
      <c r="ATK266" s="18"/>
      <c r="ATL266" s="18"/>
      <c r="ATM266" s="18"/>
      <c r="ATN266" s="18"/>
      <c r="ATO266" s="18"/>
      <c r="ATP266" s="18"/>
      <c r="ATQ266" s="18"/>
      <c r="ATR266" s="18"/>
      <c r="ATS266" s="18"/>
      <c r="ATT266" s="18"/>
      <c r="ATU266" s="18"/>
      <c r="ATV266" s="18"/>
      <c r="ATW266" s="18"/>
      <c r="ATX266" s="18"/>
      <c r="ATY266" s="18"/>
      <c r="ATZ266" s="18"/>
      <c r="AUA266" s="18"/>
      <c r="AUB266" s="18"/>
      <c r="AUC266" s="18"/>
      <c r="AUD266" s="18"/>
      <c r="AUE266" s="18"/>
      <c r="AUF266" s="18"/>
      <c r="AUG266" s="18"/>
      <c r="AUH266" s="18"/>
      <c r="AUI266" s="18"/>
      <c r="AUJ266" s="18"/>
      <c r="AUK266" s="18"/>
      <c r="AUL266" s="18"/>
      <c r="AUM266" s="18"/>
      <c r="AUN266" s="18"/>
      <c r="AUO266" s="18"/>
      <c r="AUP266" s="18"/>
      <c r="AUQ266" s="18"/>
      <c r="AUR266" s="18"/>
      <c r="AUS266" s="18"/>
      <c r="AUT266" s="18"/>
      <c r="AUU266" s="18"/>
      <c r="AUV266" s="18"/>
      <c r="AUW266" s="18"/>
      <c r="AUX266" s="18"/>
      <c r="AUY266" s="18"/>
      <c r="AUZ266" s="18"/>
      <c r="AVA266" s="18"/>
      <c r="AVB266" s="18"/>
      <c r="AVC266" s="18"/>
      <c r="AVD266" s="18"/>
      <c r="AVE266" s="18"/>
      <c r="AVF266" s="18"/>
      <c r="AVG266" s="18"/>
      <c r="AVH266" s="18"/>
      <c r="AVI266" s="18"/>
      <c r="AVJ266" s="18"/>
      <c r="AVK266" s="18"/>
      <c r="AVL266" s="18"/>
      <c r="AVM266" s="18"/>
      <c r="AVN266" s="18"/>
      <c r="AVO266" s="18"/>
      <c r="AVP266" s="18"/>
      <c r="AVQ266" s="18"/>
      <c r="AVR266" s="18"/>
      <c r="AVS266" s="18"/>
      <c r="AVT266" s="18"/>
      <c r="AVU266" s="18"/>
      <c r="AVV266" s="18"/>
      <c r="AVW266" s="18"/>
      <c r="AVX266" s="18"/>
      <c r="AVY266" s="18"/>
      <c r="AVZ266" s="18"/>
      <c r="AWA266" s="18"/>
      <c r="AWB266" s="18"/>
      <c r="AWC266" s="18"/>
      <c r="AWD266" s="18"/>
      <c r="AWE266" s="18"/>
      <c r="AWF266" s="18"/>
      <c r="AWG266" s="18"/>
      <c r="AWH266" s="18"/>
      <c r="AWI266" s="18"/>
      <c r="AWJ266" s="18"/>
      <c r="AWK266" s="18"/>
      <c r="AWL266" s="18"/>
      <c r="AWM266" s="18"/>
      <c r="AWN266" s="18"/>
      <c r="AWO266" s="18"/>
      <c r="AWP266" s="18"/>
      <c r="AWQ266" s="18"/>
      <c r="AWR266" s="18"/>
      <c r="AWS266" s="18"/>
      <c r="AWT266" s="18"/>
      <c r="AWU266" s="18"/>
      <c r="AWV266" s="18"/>
      <c r="AWW266" s="18"/>
      <c r="AWX266" s="18"/>
      <c r="AWY266" s="18"/>
      <c r="AWZ266" s="18"/>
      <c r="AXA266" s="18"/>
      <c r="AXB266" s="18"/>
      <c r="AXC266" s="18"/>
      <c r="AXD266" s="18"/>
      <c r="AXE266" s="18"/>
      <c r="AXF266" s="18"/>
      <c r="AXG266" s="18"/>
      <c r="AXH266" s="18"/>
      <c r="AXI266" s="18"/>
      <c r="AXJ266" s="18"/>
      <c r="AXK266" s="18"/>
      <c r="AXL266" s="18"/>
      <c r="AXM266" s="18"/>
      <c r="AXN266" s="18"/>
      <c r="AXO266" s="18"/>
      <c r="AXP266" s="18"/>
      <c r="AXQ266" s="18"/>
      <c r="AXR266" s="18"/>
      <c r="AXS266" s="18"/>
      <c r="AXT266" s="18"/>
      <c r="AXU266" s="18"/>
      <c r="AXV266" s="18"/>
      <c r="AXW266" s="18"/>
      <c r="AXX266" s="18"/>
      <c r="AXY266" s="18"/>
      <c r="AXZ266" s="18"/>
      <c r="AYA266" s="18"/>
      <c r="AYB266" s="18"/>
      <c r="AYC266" s="18"/>
      <c r="AYD266" s="18"/>
      <c r="AYE266" s="18"/>
      <c r="AYF266" s="18"/>
      <c r="AYG266" s="18"/>
      <c r="AYH266" s="18"/>
      <c r="AYI266" s="18"/>
      <c r="AYJ266" s="18"/>
      <c r="AYK266" s="18"/>
      <c r="AYL266" s="18"/>
      <c r="AYM266" s="18"/>
      <c r="AYN266" s="18"/>
      <c r="AYO266" s="18"/>
      <c r="AYP266" s="18"/>
      <c r="AYQ266" s="18"/>
      <c r="AYR266" s="18"/>
      <c r="AYS266" s="18"/>
      <c r="AYT266" s="18"/>
      <c r="AYU266" s="18"/>
      <c r="AYV266" s="18"/>
      <c r="AYW266" s="18"/>
      <c r="AYX266" s="18"/>
      <c r="AYY266" s="18"/>
      <c r="AYZ266" s="18"/>
      <c r="AZA266" s="18"/>
      <c r="AZB266" s="18"/>
      <c r="AZC266" s="18"/>
      <c r="AZD266" s="18"/>
      <c r="AZE266" s="18"/>
      <c r="AZF266" s="18"/>
      <c r="AZG266" s="18"/>
      <c r="AZH266" s="18"/>
      <c r="AZI266" s="18"/>
      <c r="AZJ266" s="18"/>
      <c r="AZK266" s="18"/>
      <c r="AZL266" s="18"/>
      <c r="AZM266" s="18"/>
      <c r="AZN266" s="18"/>
      <c r="AZO266" s="18"/>
      <c r="AZP266" s="18"/>
      <c r="AZQ266" s="18"/>
      <c r="AZR266" s="18"/>
      <c r="AZS266" s="18"/>
      <c r="AZT266" s="18"/>
      <c r="AZU266" s="18"/>
      <c r="AZV266" s="18"/>
      <c r="AZW266" s="18"/>
      <c r="AZX266" s="18"/>
      <c r="AZY266" s="18"/>
      <c r="AZZ266" s="18"/>
      <c r="BAA266" s="18"/>
      <c r="BAB266" s="18"/>
      <c r="BAC266" s="18"/>
      <c r="BAD266" s="18"/>
      <c r="BAE266" s="18"/>
      <c r="BAF266" s="18"/>
      <c r="BAG266" s="18"/>
      <c r="BAH266" s="18"/>
      <c r="BAI266" s="18"/>
      <c r="BAJ266" s="18"/>
      <c r="BAK266" s="18"/>
      <c r="BAL266" s="18"/>
      <c r="BAM266" s="18"/>
      <c r="BAN266" s="18"/>
      <c r="BAO266" s="18"/>
      <c r="BAP266" s="18"/>
      <c r="BAQ266" s="18"/>
      <c r="BAR266" s="18"/>
      <c r="BAS266" s="18"/>
      <c r="BAT266" s="18"/>
      <c r="BAU266" s="18"/>
      <c r="BAV266" s="18"/>
      <c r="BAW266" s="18"/>
      <c r="BAX266" s="18"/>
      <c r="BAY266" s="18"/>
      <c r="BAZ266" s="18"/>
      <c r="BBA266" s="18"/>
      <c r="BBB266" s="18"/>
      <c r="BBC266" s="18"/>
      <c r="BBD266" s="18"/>
      <c r="BBE266" s="18"/>
      <c r="BBF266" s="18"/>
      <c r="BBG266" s="18"/>
      <c r="BBH266" s="18"/>
      <c r="BBI266" s="18"/>
      <c r="BBJ266" s="18"/>
      <c r="BBK266" s="18"/>
      <c r="BBL266" s="18"/>
      <c r="BBM266" s="18"/>
      <c r="BBN266" s="18"/>
      <c r="BBO266" s="18"/>
      <c r="BBP266" s="18"/>
      <c r="BBQ266" s="18"/>
      <c r="BBR266" s="18"/>
      <c r="BBS266" s="18"/>
      <c r="BBT266" s="18"/>
      <c r="BBU266" s="18"/>
      <c r="BBV266" s="18"/>
      <c r="BBW266" s="18"/>
      <c r="BBX266" s="18"/>
      <c r="BBY266" s="18"/>
      <c r="BBZ266" s="18"/>
      <c r="BCA266" s="18"/>
      <c r="BCB266" s="18"/>
      <c r="BCC266" s="18"/>
      <c r="BCD266" s="18"/>
      <c r="BCE266" s="18"/>
      <c r="BCF266" s="18"/>
      <c r="BCG266" s="18"/>
      <c r="BCH266" s="18"/>
      <c r="BCI266" s="18"/>
      <c r="BCJ266" s="18"/>
      <c r="BCK266" s="18"/>
      <c r="BCL266" s="18"/>
      <c r="BCM266" s="18"/>
      <c r="BCN266" s="18"/>
      <c r="BCO266" s="18"/>
      <c r="BCP266" s="18"/>
      <c r="BCQ266" s="18"/>
      <c r="BCR266" s="18"/>
      <c r="BCS266" s="18"/>
      <c r="BCT266" s="18"/>
      <c r="BCU266" s="18"/>
      <c r="BCV266" s="18"/>
      <c r="BCW266" s="18"/>
      <c r="BCX266" s="18"/>
      <c r="BCY266" s="18"/>
      <c r="BCZ266" s="18"/>
      <c r="BDA266" s="18"/>
      <c r="BDB266" s="18"/>
      <c r="BDC266" s="18"/>
      <c r="BDD266" s="18"/>
      <c r="BDE266" s="18"/>
      <c r="BDF266" s="18"/>
      <c r="BDG266" s="18"/>
      <c r="BDH266" s="18"/>
      <c r="BDI266" s="18"/>
      <c r="BDJ266" s="18"/>
      <c r="BDK266" s="18"/>
      <c r="BDL266" s="18"/>
      <c r="BDM266" s="18"/>
      <c r="BDN266" s="18"/>
      <c r="BDO266" s="18"/>
      <c r="BDP266" s="18"/>
      <c r="BDQ266" s="18"/>
      <c r="BDR266" s="18"/>
      <c r="BDS266" s="18"/>
      <c r="BDT266" s="18"/>
      <c r="BDU266" s="18"/>
      <c r="BDV266" s="18"/>
      <c r="BDW266" s="18"/>
      <c r="BDX266" s="18"/>
      <c r="BDY266" s="18"/>
      <c r="BDZ266" s="18"/>
      <c r="BEA266" s="18"/>
      <c r="BEB266" s="18"/>
      <c r="BEC266" s="18"/>
      <c r="BED266" s="18"/>
      <c r="BEE266" s="18"/>
      <c r="BEF266" s="18"/>
      <c r="BEG266" s="18"/>
      <c r="BEH266" s="18"/>
      <c r="BEI266" s="18"/>
      <c r="BEJ266" s="18"/>
      <c r="BEK266" s="18"/>
      <c r="BEL266" s="18"/>
      <c r="BEM266" s="18"/>
      <c r="BEN266" s="18"/>
      <c r="BEO266" s="18"/>
      <c r="BEP266" s="18"/>
      <c r="BEQ266" s="18"/>
      <c r="BER266" s="18"/>
      <c r="BES266" s="18"/>
      <c r="BET266" s="18"/>
      <c r="BEU266" s="18"/>
      <c r="BEV266" s="18"/>
      <c r="BEW266" s="18"/>
      <c r="BEX266" s="18"/>
      <c r="BEY266" s="18"/>
      <c r="BEZ266" s="18"/>
      <c r="BFA266" s="18"/>
      <c r="BFB266" s="18"/>
      <c r="BFC266" s="18"/>
      <c r="BFD266" s="18"/>
      <c r="BFE266" s="18"/>
      <c r="BFF266" s="18"/>
      <c r="BFG266" s="18"/>
      <c r="BFH266" s="18"/>
      <c r="BFI266" s="18"/>
      <c r="BFJ266" s="18"/>
      <c r="BFK266" s="18"/>
      <c r="BFL266" s="18"/>
      <c r="BFM266" s="18"/>
      <c r="BFN266" s="18"/>
      <c r="BFO266" s="18"/>
      <c r="BFP266" s="18"/>
      <c r="BFQ266" s="18"/>
      <c r="BFR266" s="18"/>
      <c r="BFS266" s="18"/>
      <c r="BFT266" s="18"/>
      <c r="BFU266" s="18"/>
      <c r="BFV266" s="18"/>
      <c r="BFW266" s="18"/>
      <c r="BFX266" s="18"/>
      <c r="BFY266" s="18"/>
      <c r="BFZ266" s="18"/>
      <c r="BGA266" s="18"/>
      <c r="BGB266" s="18"/>
      <c r="BGC266" s="18"/>
      <c r="BGD266" s="18"/>
      <c r="BGE266" s="18"/>
      <c r="BGF266" s="18"/>
      <c r="BGG266" s="18"/>
      <c r="BGH266" s="18"/>
      <c r="BGI266" s="18"/>
      <c r="BGJ266" s="18"/>
      <c r="BGK266" s="18"/>
      <c r="BGL266" s="18"/>
      <c r="BGM266" s="18"/>
      <c r="BGN266" s="18"/>
      <c r="BGO266" s="18"/>
      <c r="BGP266" s="18"/>
      <c r="BGQ266" s="18"/>
      <c r="BGR266" s="18"/>
      <c r="BGS266" s="18"/>
      <c r="BGT266" s="18"/>
      <c r="BGU266" s="18"/>
      <c r="BGV266" s="18"/>
      <c r="BGW266" s="18"/>
      <c r="BGX266" s="18"/>
      <c r="BGY266" s="18"/>
      <c r="BGZ266" s="18"/>
      <c r="BHA266" s="18"/>
      <c r="BHB266" s="18"/>
      <c r="BHC266" s="18"/>
      <c r="BHD266" s="18"/>
      <c r="BHE266" s="18"/>
      <c r="BHF266" s="18"/>
      <c r="BHG266" s="18"/>
      <c r="BHH266" s="18"/>
      <c r="BHI266" s="18"/>
      <c r="BHJ266" s="18"/>
      <c r="BHK266" s="18"/>
      <c r="BHL266" s="18"/>
      <c r="BHM266" s="18"/>
      <c r="BHN266" s="18"/>
      <c r="BHO266" s="18"/>
      <c r="BHP266" s="18"/>
      <c r="BHQ266" s="18"/>
      <c r="BHR266" s="18"/>
      <c r="BHS266" s="18"/>
      <c r="BHT266" s="18"/>
      <c r="BHU266" s="18"/>
      <c r="BHV266" s="18"/>
      <c r="BHW266" s="18"/>
      <c r="BHX266" s="18"/>
      <c r="BHY266" s="18"/>
      <c r="BHZ266" s="18"/>
      <c r="BIA266" s="18"/>
      <c r="BIB266" s="18"/>
      <c r="BIC266" s="18"/>
      <c r="BID266" s="18"/>
      <c r="BIE266" s="18"/>
      <c r="BIF266" s="18"/>
      <c r="BIG266" s="18"/>
      <c r="BIH266" s="18"/>
      <c r="BII266" s="18"/>
      <c r="BIJ266" s="18"/>
      <c r="BIK266" s="18"/>
      <c r="BIL266" s="18"/>
      <c r="BIM266" s="18"/>
      <c r="BIN266" s="18"/>
      <c r="BIO266" s="18"/>
      <c r="BIP266" s="18"/>
      <c r="BIQ266" s="18"/>
      <c r="BIR266" s="18"/>
      <c r="BIS266" s="18"/>
      <c r="BIT266" s="18"/>
      <c r="BIU266" s="18"/>
      <c r="BIV266" s="18"/>
      <c r="BIW266" s="18"/>
      <c r="BIX266" s="18"/>
      <c r="BIY266" s="18"/>
      <c r="BIZ266" s="18"/>
      <c r="BJA266" s="18"/>
      <c r="BJB266" s="18"/>
      <c r="BJC266" s="18"/>
      <c r="BJD266" s="18"/>
      <c r="BJE266" s="18"/>
      <c r="BJF266" s="18"/>
      <c r="BJG266" s="18"/>
      <c r="BJH266" s="18"/>
      <c r="BJI266" s="18"/>
      <c r="BJJ266" s="18"/>
      <c r="BJK266" s="18"/>
      <c r="BJL266" s="18"/>
      <c r="BJM266" s="18"/>
      <c r="BJN266" s="18"/>
      <c r="BJO266" s="18"/>
      <c r="BJP266" s="18"/>
      <c r="BJQ266" s="18"/>
      <c r="BJR266" s="18"/>
      <c r="BJS266" s="18"/>
      <c r="BJT266" s="18"/>
      <c r="BJU266" s="18"/>
      <c r="BJV266" s="18"/>
      <c r="BJW266" s="18"/>
      <c r="BJX266" s="18"/>
      <c r="BJY266" s="18"/>
      <c r="BJZ266" s="18"/>
      <c r="BKA266" s="18"/>
      <c r="BKB266" s="18"/>
      <c r="BKC266" s="18"/>
      <c r="BKD266" s="18"/>
      <c r="BKE266" s="18"/>
      <c r="BKF266" s="18"/>
      <c r="BKG266" s="18"/>
      <c r="BKH266" s="18"/>
      <c r="BKI266" s="18"/>
      <c r="BKJ266" s="18"/>
      <c r="BKK266" s="18"/>
      <c r="BKL266" s="18"/>
      <c r="BKM266" s="18"/>
      <c r="BKN266" s="18"/>
      <c r="BKO266" s="18"/>
      <c r="BKP266" s="18"/>
      <c r="BKQ266" s="18"/>
      <c r="BKR266" s="18"/>
      <c r="BKS266" s="18"/>
      <c r="BKT266" s="18"/>
      <c r="BKU266" s="18"/>
      <c r="BKV266" s="18"/>
      <c r="BKW266" s="18"/>
      <c r="BKX266" s="18"/>
      <c r="BKY266" s="18"/>
      <c r="BKZ266" s="18"/>
      <c r="BLA266" s="18"/>
      <c r="BLB266" s="18"/>
      <c r="BLC266" s="18"/>
      <c r="BLD266" s="18"/>
      <c r="BLE266" s="18"/>
      <c r="BLF266" s="18"/>
      <c r="BLG266" s="18"/>
      <c r="BLH266" s="18"/>
      <c r="BLI266" s="18"/>
      <c r="BLJ266" s="18"/>
      <c r="BLK266" s="18"/>
      <c r="BLL266" s="18"/>
      <c r="BLM266" s="18"/>
      <c r="BLN266" s="18"/>
      <c r="BLO266" s="18"/>
      <c r="BLP266" s="18"/>
      <c r="BLQ266" s="18"/>
      <c r="BLR266" s="18"/>
      <c r="BLS266" s="18"/>
      <c r="BLT266" s="18"/>
      <c r="BLU266" s="18"/>
      <c r="BLV266" s="18"/>
      <c r="BLW266" s="18"/>
      <c r="BLX266" s="18"/>
      <c r="BLY266" s="18"/>
      <c r="BLZ266" s="18"/>
      <c r="BMA266" s="18"/>
      <c r="BMB266" s="18"/>
      <c r="BMC266" s="18"/>
      <c r="BMD266" s="18"/>
      <c r="BME266" s="18"/>
      <c r="BMF266" s="18"/>
      <c r="BMG266" s="18"/>
      <c r="BMH266" s="18"/>
      <c r="BMI266" s="18"/>
      <c r="BMJ266" s="18"/>
      <c r="BMK266" s="18"/>
      <c r="BML266" s="18"/>
      <c r="BMM266" s="18"/>
      <c r="BMN266" s="18"/>
      <c r="BMO266" s="18"/>
      <c r="BMP266" s="18"/>
      <c r="BMQ266" s="18"/>
      <c r="BMR266" s="18"/>
      <c r="BMS266" s="18"/>
      <c r="BMT266" s="18"/>
      <c r="BMU266" s="18"/>
      <c r="BMV266" s="18"/>
      <c r="BMW266" s="18"/>
      <c r="BMX266" s="18"/>
      <c r="BMY266" s="18"/>
      <c r="BMZ266" s="18"/>
      <c r="BNA266" s="18"/>
      <c r="BNB266" s="18"/>
      <c r="BNC266" s="18"/>
      <c r="BND266" s="18"/>
      <c r="BNE266" s="18"/>
      <c r="BNF266" s="18"/>
      <c r="BNG266" s="18"/>
      <c r="BNH266" s="18"/>
      <c r="BNI266" s="18"/>
      <c r="BNJ266" s="18"/>
      <c r="BNK266" s="18"/>
      <c r="BNL266" s="18"/>
      <c r="BNM266" s="18"/>
      <c r="BNN266" s="18"/>
      <c r="BNO266" s="18"/>
      <c r="BNP266" s="18"/>
      <c r="BNQ266" s="18"/>
      <c r="BNR266" s="18"/>
      <c r="BNS266" s="18"/>
      <c r="BNT266" s="18"/>
      <c r="BNU266" s="18"/>
      <c r="BNV266" s="18"/>
      <c r="BNW266" s="18"/>
      <c r="BNX266" s="18"/>
      <c r="BNY266" s="18"/>
      <c r="BNZ266" s="18"/>
      <c r="BOA266" s="18"/>
      <c r="BOB266" s="18"/>
      <c r="BOC266" s="18"/>
      <c r="BOD266" s="18"/>
      <c r="BOE266" s="18"/>
      <c r="BOF266" s="18"/>
      <c r="BOG266" s="18"/>
      <c r="BOH266" s="18"/>
      <c r="BOI266" s="18"/>
      <c r="BOJ266" s="18"/>
      <c r="BOK266" s="18"/>
      <c r="BOL266" s="18"/>
      <c r="BOM266" s="18"/>
      <c r="BON266" s="18"/>
      <c r="BOO266" s="18"/>
      <c r="BOP266" s="18"/>
      <c r="BOQ266" s="18"/>
      <c r="BOR266" s="18"/>
      <c r="BOS266" s="18"/>
      <c r="BOT266" s="18"/>
      <c r="BOU266" s="18"/>
      <c r="BOV266" s="18"/>
      <c r="BOW266" s="18"/>
      <c r="BOX266" s="18"/>
      <c r="BOY266" s="18"/>
      <c r="BOZ266" s="18"/>
      <c r="BPA266" s="18"/>
      <c r="BPB266" s="18"/>
      <c r="BPC266" s="18"/>
      <c r="BPD266" s="18"/>
      <c r="BPE266" s="18"/>
      <c r="BPF266" s="18"/>
      <c r="BPG266" s="18"/>
      <c r="BPH266" s="18"/>
      <c r="BPI266" s="18"/>
      <c r="BPJ266" s="18"/>
      <c r="BPK266" s="18"/>
      <c r="BPL266" s="18"/>
      <c r="BPM266" s="18"/>
      <c r="BPN266" s="18"/>
      <c r="BPO266" s="18"/>
      <c r="BPP266" s="18"/>
      <c r="BPQ266" s="18"/>
      <c r="BPR266" s="18"/>
      <c r="BPS266" s="18"/>
      <c r="BPT266" s="18"/>
      <c r="BPU266" s="18"/>
      <c r="BPV266" s="18"/>
      <c r="BPW266" s="18"/>
      <c r="BPX266" s="18"/>
      <c r="BPY266" s="18"/>
      <c r="BPZ266" s="18"/>
      <c r="BQA266" s="18"/>
      <c r="BQB266" s="18"/>
      <c r="BQC266" s="18"/>
      <c r="BQD266" s="18"/>
      <c r="BQE266" s="18"/>
      <c r="BQF266" s="18"/>
      <c r="BQG266" s="18"/>
      <c r="BQH266" s="18"/>
      <c r="BQI266" s="18"/>
      <c r="BQJ266" s="18"/>
      <c r="BQK266" s="18"/>
      <c r="BQL266" s="18"/>
      <c r="BQM266" s="18"/>
      <c r="BQN266" s="18"/>
      <c r="BQO266" s="18"/>
      <c r="BQP266" s="18"/>
      <c r="BQQ266" s="18"/>
      <c r="BQR266" s="18"/>
      <c r="BQS266" s="18"/>
      <c r="BQT266" s="18"/>
      <c r="BQU266" s="18"/>
      <c r="BQV266" s="18"/>
      <c r="BQW266" s="18"/>
      <c r="BQX266" s="18"/>
      <c r="BQY266" s="18"/>
      <c r="BQZ266" s="18"/>
      <c r="BRA266" s="18"/>
      <c r="BRB266" s="18"/>
      <c r="BRC266" s="18"/>
      <c r="BRD266" s="18"/>
      <c r="BRE266" s="18"/>
      <c r="BRF266" s="18"/>
      <c r="BRG266" s="18"/>
      <c r="BRH266" s="18"/>
      <c r="BRI266" s="18"/>
      <c r="BRJ266" s="18"/>
      <c r="BRK266" s="18"/>
      <c r="BRL266" s="18"/>
      <c r="BRM266" s="18"/>
      <c r="BRN266" s="18"/>
      <c r="BRO266" s="18"/>
      <c r="BRP266" s="18"/>
      <c r="BRQ266" s="18"/>
      <c r="BRR266" s="18"/>
      <c r="BRS266" s="18"/>
      <c r="BRT266" s="18"/>
      <c r="BRU266" s="18"/>
      <c r="BRV266" s="18"/>
      <c r="BRW266" s="18"/>
      <c r="BRX266" s="18"/>
      <c r="BRY266" s="18"/>
      <c r="BRZ266" s="18"/>
      <c r="BSA266" s="18"/>
      <c r="BSB266" s="18"/>
      <c r="BSC266" s="18"/>
      <c r="BSD266" s="18"/>
      <c r="BSE266" s="18"/>
      <c r="BSF266" s="18"/>
      <c r="BSG266" s="18"/>
      <c r="BSH266" s="18"/>
      <c r="BSI266" s="18"/>
      <c r="BSJ266" s="18"/>
      <c r="BSK266" s="18"/>
      <c r="BSL266" s="18"/>
      <c r="BSM266" s="18"/>
      <c r="BSN266" s="18"/>
      <c r="BSO266" s="18"/>
      <c r="BSP266" s="18"/>
      <c r="BSQ266" s="18"/>
      <c r="BSR266" s="18"/>
      <c r="BSS266" s="18"/>
      <c r="BST266" s="18"/>
      <c r="BSU266" s="18"/>
      <c r="BSV266" s="18"/>
      <c r="BSW266" s="18"/>
      <c r="BSX266" s="18"/>
      <c r="BSY266" s="18"/>
      <c r="BSZ266" s="18"/>
      <c r="BTA266" s="18"/>
      <c r="BTB266" s="18"/>
      <c r="BTC266" s="18"/>
      <c r="BTD266" s="18"/>
      <c r="BTE266" s="18"/>
      <c r="BTF266" s="18"/>
      <c r="BTG266" s="18"/>
      <c r="BTH266" s="18"/>
      <c r="BTI266" s="18"/>
    </row>
    <row r="267" spans="1:1881" s="786" customFormat="1" ht="78.75" customHeight="1" x14ac:dyDescent="0.3">
      <c r="A267" s="108">
        <v>602</v>
      </c>
      <c r="B267" s="688" t="s">
        <v>59</v>
      </c>
      <c r="C267" s="688" t="s">
        <v>529</v>
      </c>
      <c r="D267" s="107" t="s">
        <v>684</v>
      </c>
      <c r="E267" s="686" t="e">
        <f>HLOOKUP($D$2,'2020 Data(H)'!$C$1:$CR$399,262,FALSE)</f>
        <v>#N/A</v>
      </c>
      <c r="F267" s="296">
        <v>0</v>
      </c>
      <c r="G267" s="790" t="str">
        <f>IF(ISBLANK(F267),"Please do not leave blank","")</f>
        <v/>
      </c>
      <c r="H267" s="747">
        <f>IF(F267&lt;0,"Note: Number is normally positive.",)</f>
        <v>0</v>
      </c>
      <c r="I267" s="79"/>
      <c r="J267" s="592"/>
      <c r="K267" s="18"/>
      <c r="L267" s="18"/>
      <c r="M267" s="18"/>
      <c r="N267" s="298"/>
      <c r="O267" s="18"/>
      <c r="P267" s="18"/>
      <c r="Q267" s="18"/>
      <c r="R267" s="18"/>
      <c r="S267" s="18"/>
      <c r="T267" s="18"/>
      <c r="U267" s="18"/>
      <c r="V267" s="18"/>
      <c r="W267" s="18"/>
      <c r="X267" s="18"/>
      <c r="Y267" s="18"/>
      <c r="Z267" s="108"/>
      <c r="AA267" s="108"/>
      <c r="AB267" s="108"/>
      <c r="AC267" s="108"/>
      <c r="AD267" s="108"/>
      <c r="AE267" s="108"/>
      <c r="AF267" s="108"/>
      <c r="AG267" s="108"/>
      <c r="AH267" s="108"/>
      <c r="AI267" s="108"/>
      <c r="AJ267" s="108"/>
      <c r="AK267" s="108"/>
      <c r="AL267" s="108"/>
      <c r="AM267" s="108"/>
      <c r="AN267" s="108"/>
      <c r="AO267" s="108"/>
      <c r="AP267" s="108"/>
      <c r="AQ267" s="108"/>
      <c r="AR267" s="10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c r="WZ267" s="18"/>
      <c r="XA267" s="18"/>
      <c r="XB267" s="18"/>
      <c r="XC267" s="18"/>
      <c r="XD267" s="18"/>
      <c r="XE267" s="18"/>
      <c r="XF267" s="18"/>
      <c r="XG267" s="18"/>
      <c r="XH267" s="18"/>
      <c r="XI267" s="18"/>
      <c r="XJ267" s="18"/>
      <c r="XK267" s="18"/>
      <c r="XL267" s="18"/>
      <c r="XM267" s="18"/>
      <c r="XN267" s="18"/>
      <c r="XO267" s="18"/>
      <c r="XP267" s="18"/>
      <c r="XQ267" s="18"/>
      <c r="XR267" s="18"/>
      <c r="XS267" s="18"/>
      <c r="XT267" s="18"/>
      <c r="XU267" s="18"/>
      <c r="XV267" s="18"/>
      <c r="XW267" s="18"/>
      <c r="XX267" s="18"/>
      <c r="XY267" s="18"/>
      <c r="XZ267" s="18"/>
      <c r="YA267" s="18"/>
      <c r="YB267" s="18"/>
      <c r="YC267" s="18"/>
      <c r="YD267" s="18"/>
      <c r="YE267" s="18"/>
      <c r="YF267" s="18"/>
      <c r="YG267" s="18"/>
      <c r="YH267" s="18"/>
      <c r="YI267" s="18"/>
      <c r="YJ267" s="18"/>
      <c r="YK267" s="18"/>
      <c r="YL267" s="18"/>
      <c r="YM267" s="18"/>
      <c r="YN267" s="18"/>
      <c r="YO267" s="18"/>
      <c r="YP267" s="18"/>
      <c r="YQ267" s="18"/>
      <c r="YR267" s="18"/>
      <c r="YS267" s="18"/>
      <c r="YT267" s="18"/>
      <c r="YU267" s="18"/>
      <c r="YV267" s="18"/>
      <c r="YW267" s="18"/>
      <c r="YX267" s="18"/>
      <c r="YY267" s="18"/>
      <c r="YZ267" s="18"/>
      <c r="ZA267" s="18"/>
      <c r="ZB267" s="18"/>
      <c r="ZC267" s="18"/>
      <c r="ZD267" s="18"/>
      <c r="ZE267" s="18"/>
      <c r="ZF267" s="18"/>
      <c r="ZG267" s="18"/>
      <c r="ZH267" s="18"/>
      <c r="ZI267" s="18"/>
      <c r="ZJ267" s="18"/>
      <c r="ZK267" s="18"/>
      <c r="ZL267" s="18"/>
      <c r="ZM267" s="18"/>
      <c r="ZN267" s="18"/>
      <c r="ZO267" s="18"/>
      <c r="ZP267" s="18"/>
      <c r="ZQ267" s="18"/>
      <c r="ZR267" s="18"/>
      <c r="ZS267" s="18"/>
      <c r="ZT267" s="18"/>
      <c r="ZU267" s="18"/>
      <c r="ZV267" s="18"/>
      <c r="ZW267" s="18"/>
      <c r="ZX267" s="18"/>
      <c r="ZY267" s="18"/>
      <c r="ZZ267" s="18"/>
      <c r="AAA267" s="18"/>
      <c r="AAB267" s="18"/>
      <c r="AAC267" s="18"/>
      <c r="AAD267" s="18"/>
      <c r="AAE267" s="18"/>
      <c r="AAF267" s="18"/>
      <c r="AAG267" s="18"/>
      <c r="AAH267" s="18"/>
      <c r="AAI267" s="18"/>
      <c r="AAJ267" s="18"/>
      <c r="AAK267" s="18"/>
      <c r="AAL267" s="18"/>
      <c r="AAM267" s="18"/>
      <c r="AAN267" s="18"/>
      <c r="AAO267" s="18"/>
      <c r="AAP267" s="18"/>
      <c r="AAQ267" s="18"/>
      <c r="AAR267" s="18"/>
      <c r="AAS267" s="18"/>
      <c r="AAT267" s="18"/>
      <c r="AAU267" s="18"/>
      <c r="AAV267" s="18"/>
      <c r="AAW267" s="18"/>
      <c r="AAX267" s="18"/>
      <c r="AAY267" s="18"/>
      <c r="AAZ267" s="18"/>
      <c r="ABA267" s="18"/>
      <c r="ABB267" s="18"/>
      <c r="ABC267" s="18"/>
      <c r="ABD267" s="18"/>
      <c r="ABE267" s="18"/>
      <c r="ABF267" s="18"/>
      <c r="ABG267" s="18"/>
      <c r="ABH267" s="18"/>
      <c r="ABI267" s="18"/>
      <c r="ABJ267" s="18"/>
      <c r="ABK267" s="18"/>
      <c r="ABL267" s="18"/>
      <c r="ABM267" s="18"/>
      <c r="ABN267" s="18"/>
      <c r="ABO267" s="18"/>
      <c r="ABP267" s="18"/>
      <c r="ABQ267" s="18"/>
      <c r="ABR267" s="18"/>
      <c r="ABS267" s="18"/>
      <c r="ABT267" s="18"/>
      <c r="ABU267" s="18"/>
      <c r="ABV267" s="18"/>
      <c r="ABW267" s="18"/>
      <c r="ABX267" s="18"/>
      <c r="ABY267" s="18"/>
      <c r="ABZ267" s="18"/>
      <c r="ACA267" s="18"/>
      <c r="ACB267" s="18"/>
      <c r="ACC267" s="18"/>
      <c r="ACD267" s="18"/>
      <c r="ACE267" s="18"/>
      <c r="ACF267" s="18"/>
      <c r="ACG267" s="18"/>
      <c r="ACH267" s="18"/>
      <c r="ACI267" s="18"/>
      <c r="ACJ267" s="18"/>
      <c r="ACK267" s="18"/>
      <c r="ACL267" s="18"/>
      <c r="ACM267" s="18"/>
      <c r="ACN267" s="18"/>
      <c r="ACO267" s="18"/>
      <c r="ACP267" s="18"/>
      <c r="ACQ267" s="18"/>
      <c r="ACR267" s="18"/>
      <c r="ACS267" s="18"/>
      <c r="ACT267" s="18"/>
      <c r="ACU267" s="18"/>
      <c r="ACV267" s="18"/>
      <c r="ACW267" s="18"/>
      <c r="ACX267" s="18"/>
      <c r="ACY267" s="18"/>
      <c r="ACZ267" s="18"/>
      <c r="ADA267" s="18"/>
      <c r="ADB267" s="18"/>
      <c r="ADC267" s="18"/>
      <c r="ADD267" s="18"/>
      <c r="ADE267" s="18"/>
      <c r="ADF267" s="18"/>
      <c r="ADG267" s="18"/>
      <c r="ADH267" s="18"/>
      <c r="ADI267" s="18"/>
      <c r="ADJ267" s="18"/>
      <c r="ADK267" s="18"/>
      <c r="ADL267" s="18"/>
      <c r="ADM267" s="18"/>
      <c r="ADN267" s="18"/>
      <c r="ADO267" s="18"/>
      <c r="ADP267" s="18"/>
      <c r="ADQ267" s="18"/>
      <c r="ADR267" s="18"/>
      <c r="ADS267" s="18"/>
      <c r="ADT267" s="18"/>
      <c r="ADU267" s="18"/>
      <c r="ADV267" s="18"/>
      <c r="ADW267" s="18"/>
      <c r="ADX267" s="18"/>
      <c r="ADY267" s="18"/>
      <c r="ADZ267" s="18"/>
      <c r="AEA267" s="18"/>
      <c r="AEB267" s="18"/>
      <c r="AEC267" s="18"/>
      <c r="AED267" s="18"/>
      <c r="AEE267" s="18"/>
      <c r="AEF267" s="18"/>
      <c r="AEG267" s="18"/>
      <c r="AEH267" s="18"/>
      <c r="AEI267" s="18"/>
      <c r="AEJ267" s="18"/>
      <c r="AEK267" s="18"/>
      <c r="AEL267" s="18"/>
      <c r="AEM267" s="18"/>
      <c r="AEN267" s="18"/>
      <c r="AEO267" s="18"/>
      <c r="AEP267" s="18"/>
      <c r="AEQ267" s="18"/>
      <c r="AER267" s="18"/>
      <c r="AES267" s="18"/>
      <c r="AET267" s="18"/>
      <c r="AEU267" s="18"/>
      <c r="AEV267" s="18"/>
      <c r="AEW267" s="18"/>
      <c r="AEX267" s="18"/>
      <c r="AEY267" s="18"/>
      <c r="AEZ267" s="18"/>
      <c r="AFA267" s="18"/>
      <c r="AFB267" s="18"/>
      <c r="AFC267" s="18"/>
      <c r="AFD267" s="18"/>
      <c r="AFE267" s="18"/>
      <c r="AFF267" s="18"/>
      <c r="AFG267" s="18"/>
      <c r="AFH267" s="18"/>
      <c r="AFI267" s="18"/>
      <c r="AFJ267" s="18"/>
      <c r="AFK267" s="18"/>
      <c r="AFL267" s="18"/>
      <c r="AFM267" s="18"/>
      <c r="AFN267" s="18"/>
      <c r="AFO267" s="18"/>
      <c r="AFP267" s="18"/>
      <c r="AFQ267" s="18"/>
      <c r="AFR267" s="18"/>
      <c r="AFS267" s="18"/>
      <c r="AFT267" s="18"/>
      <c r="AFU267" s="18"/>
      <c r="AFV267" s="18"/>
      <c r="AFW267" s="18"/>
      <c r="AFX267" s="18"/>
      <c r="AFY267" s="18"/>
      <c r="AFZ267" s="18"/>
      <c r="AGA267" s="18"/>
      <c r="AGB267" s="18"/>
      <c r="AGC267" s="18"/>
      <c r="AGD267" s="18"/>
      <c r="AGE267" s="18"/>
      <c r="AGF267" s="18"/>
      <c r="AGG267" s="18"/>
      <c r="AGH267" s="18"/>
      <c r="AGI267" s="18"/>
      <c r="AGJ267" s="18"/>
      <c r="AGK267" s="18"/>
      <c r="AGL267" s="18"/>
      <c r="AGM267" s="18"/>
      <c r="AGN267" s="18"/>
      <c r="AGO267" s="18"/>
      <c r="AGP267" s="18"/>
      <c r="AGQ267" s="18"/>
      <c r="AGR267" s="18"/>
      <c r="AGS267" s="18"/>
      <c r="AGT267" s="18"/>
      <c r="AGU267" s="18"/>
      <c r="AGV267" s="18"/>
      <c r="AGW267" s="18"/>
      <c r="AGX267" s="18"/>
      <c r="AGY267" s="18"/>
      <c r="AGZ267" s="18"/>
      <c r="AHA267" s="18"/>
      <c r="AHB267" s="18"/>
      <c r="AHC267" s="18"/>
      <c r="AHD267" s="18"/>
      <c r="AHE267" s="18"/>
      <c r="AHF267" s="18"/>
      <c r="AHG267" s="18"/>
      <c r="AHH267" s="18"/>
      <c r="AHI267" s="18"/>
      <c r="AHJ267" s="18"/>
      <c r="AHK267" s="18"/>
      <c r="AHL267" s="18"/>
      <c r="AHM267" s="18"/>
      <c r="AHN267" s="18"/>
      <c r="AHO267" s="18"/>
      <c r="AHP267" s="18"/>
      <c r="AHQ267" s="18"/>
      <c r="AHR267" s="18"/>
      <c r="AHS267" s="18"/>
      <c r="AHT267" s="18"/>
      <c r="AHU267" s="18"/>
      <c r="AHV267" s="18"/>
      <c r="AHW267" s="18"/>
      <c r="AHX267" s="18"/>
      <c r="AHY267" s="18"/>
      <c r="AHZ267" s="18"/>
      <c r="AIA267" s="18"/>
      <c r="AIB267" s="18"/>
      <c r="AIC267" s="18"/>
      <c r="AID267" s="18"/>
      <c r="AIE267" s="18"/>
      <c r="AIF267" s="18"/>
      <c r="AIG267" s="18"/>
      <c r="AIH267" s="18"/>
      <c r="AII267" s="18"/>
      <c r="AIJ267" s="18"/>
      <c r="AIK267" s="18"/>
      <c r="AIL267" s="18"/>
      <c r="AIM267" s="18"/>
      <c r="AIN267" s="18"/>
      <c r="AIO267" s="18"/>
      <c r="AIP267" s="18"/>
      <c r="AIQ267" s="18"/>
      <c r="AIR267" s="18"/>
      <c r="AIS267" s="18"/>
      <c r="AIT267" s="18"/>
      <c r="AIU267" s="18"/>
      <c r="AIV267" s="18"/>
      <c r="AIW267" s="18"/>
      <c r="AIX267" s="18"/>
      <c r="AIY267" s="18"/>
      <c r="AIZ267" s="18"/>
      <c r="AJA267" s="18"/>
      <c r="AJB267" s="18"/>
      <c r="AJC267" s="18"/>
      <c r="AJD267" s="18"/>
      <c r="AJE267" s="18"/>
      <c r="AJF267" s="18"/>
      <c r="AJG267" s="18"/>
      <c r="AJH267" s="18"/>
      <c r="AJI267" s="18"/>
      <c r="AJJ267" s="18"/>
      <c r="AJK267" s="18"/>
      <c r="AJL267" s="18"/>
      <c r="AJM267" s="18"/>
      <c r="AJN267" s="18"/>
      <c r="AJO267" s="18"/>
      <c r="AJP267" s="18"/>
      <c r="AJQ267" s="18"/>
      <c r="AJR267" s="18"/>
      <c r="AJS267" s="18"/>
      <c r="AJT267" s="18"/>
      <c r="AJU267" s="18"/>
      <c r="AJV267" s="18"/>
      <c r="AJW267" s="18"/>
      <c r="AJX267" s="18"/>
      <c r="AJY267" s="18"/>
      <c r="AJZ267" s="18"/>
      <c r="AKA267" s="18"/>
      <c r="AKB267" s="18"/>
      <c r="AKC267" s="18"/>
      <c r="AKD267" s="18"/>
      <c r="AKE267" s="18"/>
      <c r="AKF267" s="18"/>
      <c r="AKG267" s="18"/>
      <c r="AKH267" s="18"/>
      <c r="AKI267" s="18"/>
      <c r="AKJ267" s="18"/>
      <c r="AKK267" s="18"/>
      <c r="AKL267" s="18"/>
      <c r="AKM267" s="18"/>
      <c r="AKN267" s="18"/>
      <c r="AKO267" s="18"/>
      <c r="AKP267" s="18"/>
      <c r="AKQ267" s="18"/>
      <c r="AKR267" s="18"/>
      <c r="AKS267" s="18"/>
      <c r="AKT267" s="18"/>
      <c r="AKU267" s="18"/>
      <c r="AKV267" s="18"/>
      <c r="AKW267" s="18"/>
      <c r="AKX267" s="18"/>
      <c r="AKY267" s="18"/>
      <c r="AKZ267" s="18"/>
      <c r="ALA267" s="18"/>
      <c r="ALB267" s="18"/>
      <c r="ALC267" s="18"/>
      <c r="ALD267" s="18"/>
      <c r="ALE267" s="18"/>
      <c r="ALF267" s="18"/>
      <c r="ALG267" s="18"/>
      <c r="ALH267" s="18"/>
      <c r="ALI267" s="18"/>
      <c r="ALJ267" s="18"/>
      <c r="ALK267" s="18"/>
      <c r="ALL267" s="18"/>
      <c r="ALM267" s="18"/>
      <c r="ALN267" s="18"/>
      <c r="ALO267" s="18"/>
      <c r="ALP267" s="18"/>
      <c r="ALQ267" s="18"/>
      <c r="ALR267" s="18"/>
      <c r="ALS267" s="18"/>
      <c r="ALT267" s="18"/>
      <c r="ALU267" s="18"/>
      <c r="ALV267" s="18"/>
      <c r="ALW267" s="18"/>
      <c r="ALX267" s="18"/>
      <c r="ALY267" s="18"/>
      <c r="ALZ267" s="18"/>
      <c r="AMA267" s="18"/>
      <c r="AMB267" s="18"/>
      <c r="AMC267" s="18"/>
      <c r="AMD267" s="18"/>
      <c r="AME267" s="18"/>
      <c r="AMF267" s="18"/>
      <c r="AMG267" s="18"/>
      <c r="AMH267" s="18"/>
      <c r="AMI267" s="18"/>
      <c r="AMJ267" s="18"/>
      <c r="AMK267" s="18"/>
      <c r="AML267" s="18"/>
      <c r="AMM267" s="18"/>
      <c r="AMN267" s="18"/>
      <c r="AMO267" s="18"/>
      <c r="AMP267" s="18"/>
      <c r="AMQ267" s="18"/>
      <c r="AMR267" s="18"/>
      <c r="AMS267" s="18"/>
      <c r="AMT267" s="18"/>
      <c r="AMU267" s="18"/>
      <c r="AMV267" s="18"/>
      <c r="AMW267" s="18"/>
      <c r="AMX267" s="18"/>
      <c r="AMY267" s="18"/>
      <c r="AMZ267" s="18"/>
      <c r="ANA267" s="18"/>
      <c r="ANB267" s="18"/>
      <c r="ANC267" s="18"/>
      <c r="AND267" s="18"/>
      <c r="ANE267" s="18"/>
      <c r="ANF267" s="18"/>
      <c r="ANG267" s="18"/>
      <c r="ANH267" s="18"/>
      <c r="ANI267" s="18"/>
      <c r="ANJ267" s="18"/>
      <c r="ANK267" s="18"/>
      <c r="ANL267" s="18"/>
      <c r="ANM267" s="18"/>
      <c r="ANN267" s="18"/>
      <c r="ANO267" s="18"/>
      <c r="ANP267" s="18"/>
      <c r="ANQ267" s="18"/>
      <c r="ANR267" s="18"/>
      <c r="ANS267" s="18"/>
      <c r="ANT267" s="18"/>
      <c r="ANU267" s="18"/>
      <c r="ANV267" s="18"/>
      <c r="ANW267" s="18"/>
      <c r="ANX267" s="18"/>
      <c r="ANY267" s="18"/>
      <c r="ANZ267" s="18"/>
      <c r="AOA267" s="18"/>
      <c r="AOB267" s="18"/>
      <c r="AOC267" s="18"/>
      <c r="AOD267" s="18"/>
      <c r="AOE267" s="18"/>
      <c r="AOF267" s="18"/>
      <c r="AOG267" s="18"/>
      <c r="AOH267" s="18"/>
      <c r="AOI267" s="18"/>
      <c r="AOJ267" s="18"/>
      <c r="AOK267" s="18"/>
      <c r="AOL267" s="18"/>
      <c r="AOM267" s="18"/>
      <c r="AON267" s="18"/>
      <c r="AOO267" s="18"/>
      <c r="AOP267" s="18"/>
      <c r="AOQ267" s="18"/>
      <c r="AOR267" s="18"/>
      <c r="AOS267" s="18"/>
      <c r="AOT267" s="18"/>
      <c r="AOU267" s="18"/>
      <c r="AOV267" s="18"/>
      <c r="AOW267" s="18"/>
      <c r="AOX267" s="18"/>
      <c r="AOY267" s="18"/>
      <c r="AOZ267" s="18"/>
      <c r="APA267" s="18"/>
      <c r="APB267" s="18"/>
      <c r="APC267" s="18"/>
      <c r="APD267" s="18"/>
      <c r="APE267" s="18"/>
      <c r="APF267" s="18"/>
      <c r="APG267" s="18"/>
      <c r="APH267" s="18"/>
      <c r="API267" s="18"/>
      <c r="APJ267" s="18"/>
      <c r="APK267" s="18"/>
      <c r="APL267" s="18"/>
      <c r="APM267" s="18"/>
      <c r="APN267" s="18"/>
      <c r="APO267" s="18"/>
      <c r="APP267" s="18"/>
      <c r="APQ267" s="18"/>
      <c r="APR267" s="18"/>
      <c r="APS267" s="18"/>
      <c r="APT267" s="18"/>
      <c r="APU267" s="18"/>
      <c r="APV267" s="18"/>
      <c r="APW267" s="18"/>
      <c r="APX267" s="18"/>
      <c r="APY267" s="18"/>
      <c r="APZ267" s="18"/>
      <c r="AQA267" s="18"/>
      <c r="AQB267" s="18"/>
      <c r="AQC267" s="18"/>
      <c r="AQD267" s="18"/>
      <c r="AQE267" s="18"/>
      <c r="AQF267" s="18"/>
      <c r="AQG267" s="18"/>
      <c r="AQH267" s="18"/>
      <c r="AQI267" s="18"/>
      <c r="AQJ267" s="18"/>
      <c r="AQK267" s="18"/>
      <c r="AQL267" s="18"/>
      <c r="AQM267" s="18"/>
      <c r="AQN267" s="18"/>
      <c r="AQO267" s="18"/>
      <c r="AQP267" s="18"/>
      <c r="AQQ267" s="18"/>
      <c r="AQR267" s="18"/>
      <c r="AQS267" s="18"/>
      <c r="AQT267" s="18"/>
      <c r="AQU267" s="18"/>
      <c r="AQV267" s="18"/>
      <c r="AQW267" s="18"/>
      <c r="AQX267" s="18"/>
      <c r="AQY267" s="18"/>
      <c r="AQZ267" s="18"/>
      <c r="ARA267" s="18"/>
      <c r="ARB267" s="18"/>
      <c r="ARC267" s="18"/>
      <c r="ARD267" s="18"/>
      <c r="ARE267" s="18"/>
      <c r="ARF267" s="18"/>
      <c r="ARG267" s="18"/>
      <c r="ARH267" s="18"/>
      <c r="ARI267" s="18"/>
      <c r="ARJ267" s="18"/>
      <c r="ARK267" s="18"/>
      <c r="ARL267" s="18"/>
      <c r="ARM267" s="18"/>
      <c r="ARN267" s="18"/>
      <c r="ARO267" s="18"/>
      <c r="ARP267" s="18"/>
      <c r="ARQ267" s="18"/>
      <c r="ARR267" s="18"/>
      <c r="ARS267" s="18"/>
      <c r="ART267" s="18"/>
      <c r="ARU267" s="18"/>
      <c r="ARV267" s="18"/>
      <c r="ARW267" s="18"/>
      <c r="ARX267" s="18"/>
      <c r="ARY267" s="18"/>
      <c r="ARZ267" s="18"/>
      <c r="ASA267" s="18"/>
      <c r="ASB267" s="18"/>
      <c r="ASC267" s="18"/>
      <c r="ASD267" s="18"/>
      <c r="ASE267" s="18"/>
      <c r="ASF267" s="18"/>
      <c r="ASG267" s="18"/>
      <c r="ASH267" s="18"/>
      <c r="ASI267" s="18"/>
      <c r="ASJ267" s="18"/>
      <c r="ASK267" s="18"/>
      <c r="ASL267" s="18"/>
      <c r="ASM267" s="18"/>
      <c r="ASN267" s="18"/>
      <c r="ASO267" s="18"/>
      <c r="ASP267" s="18"/>
      <c r="ASQ267" s="18"/>
      <c r="ASR267" s="18"/>
      <c r="ASS267" s="18"/>
      <c r="AST267" s="18"/>
      <c r="ASU267" s="18"/>
      <c r="ASV267" s="18"/>
      <c r="ASW267" s="18"/>
      <c r="ASX267" s="18"/>
      <c r="ASY267" s="18"/>
      <c r="ASZ267" s="18"/>
      <c r="ATA267" s="18"/>
      <c r="ATB267" s="18"/>
      <c r="ATC267" s="18"/>
      <c r="ATD267" s="18"/>
      <c r="ATE267" s="18"/>
      <c r="ATF267" s="18"/>
      <c r="ATG267" s="18"/>
      <c r="ATH267" s="18"/>
      <c r="ATI267" s="18"/>
      <c r="ATJ267" s="18"/>
      <c r="ATK267" s="18"/>
      <c r="ATL267" s="18"/>
      <c r="ATM267" s="18"/>
      <c r="ATN267" s="18"/>
      <c r="ATO267" s="18"/>
      <c r="ATP267" s="18"/>
      <c r="ATQ267" s="18"/>
      <c r="ATR267" s="18"/>
      <c r="ATS267" s="18"/>
      <c r="ATT267" s="18"/>
      <c r="ATU267" s="18"/>
      <c r="ATV267" s="18"/>
      <c r="ATW267" s="18"/>
      <c r="ATX267" s="18"/>
      <c r="ATY267" s="18"/>
      <c r="ATZ267" s="18"/>
      <c r="AUA267" s="18"/>
      <c r="AUB267" s="18"/>
      <c r="AUC267" s="18"/>
      <c r="AUD267" s="18"/>
      <c r="AUE267" s="18"/>
      <c r="AUF267" s="18"/>
      <c r="AUG267" s="18"/>
      <c r="AUH267" s="18"/>
      <c r="AUI267" s="18"/>
      <c r="AUJ267" s="18"/>
      <c r="AUK267" s="18"/>
      <c r="AUL267" s="18"/>
      <c r="AUM267" s="18"/>
      <c r="AUN267" s="18"/>
      <c r="AUO267" s="18"/>
      <c r="AUP267" s="18"/>
      <c r="AUQ267" s="18"/>
      <c r="AUR267" s="18"/>
      <c r="AUS267" s="18"/>
      <c r="AUT267" s="18"/>
      <c r="AUU267" s="18"/>
      <c r="AUV267" s="18"/>
      <c r="AUW267" s="18"/>
      <c r="AUX267" s="18"/>
      <c r="AUY267" s="18"/>
      <c r="AUZ267" s="18"/>
      <c r="AVA267" s="18"/>
      <c r="AVB267" s="18"/>
      <c r="AVC267" s="18"/>
      <c r="AVD267" s="18"/>
      <c r="AVE267" s="18"/>
      <c r="AVF267" s="18"/>
      <c r="AVG267" s="18"/>
      <c r="AVH267" s="18"/>
      <c r="AVI267" s="18"/>
      <c r="AVJ267" s="18"/>
      <c r="AVK267" s="18"/>
      <c r="AVL267" s="18"/>
      <c r="AVM267" s="18"/>
      <c r="AVN267" s="18"/>
      <c r="AVO267" s="18"/>
      <c r="AVP267" s="18"/>
      <c r="AVQ267" s="18"/>
      <c r="AVR267" s="18"/>
      <c r="AVS267" s="18"/>
      <c r="AVT267" s="18"/>
      <c r="AVU267" s="18"/>
      <c r="AVV267" s="18"/>
      <c r="AVW267" s="18"/>
      <c r="AVX267" s="18"/>
      <c r="AVY267" s="18"/>
      <c r="AVZ267" s="18"/>
      <c r="AWA267" s="18"/>
      <c r="AWB267" s="18"/>
      <c r="AWC267" s="18"/>
      <c r="AWD267" s="18"/>
      <c r="AWE267" s="18"/>
      <c r="AWF267" s="18"/>
      <c r="AWG267" s="18"/>
      <c r="AWH267" s="18"/>
      <c r="AWI267" s="18"/>
      <c r="AWJ267" s="18"/>
      <c r="AWK267" s="18"/>
      <c r="AWL267" s="18"/>
      <c r="AWM267" s="18"/>
      <c r="AWN267" s="18"/>
      <c r="AWO267" s="18"/>
      <c r="AWP267" s="18"/>
      <c r="AWQ267" s="18"/>
      <c r="AWR267" s="18"/>
      <c r="AWS267" s="18"/>
      <c r="AWT267" s="18"/>
      <c r="AWU267" s="18"/>
      <c r="AWV267" s="18"/>
      <c r="AWW267" s="18"/>
      <c r="AWX267" s="18"/>
      <c r="AWY267" s="18"/>
      <c r="AWZ267" s="18"/>
      <c r="AXA267" s="18"/>
      <c r="AXB267" s="18"/>
      <c r="AXC267" s="18"/>
      <c r="AXD267" s="18"/>
      <c r="AXE267" s="18"/>
      <c r="AXF267" s="18"/>
      <c r="AXG267" s="18"/>
      <c r="AXH267" s="18"/>
      <c r="AXI267" s="18"/>
      <c r="AXJ267" s="18"/>
      <c r="AXK267" s="18"/>
      <c r="AXL267" s="18"/>
      <c r="AXM267" s="18"/>
      <c r="AXN267" s="18"/>
      <c r="AXO267" s="18"/>
      <c r="AXP267" s="18"/>
      <c r="AXQ267" s="18"/>
      <c r="AXR267" s="18"/>
      <c r="AXS267" s="18"/>
      <c r="AXT267" s="18"/>
      <c r="AXU267" s="18"/>
      <c r="AXV267" s="18"/>
      <c r="AXW267" s="18"/>
      <c r="AXX267" s="18"/>
      <c r="AXY267" s="18"/>
      <c r="AXZ267" s="18"/>
      <c r="AYA267" s="18"/>
      <c r="AYB267" s="18"/>
      <c r="AYC267" s="18"/>
      <c r="AYD267" s="18"/>
      <c r="AYE267" s="18"/>
      <c r="AYF267" s="18"/>
      <c r="AYG267" s="18"/>
      <c r="AYH267" s="18"/>
      <c r="AYI267" s="18"/>
      <c r="AYJ267" s="18"/>
      <c r="AYK267" s="18"/>
      <c r="AYL267" s="18"/>
      <c r="AYM267" s="18"/>
      <c r="AYN267" s="18"/>
      <c r="AYO267" s="18"/>
      <c r="AYP267" s="18"/>
      <c r="AYQ267" s="18"/>
      <c r="AYR267" s="18"/>
      <c r="AYS267" s="18"/>
      <c r="AYT267" s="18"/>
      <c r="AYU267" s="18"/>
      <c r="AYV267" s="18"/>
      <c r="AYW267" s="18"/>
      <c r="AYX267" s="18"/>
      <c r="AYY267" s="18"/>
      <c r="AYZ267" s="18"/>
      <c r="AZA267" s="18"/>
      <c r="AZB267" s="18"/>
      <c r="AZC267" s="18"/>
      <c r="AZD267" s="18"/>
      <c r="AZE267" s="18"/>
      <c r="AZF267" s="18"/>
      <c r="AZG267" s="18"/>
      <c r="AZH267" s="18"/>
      <c r="AZI267" s="18"/>
      <c r="AZJ267" s="18"/>
      <c r="AZK267" s="18"/>
      <c r="AZL267" s="18"/>
      <c r="AZM267" s="18"/>
      <c r="AZN267" s="18"/>
      <c r="AZO267" s="18"/>
      <c r="AZP267" s="18"/>
      <c r="AZQ267" s="18"/>
      <c r="AZR267" s="18"/>
      <c r="AZS267" s="18"/>
      <c r="AZT267" s="18"/>
      <c r="AZU267" s="18"/>
      <c r="AZV267" s="18"/>
      <c r="AZW267" s="18"/>
      <c r="AZX267" s="18"/>
      <c r="AZY267" s="18"/>
      <c r="AZZ267" s="18"/>
      <c r="BAA267" s="18"/>
      <c r="BAB267" s="18"/>
      <c r="BAC267" s="18"/>
      <c r="BAD267" s="18"/>
      <c r="BAE267" s="18"/>
      <c r="BAF267" s="18"/>
      <c r="BAG267" s="18"/>
      <c r="BAH267" s="18"/>
      <c r="BAI267" s="18"/>
      <c r="BAJ267" s="18"/>
      <c r="BAK267" s="18"/>
      <c r="BAL267" s="18"/>
      <c r="BAM267" s="18"/>
      <c r="BAN267" s="18"/>
      <c r="BAO267" s="18"/>
      <c r="BAP267" s="18"/>
      <c r="BAQ267" s="18"/>
      <c r="BAR267" s="18"/>
      <c r="BAS267" s="18"/>
      <c r="BAT267" s="18"/>
      <c r="BAU267" s="18"/>
      <c r="BAV267" s="18"/>
      <c r="BAW267" s="18"/>
      <c r="BAX267" s="18"/>
      <c r="BAY267" s="18"/>
      <c r="BAZ267" s="18"/>
      <c r="BBA267" s="18"/>
      <c r="BBB267" s="18"/>
      <c r="BBC267" s="18"/>
      <c r="BBD267" s="18"/>
      <c r="BBE267" s="18"/>
      <c r="BBF267" s="18"/>
      <c r="BBG267" s="18"/>
      <c r="BBH267" s="18"/>
      <c r="BBI267" s="18"/>
      <c r="BBJ267" s="18"/>
      <c r="BBK267" s="18"/>
      <c r="BBL267" s="18"/>
      <c r="BBM267" s="18"/>
      <c r="BBN267" s="18"/>
      <c r="BBO267" s="18"/>
      <c r="BBP267" s="18"/>
      <c r="BBQ267" s="18"/>
      <c r="BBR267" s="18"/>
      <c r="BBS267" s="18"/>
      <c r="BBT267" s="18"/>
      <c r="BBU267" s="18"/>
      <c r="BBV267" s="18"/>
      <c r="BBW267" s="18"/>
      <c r="BBX267" s="18"/>
      <c r="BBY267" s="18"/>
      <c r="BBZ267" s="18"/>
      <c r="BCA267" s="18"/>
      <c r="BCB267" s="18"/>
      <c r="BCC267" s="18"/>
      <c r="BCD267" s="18"/>
      <c r="BCE267" s="18"/>
      <c r="BCF267" s="18"/>
      <c r="BCG267" s="18"/>
      <c r="BCH267" s="18"/>
      <c r="BCI267" s="18"/>
      <c r="BCJ267" s="18"/>
      <c r="BCK267" s="18"/>
      <c r="BCL267" s="18"/>
      <c r="BCM267" s="18"/>
      <c r="BCN267" s="18"/>
      <c r="BCO267" s="18"/>
      <c r="BCP267" s="18"/>
      <c r="BCQ267" s="18"/>
      <c r="BCR267" s="18"/>
      <c r="BCS267" s="18"/>
      <c r="BCT267" s="18"/>
      <c r="BCU267" s="18"/>
      <c r="BCV267" s="18"/>
      <c r="BCW267" s="18"/>
      <c r="BCX267" s="18"/>
      <c r="BCY267" s="18"/>
      <c r="BCZ267" s="18"/>
      <c r="BDA267" s="18"/>
      <c r="BDB267" s="18"/>
      <c r="BDC267" s="18"/>
      <c r="BDD267" s="18"/>
      <c r="BDE267" s="18"/>
      <c r="BDF267" s="18"/>
      <c r="BDG267" s="18"/>
      <c r="BDH267" s="18"/>
      <c r="BDI267" s="18"/>
      <c r="BDJ267" s="18"/>
      <c r="BDK267" s="18"/>
      <c r="BDL267" s="18"/>
      <c r="BDM267" s="18"/>
      <c r="BDN267" s="18"/>
      <c r="BDO267" s="18"/>
      <c r="BDP267" s="18"/>
      <c r="BDQ267" s="18"/>
      <c r="BDR267" s="18"/>
      <c r="BDS267" s="18"/>
      <c r="BDT267" s="18"/>
      <c r="BDU267" s="18"/>
      <c r="BDV267" s="18"/>
      <c r="BDW267" s="18"/>
      <c r="BDX267" s="18"/>
      <c r="BDY267" s="18"/>
      <c r="BDZ267" s="18"/>
      <c r="BEA267" s="18"/>
      <c r="BEB267" s="18"/>
      <c r="BEC267" s="18"/>
      <c r="BED267" s="18"/>
      <c r="BEE267" s="18"/>
      <c r="BEF267" s="18"/>
      <c r="BEG267" s="18"/>
      <c r="BEH267" s="18"/>
      <c r="BEI267" s="18"/>
      <c r="BEJ267" s="18"/>
      <c r="BEK267" s="18"/>
      <c r="BEL267" s="18"/>
      <c r="BEM267" s="18"/>
      <c r="BEN267" s="18"/>
      <c r="BEO267" s="18"/>
      <c r="BEP267" s="18"/>
      <c r="BEQ267" s="18"/>
      <c r="BER267" s="18"/>
      <c r="BES267" s="18"/>
      <c r="BET267" s="18"/>
      <c r="BEU267" s="18"/>
      <c r="BEV267" s="18"/>
      <c r="BEW267" s="18"/>
      <c r="BEX267" s="18"/>
      <c r="BEY267" s="18"/>
      <c r="BEZ267" s="18"/>
      <c r="BFA267" s="18"/>
      <c r="BFB267" s="18"/>
      <c r="BFC267" s="18"/>
      <c r="BFD267" s="18"/>
      <c r="BFE267" s="18"/>
      <c r="BFF267" s="18"/>
      <c r="BFG267" s="18"/>
      <c r="BFH267" s="18"/>
      <c r="BFI267" s="18"/>
      <c r="BFJ267" s="18"/>
      <c r="BFK267" s="18"/>
      <c r="BFL267" s="18"/>
      <c r="BFM267" s="18"/>
      <c r="BFN267" s="18"/>
      <c r="BFO267" s="18"/>
      <c r="BFP267" s="18"/>
      <c r="BFQ267" s="18"/>
      <c r="BFR267" s="18"/>
      <c r="BFS267" s="18"/>
      <c r="BFT267" s="18"/>
      <c r="BFU267" s="18"/>
      <c r="BFV267" s="18"/>
      <c r="BFW267" s="18"/>
      <c r="BFX267" s="18"/>
      <c r="BFY267" s="18"/>
      <c r="BFZ267" s="18"/>
      <c r="BGA267" s="18"/>
      <c r="BGB267" s="18"/>
      <c r="BGC267" s="18"/>
      <c r="BGD267" s="18"/>
      <c r="BGE267" s="18"/>
      <c r="BGF267" s="18"/>
      <c r="BGG267" s="18"/>
      <c r="BGH267" s="18"/>
      <c r="BGI267" s="18"/>
      <c r="BGJ267" s="18"/>
      <c r="BGK267" s="18"/>
      <c r="BGL267" s="18"/>
      <c r="BGM267" s="18"/>
      <c r="BGN267" s="18"/>
      <c r="BGO267" s="18"/>
      <c r="BGP267" s="18"/>
      <c r="BGQ267" s="18"/>
      <c r="BGR267" s="18"/>
      <c r="BGS267" s="18"/>
      <c r="BGT267" s="18"/>
      <c r="BGU267" s="18"/>
      <c r="BGV267" s="18"/>
      <c r="BGW267" s="18"/>
      <c r="BGX267" s="18"/>
      <c r="BGY267" s="18"/>
      <c r="BGZ267" s="18"/>
      <c r="BHA267" s="18"/>
      <c r="BHB267" s="18"/>
      <c r="BHC267" s="18"/>
      <c r="BHD267" s="18"/>
      <c r="BHE267" s="18"/>
      <c r="BHF267" s="18"/>
      <c r="BHG267" s="18"/>
      <c r="BHH267" s="18"/>
      <c r="BHI267" s="18"/>
      <c r="BHJ267" s="18"/>
      <c r="BHK267" s="18"/>
      <c r="BHL267" s="18"/>
      <c r="BHM267" s="18"/>
      <c r="BHN267" s="18"/>
      <c r="BHO267" s="18"/>
      <c r="BHP267" s="18"/>
      <c r="BHQ267" s="18"/>
      <c r="BHR267" s="18"/>
      <c r="BHS267" s="18"/>
      <c r="BHT267" s="18"/>
      <c r="BHU267" s="18"/>
      <c r="BHV267" s="18"/>
      <c r="BHW267" s="18"/>
      <c r="BHX267" s="18"/>
      <c r="BHY267" s="18"/>
      <c r="BHZ267" s="18"/>
      <c r="BIA267" s="18"/>
      <c r="BIB267" s="18"/>
      <c r="BIC267" s="18"/>
      <c r="BID267" s="18"/>
      <c r="BIE267" s="18"/>
      <c r="BIF267" s="18"/>
      <c r="BIG267" s="18"/>
      <c r="BIH267" s="18"/>
      <c r="BII267" s="18"/>
      <c r="BIJ267" s="18"/>
      <c r="BIK267" s="18"/>
      <c r="BIL267" s="18"/>
      <c r="BIM267" s="18"/>
      <c r="BIN267" s="18"/>
      <c r="BIO267" s="18"/>
      <c r="BIP267" s="18"/>
      <c r="BIQ267" s="18"/>
      <c r="BIR267" s="18"/>
      <c r="BIS267" s="18"/>
      <c r="BIT267" s="18"/>
      <c r="BIU267" s="18"/>
      <c r="BIV267" s="18"/>
      <c r="BIW267" s="18"/>
      <c r="BIX267" s="18"/>
      <c r="BIY267" s="18"/>
      <c r="BIZ267" s="18"/>
      <c r="BJA267" s="18"/>
      <c r="BJB267" s="18"/>
      <c r="BJC267" s="18"/>
      <c r="BJD267" s="18"/>
      <c r="BJE267" s="18"/>
      <c r="BJF267" s="18"/>
      <c r="BJG267" s="18"/>
      <c r="BJH267" s="18"/>
      <c r="BJI267" s="18"/>
      <c r="BJJ267" s="18"/>
      <c r="BJK267" s="18"/>
      <c r="BJL267" s="18"/>
      <c r="BJM267" s="18"/>
      <c r="BJN267" s="18"/>
      <c r="BJO267" s="18"/>
      <c r="BJP267" s="18"/>
      <c r="BJQ267" s="18"/>
      <c r="BJR267" s="18"/>
      <c r="BJS267" s="18"/>
      <c r="BJT267" s="18"/>
      <c r="BJU267" s="18"/>
      <c r="BJV267" s="18"/>
      <c r="BJW267" s="18"/>
      <c r="BJX267" s="18"/>
      <c r="BJY267" s="18"/>
      <c r="BJZ267" s="18"/>
      <c r="BKA267" s="18"/>
      <c r="BKB267" s="18"/>
      <c r="BKC267" s="18"/>
      <c r="BKD267" s="18"/>
      <c r="BKE267" s="18"/>
      <c r="BKF267" s="18"/>
      <c r="BKG267" s="18"/>
      <c r="BKH267" s="18"/>
      <c r="BKI267" s="18"/>
      <c r="BKJ267" s="18"/>
      <c r="BKK267" s="18"/>
      <c r="BKL267" s="18"/>
      <c r="BKM267" s="18"/>
      <c r="BKN267" s="18"/>
      <c r="BKO267" s="18"/>
      <c r="BKP267" s="18"/>
      <c r="BKQ267" s="18"/>
      <c r="BKR267" s="18"/>
      <c r="BKS267" s="18"/>
      <c r="BKT267" s="18"/>
      <c r="BKU267" s="18"/>
      <c r="BKV267" s="18"/>
      <c r="BKW267" s="18"/>
      <c r="BKX267" s="18"/>
      <c r="BKY267" s="18"/>
      <c r="BKZ267" s="18"/>
      <c r="BLA267" s="18"/>
      <c r="BLB267" s="18"/>
      <c r="BLC267" s="18"/>
      <c r="BLD267" s="18"/>
      <c r="BLE267" s="18"/>
      <c r="BLF267" s="18"/>
      <c r="BLG267" s="18"/>
      <c r="BLH267" s="18"/>
      <c r="BLI267" s="18"/>
      <c r="BLJ267" s="18"/>
      <c r="BLK267" s="18"/>
      <c r="BLL267" s="18"/>
      <c r="BLM267" s="18"/>
      <c r="BLN267" s="18"/>
      <c r="BLO267" s="18"/>
      <c r="BLP267" s="18"/>
      <c r="BLQ267" s="18"/>
      <c r="BLR267" s="18"/>
      <c r="BLS267" s="18"/>
      <c r="BLT267" s="18"/>
      <c r="BLU267" s="18"/>
      <c r="BLV267" s="18"/>
      <c r="BLW267" s="18"/>
      <c r="BLX267" s="18"/>
      <c r="BLY267" s="18"/>
      <c r="BLZ267" s="18"/>
      <c r="BMA267" s="18"/>
      <c r="BMB267" s="18"/>
      <c r="BMC267" s="18"/>
      <c r="BMD267" s="18"/>
      <c r="BME267" s="18"/>
      <c r="BMF267" s="18"/>
      <c r="BMG267" s="18"/>
      <c r="BMH267" s="18"/>
      <c r="BMI267" s="18"/>
      <c r="BMJ267" s="18"/>
      <c r="BMK267" s="18"/>
      <c r="BML267" s="18"/>
      <c r="BMM267" s="18"/>
      <c r="BMN267" s="18"/>
      <c r="BMO267" s="18"/>
      <c r="BMP267" s="18"/>
      <c r="BMQ267" s="18"/>
      <c r="BMR267" s="18"/>
      <c r="BMS267" s="18"/>
      <c r="BMT267" s="18"/>
      <c r="BMU267" s="18"/>
      <c r="BMV267" s="18"/>
      <c r="BMW267" s="18"/>
      <c r="BMX267" s="18"/>
      <c r="BMY267" s="18"/>
      <c r="BMZ267" s="18"/>
      <c r="BNA267" s="18"/>
      <c r="BNB267" s="18"/>
      <c r="BNC267" s="18"/>
      <c r="BND267" s="18"/>
      <c r="BNE267" s="18"/>
      <c r="BNF267" s="18"/>
      <c r="BNG267" s="18"/>
      <c r="BNH267" s="18"/>
      <c r="BNI267" s="18"/>
      <c r="BNJ267" s="18"/>
      <c r="BNK267" s="18"/>
      <c r="BNL267" s="18"/>
      <c r="BNM267" s="18"/>
      <c r="BNN267" s="18"/>
      <c r="BNO267" s="18"/>
      <c r="BNP267" s="18"/>
      <c r="BNQ267" s="18"/>
      <c r="BNR267" s="18"/>
      <c r="BNS267" s="18"/>
      <c r="BNT267" s="18"/>
      <c r="BNU267" s="18"/>
      <c r="BNV267" s="18"/>
      <c r="BNW267" s="18"/>
      <c r="BNX267" s="18"/>
      <c r="BNY267" s="18"/>
      <c r="BNZ267" s="18"/>
      <c r="BOA267" s="18"/>
      <c r="BOB267" s="18"/>
      <c r="BOC267" s="18"/>
      <c r="BOD267" s="18"/>
      <c r="BOE267" s="18"/>
      <c r="BOF267" s="18"/>
      <c r="BOG267" s="18"/>
      <c r="BOH267" s="18"/>
      <c r="BOI267" s="18"/>
      <c r="BOJ267" s="18"/>
      <c r="BOK267" s="18"/>
      <c r="BOL267" s="18"/>
      <c r="BOM267" s="18"/>
      <c r="BON267" s="18"/>
      <c r="BOO267" s="18"/>
      <c r="BOP267" s="18"/>
      <c r="BOQ267" s="18"/>
      <c r="BOR267" s="18"/>
      <c r="BOS267" s="18"/>
      <c r="BOT267" s="18"/>
      <c r="BOU267" s="18"/>
      <c r="BOV267" s="18"/>
      <c r="BOW267" s="18"/>
      <c r="BOX267" s="18"/>
      <c r="BOY267" s="18"/>
      <c r="BOZ267" s="18"/>
      <c r="BPA267" s="18"/>
      <c r="BPB267" s="18"/>
      <c r="BPC267" s="18"/>
      <c r="BPD267" s="18"/>
      <c r="BPE267" s="18"/>
      <c r="BPF267" s="18"/>
      <c r="BPG267" s="18"/>
      <c r="BPH267" s="18"/>
      <c r="BPI267" s="18"/>
      <c r="BPJ267" s="18"/>
      <c r="BPK267" s="18"/>
      <c r="BPL267" s="18"/>
      <c r="BPM267" s="18"/>
      <c r="BPN267" s="18"/>
      <c r="BPO267" s="18"/>
      <c r="BPP267" s="18"/>
      <c r="BPQ267" s="18"/>
      <c r="BPR267" s="18"/>
      <c r="BPS267" s="18"/>
      <c r="BPT267" s="18"/>
      <c r="BPU267" s="18"/>
      <c r="BPV267" s="18"/>
      <c r="BPW267" s="18"/>
      <c r="BPX267" s="18"/>
      <c r="BPY267" s="18"/>
      <c r="BPZ267" s="18"/>
      <c r="BQA267" s="18"/>
      <c r="BQB267" s="18"/>
      <c r="BQC267" s="18"/>
      <c r="BQD267" s="18"/>
      <c r="BQE267" s="18"/>
      <c r="BQF267" s="18"/>
      <c r="BQG267" s="18"/>
      <c r="BQH267" s="18"/>
      <c r="BQI267" s="18"/>
      <c r="BQJ267" s="18"/>
      <c r="BQK267" s="18"/>
      <c r="BQL267" s="18"/>
      <c r="BQM267" s="18"/>
      <c r="BQN267" s="18"/>
      <c r="BQO267" s="18"/>
      <c r="BQP267" s="18"/>
      <c r="BQQ267" s="18"/>
      <c r="BQR267" s="18"/>
      <c r="BQS267" s="18"/>
      <c r="BQT267" s="18"/>
      <c r="BQU267" s="18"/>
      <c r="BQV267" s="18"/>
      <c r="BQW267" s="18"/>
      <c r="BQX267" s="18"/>
      <c r="BQY267" s="18"/>
      <c r="BQZ267" s="18"/>
      <c r="BRA267" s="18"/>
      <c r="BRB267" s="18"/>
      <c r="BRC267" s="18"/>
      <c r="BRD267" s="18"/>
      <c r="BRE267" s="18"/>
      <c r="BRF267" s="18"/>
      <c r="BRG267" s="18"/>
      <c r="BRH267" s="18"/>
      <c r="BRI267" s="18"/>
      <c r="BRJ267" s="18"/>
      <c r="BRK267" s="18"/>
      <c r="BRL267" s="18"/>
      <c r="BRM267" s="18"/>
      <c r="BRN267" s="18"/>
      <c r="BRO267" s="18"/>
      <c r="BRP267" s="18"/>
      <c r="BRQ267" s="18"/>
      <c r="BRR267" s="18"/>
      <c r="BRS267" s="18"/>
      <c r="BRT267" s="18"/>
      <c r="BRU267" s="18"/>
      <c r="BRV267" s="18"/>
      <c r="BRW267" s="18"/>
      <c r="BRX267" s="18"/>
      <c r="BRY267" s="18"/>
      <c r="BRZ267" s="18"/>
      <c r="BSA267" s="18"/>
      <c r="BSB267" s="18"/>
      <c r="BSC267" s="18"/>
      <c r="BSD267" s="18"/>
      <c r="BSE267" s="18"/>
      <c r="BSF267" s="18"/>
      <c r="BSG267" s="18"/>
      <c r="BSH267" s="18"/>
      <c r="BSI267" s="18"/>
      <c r="BSJ267" s="18"/>
      <c r="BSK267" s="18"/>
      <c r="BSL267" s="18"/>
      <c r="BSM267" s="18"/>
      <c r="BSN267" s="18"/>
      <c r="BSO267" s="18"/>
      <c r="BSP267" s="18"/>
      <c r="BSQ267" s="18"/>
      <c r="BSR267" s="18"/>
      <c r="BSS267" s="18"/>
      <c r="BST267" s="18"/>
      <c r="BSU267" s="18"/>
      <c r="BSV267" s="18"/>
      <c r="BSW267" s="18"/>
      <c r="BSX267" s="18"/>
      <c r="BSY267" s="18"/>
      <c r="BSZ267" s="18"/>
      <c r="BTA267" s="18"/>
      <c r="BTB267" s="18"/>
      <c r="BTC267" s="18"/>
      <c r="BTD267" s="18"/>
      <c r="BTE267" s="18"/>
      <c r="BTF267" s="18"/>
      <c r="BTG267" s="18"/>
      <c r="BTH267" s="18"/>
      <c r="BTI267" s="18"/>
    </row>
    <row r="268" spans="1:1881" s="786" customFormat="1" ht="90" customHeight="1" x14ac:dyDescent="0.3">
      <c r="A268" s="108">
        <v>619</v>
      </c>
      <c r="B268" s="688" t="s">
        <v>59</v>
      </c>
      <c r="C268" s="688" t="s">
        <v>699</v>
      </c>
      <c r="D268" s="94" t="s">
        <v>710</v>
      </c>
      <c r="E268" s="35" t="e">
        <f>HLOOKUP($D$2,'2020 Data(H)'!$C$1:$CR$399,279,FALSE)</f>
        <v>#N/A</v>
      </c>
      <c r="F268" s="916">
        <v>0</v>
      </c>
      <c r="G268" s="790" t="str">
        <f>IF(ISBLANK(F268),"Please do not leave blank ",IF(F268=H268,"","Please review percentage"))</f>
        <v/>
      </c>
      <c r="H268" s="791">
        <f>ROUND(IFERROR((F267/F266)*100,0),1)</f>
        <v>0</v>
      </c>
      <c r="I268" s="298"/>
      <c r="J268" s="18"/>
      <c r="K268" s="18"/>
      <c r="L268" s="18"/>
      <c r="M268" s="18"/>
      <c r="N268" s="298"/>
      <c r="O268" s="18"/>
      <c r="P268" s="18"/>
      <c r="Q268" s="18"/>
      <c r="R268" s="18"/>
      <c r="S268" s="18"/>
      <c r="T268" s="18"/>
      <c r="U268" s="18"/>
      <c r="V268" s="18"/>
      <c r="W268" s="18"/>
      <c r="X268" s="18"/>
      <c r="Y268" s="18"/>
      <c r="Z268" s="108"/>
      <c r="AA268" s="108"/>
      <c r="AB268" s="108"/>
      <c r="AC268" s="108"/>
      <c r="AD268" s="108"/>
      <c r="AE268" s="108"/>
      <c r="AF268" s="108"/>
      <c r="AG268" s="108"/>
      <c r="AH268" s="108"/>
      <c r="AI268" s="108"/>
      <c r="AJ268" s="108"/>
      <c r="AK268" s="108"/>
      <c r="AL268" s="108"/>
      <c r="AM268" s="108"/>
      <c r="AN268" s="108"/>
      <c r="AO268" s="108"/>
      <c r="AP268" s="108"/>
      <c r="AQ268" s="108"/>
      <c r="AR268" s="10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c r="WZ268" s="18"/>
      <c r="XA268" s="18"/>
      <c r="XB268" s="18"/>
      <c r="XC268" s="18"/>
      <c r="XD268" s="18"/>
      <c r="XE268" s="18"/>
      <c r="XF268" s="18"/>
      <c r="XG268" s="18"/>
      <c r="XH268" s="18"/>
      <c r="XI268" s="18"/>
      <c r="XJ268" s="18"/>
      <c r="XK268" s="18"/>
      <c r="XL268" s="18"/>
      <c r="XM268" s="18"/>
      <c r="XN268" s="18"/>
      <c r="XO268" s="18"/>
      <c r="XP268" s="18"/>
      <c r="XQ268" s="18"/>
      <c r="XR268" s="18"/>
      <c r="XS268" s="18"/>
      <c r="XT268" s="18"/>
      <c r="XU268" s="18"/>
      <c r="XV268" s="18"/>
      <c r="XW268" s="18"/>
      <c r="XX268" s="18"/>
      <c r="XY268" s="18"/>
      <c r="XZ268" s="18"/>
      <c r="YA268" s="18"/>
      <c r="YB268" s="18"/>
      <c r="YC268" s="18"/>
      <c r="YD268" s="18"/>
      <c r="YE268" s="18"/>
      <c r="YF268" s="18"/>
      <c r="YG268" s="18"/>
      <c r="YH268" s="18"/>
      <c r="YI268" s="18"/>
      <c r="YJ268" s="18"/>
      <c r="YK268" s="18"/>
      <c r="YL268" s="18"/>
      <c r="YM268" s="18"/>
      <c r="YN268" s="18"/>
      <c r="YO268" s="18"/>
      <c r="YP268" s="18"/>
      <c r="YQ268" s="18"/>
      <c r="YR268" s="18"/>
      <c r="YS268" s="18"/>
      <c r="YT268" s="18"/>
      <c r="YU268" s="18"/>
      <c r="YV268" s="18"/>
      <c r="YW268" s="18"/>
      <c r="YX268" s="18"/>
      <c r="YY268" s="18"/>
      <c r="YZ268" s="18"/>
      <c r="ZA268" s="18"/>
      <c r="ZB268" s="18"/>
      <c r="ZC268" s="18"/>
      <c r="ZD268" s="18"/>
      <c r="ZE268" s="18"/>
      <c r="ZF268" s="18"/>
      <c r="ZG268" s="18"/>
      <c r="ZH268" s="18"/>
      <c r="ZI268" s="18"/>
      <c r="ZJ268" s="18"/>
      <c r="ZK268" s="18"/>
      <c r="ZL268" s="18"/>
      <c r="ZM268" s="18"/>
      <c r="ZN268" s="18"/>
      <c r="ZO268" s="18"/>
      <c r="ZP268" s="18"/>
      <c r="ZQ268" s="18"/>
      <c r="ZR268" s="18"/>
      <c r="ZS268" s="18"/>
      <c r="ZT268" s="18"/>
      <c r="ZU268" s="18"/>
      <c r="ZV268" s="18"/>
      <c r="ZW268" s="18"/>
      <c r="ZX268" s="18"/>
      <c r="ZY268" s="18"/>
      <c r="ZZ268" s="18"/>
      <c r="AAA268" s="18"/>
      <c r="AAB268" s="18"/>
      <c r="AAC268" s="18"/>
      <c r="AAD268" s="18"/>
      <c r="AAE268" s="18"/>
      <c r="AAF268" s="18"/>
      <c r="AAG268" s="18"/>
      <c r="AAH268" s="18"/>
      <c r="AAI268" s="18"/>
      <c r="AAJ268" s="18"/>
      <c r="AAK268" s="18"/>
      <c r="AAL268" s="18"/>
      <c r="AAM268" s="18"/>
      <c r="AAN268" s="18"/>
      <c r="AAO268" s="18"/>
      <c r="AAP268" s="18"/>
      <c r="AAQ268" s="18"/>
      <c r="AAR268" s="18"/>
      <c r="AAS268" s="18"/>
      <c r="AAT268" s="18"/>
      <c r="AAU268" s="18"/>
      <c r="AAV268" s="18"/>
      <c r="AAW268" s="18"/>
      <c r="AAX268" s="18"/>
      <c r="AAY268" s="18"/>
      <c r="AAZ268" s="18"/>
      <c r="ABA268" s="18"/>
      <c r="ABB268" s="18"/>
      <c r="ABC268" s="18"/>
      <c r="ABD268" s="18"/>
      <c r="ABE268" s="18"/>
      <c r="ABF268" s="18"/>
      <c r="ABG268" s="18"/>
      <c r="ABH268" s="18"/>
      <c r="ABI268" s="18"/>
      <c r="ABJ268" s="18"/>
      <c r="ABK268" s="18"/>
      <c r="ABL268" s="18"/>
      <c r="ABM268" s="18"/>
      <c r="ABN268" s="18"/>
      <c r="ABO268" s="18"/>
      <c r="ABP268" s="18"/>
      <c r="ABQ268" s="18"/>
      <c r="ABR268" s="18"/>
      <c r="ABS268" s="18"/>
      <c r="ABT268" s="18"/>
      <c r="ABU268" s="18"/>
      <c r="ABV268" s="18"/>
      <c r="ABW268" s="18"/>
      <c r="ABX268" s="18"/>
      <c r="ABY268" s="18"/>
      <c r="ABZ268" s="18"/>
      <c r="ACA268" s="18"/>
      <c r="ACB268" s="18"/>
      <c r="ACC268" s="18"/>
      <c r="ACD268" s="18"/>
      <c r="ACE268" s="18"/>
      <c r="ACF268" s="18"/>
      <c r="ACG268" s="18"/>
      <c r="ACH268" s="18"/>
      <c r="ACI268" s="18"/>
      <c r="ACJ268" s="18"/>
      <c r="ACK268" s="18"/>
      <c r="ACL268" s="18"/>
      <c r="ACM268" s="18"/>
      <c r="ACN268" s="18"/>
      <c r="ACO268" s="18"/>
      <c r="ACP268" s="18"/>
      <c r="ACQ268" s="18"/>
      <c r="ACR268" s="18"/>
      <c r="ACS268" s="18"/>
      <c r="ACT268" s="18"/>
      <c r="ACU268" s="18"/>
      <c r="ACV268" s="18"/>
      <c r="ACW268" s="18"/>
      <c r="ACX268" s="18"/>
      <c r="ACY268" s="18"/>
      <c r="ACZ268" s="18"/>
      <c r="ADA268" s="18"/>
      <c r="ADB268" s="18"/>
      <c r="ADC268" s="18"/>
      <c r="ADD268" s="18"/>
      <c r="ADE268" s="18"/>
      <c r="ADF268" s="18"/>
      <c r="ADG268" s="18"/>
      <c r="ADH268" s="18"/>
      <c r="ADI268" s="18"/>
      <c r="ADJ268" s="18"/>
      <c r="ADK268" s="18"/>
      <c r="ADL268" s="18"/>
      <c r="ADM268" s="18"/>
      <c r="ADN268" s="18"/>
      <c r="ADO268" s="18"/>
      <c r="ADP268" s="18"/>
      <c r="ADQ268" s="18"/>
      <c r="ADR268" s="18"/>
      <c r="ADS268" s="18"/>
      <c r="ADT268" s="18"/>
      <c r="ADU268" s="18"/>
      <c r="ADV268" s="18"/>
      <c r="ADW268" s="18"/>
      <c r="ADX268" s="18"/>
      <c r="ADY268" s="18"/>
      <c r="ADZ268" s="18"/>
      <c r="AEA268" s="18"/>
      <c r="AEB268" s="18"/>
      <c r="AEC268" s="18"/>
      <c r="AED268" s="18"/>
      <c r="AEE268" s="18"/>
      <c r="AEF268" s="18"/>
      <c r="AEG268" s="18"/>
      <c r="AEH268" s="18"/>
      <c r="AEI268" s="18"/>
      <c r="AEJ268" s="18"/>
      <c r="AEK268" s="18"/>
      <c r="AEL268" s="18"/>
      <c r="AEM268" s="18"/>
      <c r="AEN268" s="18"/>
      <c r="AEO268" s="18"/>
      <c r="AEP268" s="18"/>
      <c r="AEQ268" s="18"/>
      <c r="AER268" s="18"/>
      <c r="AES268" s="18"/>
      <c r="AET268" s="18"/>
      <c r="AEU268" s="18"/>
      <c r="AEV268" s="18"/>
      <c r="AEW268" s="18"/>
      <c r="AEX268" s="18"/>
      <c r="AEY268" s="18"/>
      <c r="AEZ268" s="18"/>
      <c r="AFA268" s="18"/>
      <c r="AFB268" s="18"/>
      <c r="AFC268" s="18"/>
      <c r="AFD268" s="18"/>
      <c r="AFE268" s="18"/>
      <c r="AFF268" s="18"/>
      <c r="AFG268" s="18"/>
      <c r="AFH268" s="18"/>
      <c r="AFI268" s="18"/>
      <c r="AFJ268" s="18"/>
      <c r="AFK268" s="18"/>
      <c r="AFL268" s="18"/>
      <c r="AFM268" s="18"/>
      <c r="AFN268" s="18"/>
      <c r="AFO268" s="18"/>
      <c r="AFP268" s="18"/>
      <c r="AFQ268" s="18"/>
      <c r="AFR268" s="18"/>
      <c r="AFS268" s="18"/>
      <c r="AFT268" s="18"/>
      <c r="AFU268" s="18"/>
      <c r="AFV268" s="18"/>
      <c r="AFW268" s="18"/>
      <c r="AFX268" s="18"/>
      <c r="AFY268" s="18"/>
      <c r="AFZ268" s="18"/>
      <c r="AGA268" s="18"/>
      <c r="AGB268" s="18"/>
      <c r="AGC268" s="18"/>
      <c r="AGD268" s="18"/>
      <c r="AGE268" s="18"/>
      <c r="AGF268" s="18"/>
      <c r="AGG268" s="18"/>
      <c r="AGH268" s="18"/>
      <c r="AGI268" s="18"/>
      <c r="AGJ268" s="18"/>
      <c r="AGK268" s="18"/>
      <c r="AGL268" s="18"/>
      <c r="AGM268" s="18"/>
      <c r="AGN268" s="18"/>
      <c r="AGO268" s="18"/>
      <c r="AGP268" s="18"/>
      <c r="AGQ268" s="18"/>
      <c r="AGR268" s="18"/>
      <c r="AGS268" s="18"/>
      <c r="AGT268" s="18"/>
      <c r="AGU268" s="18"/>
      <c r="AGV268" s="18"/>
      <c r="AGW268" s="18"/>
      <c r="AGX268" s="18"/>
      <c r="AGY268" s="18"/>
      <c r="AGZ268" s="18"/>
      <c r="AHA268" s="18"/>
      <c r="AHB268" s="18"/>
      <c r="AHC268" s="18"/>
      <c r="AHD268" s="18"/>
      <c r="AHE268" s="18"/>
      <c r="AHF268" s="18"/>
      <c r="AHG268" s="18"/>
      <c r="AHH268" s="18"/>
      <c r="AHI268" s="18"/>
      <c r="AHJ268" s="18"/>
      <c r="AHK268" s="18"/>
      <c r="AHL268" s="18"/>
      <c r="AHM268" s="18"/>
      <c r="AHN268" s="18"/>
      <c r="AHO268" s="18"/>
      <c r="AHP268" s="18"/>
      <c r="AHQ268" s="18"/>
      <c r="AHR268" s="18"/>
      <c r="AHS268" s="18"/>
      <c r="AHT268" s="18"/>
      <c r="AHU268" s="18"/>
      <c r="AHV268" s="18"/>
      <c r="AHW268" s="18"/>
      <c r="AHX268" s="18"/>
      <c r="AHY268" s="18"/>
      <c r="AHZ268" s="18"/>
      <c r="AIA268" s="18"/>
      <c r="AIB268" s="18"/>
      <c r="AIC268" s="18"/>
      <c r="AID268" s="18"/>
      <c r="AIE268" s="18"/>
      <c r="AIF268" s="18"/>
      <c r="AIG268" s="18"/>
      <c r="AIH268" s="18"/>
      <c r="AII268" s="18"/>
      <c r="AIJ268" s="18"/>
      <c r="AIK268" s="18"/>
      <c r="AIL268" s="18"/>
      <c r="AIM268" s="18"/>
      <c r="AIN268" s="18"/>
      <c r="AIO268" s="18"/>
      <c r="AIP268" s="18"/>
      <c r="AIQ268" s="18"/>
      <c r="AIR268" s="18"/>
      <c r="AIS268" s="18"/>
      <c r="AIT268" s="18"/>
      <c r="AIU268" s="18"/>
      <c r="AIV268" s="18"/>
      <c r="AIW268" s="18"/>
      <c r="AIX268" s="18"/>
      <c r="AIY268" s="18"/>
      <c r="AIZ268" s="18"/>
      <c r="AJA268" s="18"/>
      <c r="AJB268" s="18"/>
      <c r="AJC268" s="18"/>
      <c r="AJD268" s="18"/>
      <c r="AJE268" s="18"/>
      <c r="AJF268" s="18"/>
      <c r="AJG268" s="18"/>
      <c r="AJH268" s="18"/>
      <c r="AJI268" s="18"/>
      <c r="AJJ268" s="18"/>
      <c r="AJK268" s="18"/>
      <c r="AJL268" s="18"/>
      <c r="AJM268" s="18"/>
      <c r="AJN268" s="18"/>
      <c r="AJO268" s="18"/>
      <c r="AJP268" s="18"/>
      <c r="AJQ268" s="18"/>
      <c r="AJR268" s="18"/>
      <c r="AJS268" s="18"/>
      <c r="AJT268" s="18"/>
      <c r="AJU268" s="18"/>
      <c r="AJV268" s="18"/>
      <c r="AJW268" s="18"/>
      <c r="AJX268" s="18"/>
      <c r="AJY268" s="18"/>
      <c r="AJZ268" s="18"/>
      <c r="AKA268" s="18"/>
      <c r="AKB268" s="18"/>
      <c r="AKC268" s="18"/>
      <c r="AKD268" s="18"/>
      <c r="AKE268" s="18"/>
      <c r="AKF268" s="18"/>
      <c r="AKG268" s="18"/>
      <c r="AKH268" s="18"/>
      <c r="AKI268" s="18"/>
      <c r="AKJ268" s="18"/>
      <c r="AKK268" s="18"/>
      <c r="AKL268" s="18"/>
      <c r="AKM268" s="18"/>
      <c r="AKN268" s="18"/>
      <c r="AKO268" s="18"/>
      <c r="AKP268" s="18"/>
      <c r="AKQ268" s="18"/>
      <c r="AKR268" s="18"/>
      <c r="AKS268" s="18"/>
      <c r="AKT268" s="18"/>
      <c r="AKU268" s="18"/>
      <c r="AKV268" s="18"/>
      <c r="AKW268" s="18"/>
      <c r="AKX268" s="18"/>
      <c r="AKY268" s="18"/>
      <c r="AKZ268" s="18"/>
      <c r="ALA268" s="18"/>
      <c r="ALB268" s="18"/>
      <c r="ALC268" s="18"/>
      <c r="ALD268" s="18"/>
      <c r="ALE268" s="18"/>
      <c r="ALF268" s="18"/>
      <c r="ALG268" s="18"/>
      <c r="ALH268" s="18"/>
      <c r="ALI268" s="18"/>
      <c r="ALJ268" s="18"/>
      <c r="ALK268" s="18"/>
      <c r="ALL268" s="18"/>
      <c r="ALM268" s="18"/>
      <c r="ALN268" s="18"/>
      <c r="ALO268" s="18"/>
      <c r="ALP268" s="18"/>
      <c r="ALQ268" s="18"/>
      <c r="ALR268" s="18"/>
      <c r="ALS268" s="18"/>
      <c r="ALT268" s="18"/>
      <c r="ALU268" s="18"/>
      <c r="ALV268" s="18"/>
      <c r="ALW268" s="18"/>
      <c r="ALX268" s="18"/>
      <c r="ALY268" s="18"/>
      <c r="ALZ268" s="18"/>
      <c r="AMA268" s="18"/>
      <c r="AMB268" s="18"/>
      <c r="AMC268" s="18"/>
      <c r="AMD268" s="18"/>
      <c r="AME268" s="18"/>
      <c r="AMF268" s="18"/>
      <c r="AMG268" s="18"/>
      <c r="AMH268" s="18"/>
      <c r="AMI268" s="18"/>
      <c r="AMJ268" s="18"/>
      <c r="AMK268" s="18"/>
      <c r="AML268" s="18"/>
      <c r="AMM268" s="18"/>
      <c r="AMN268" s="18"/>
      <c r="AMO268" s="18"/>
      <c r="AMP268" s="18"/>
      <c r="AMQ268" s="18"/>
      <c r="AMR268" s="18"/>
      <c r="AMS268" s="18"/>
      <c r="AMT268" s="18"/>
      <c r="AMU268" s="18"/>
      <c r="AMV268" s="18"/>
      <c r="AMW268" s="18"/>
      <c r="AMX268" s="18"/>
      <c r="AMY268" s="18"/>
      <c r="AMZ268" s="18"/>
      <c r="ANA268" s="18"/>
      <c r="ANB268" s="18"/>
      <c r="ANC268" s="18"/>
      <c r="AND268" s="18"/>
      <c r="ANE268" s="18"/>
      <c r="ANF268" s="18"/>
      <c r="ANG268" s="18"/>
      <c r="ANH268" s="18"/>
      <c r="ANI268" s="18"/>
      <c r="ANJ268" s="18"/>
      <c r="ANK268" s="18"/>
      <c r="ANL268" s="18"/>
      <c r="ANM268" s="18"/>
      <c r="ANN268" s="18"/>
      <c r="ANO268" s="18"/>
      <c r="ANP268" s="18"/>
      <c r="ANQ268" s="18"/>
      <c r="ANR268" s="18"/>
      <c r="ANS268" s="18"/>
      <c r="ANT268" s="18"/>
      <c r="ANU268" s="18"/>
      <c r="ANV268" s="18"/>
      <c r="ANW268" s="18"/>
      <c r="ANX268" s="18"/>
      <c r="ANY268" s="18"/>
      <c r="ANZ268" s="18"/>
      <c r="AOA268" s="18"/>
      <c r="AOB268" s="18"/>
      <c r="AOC268" s="18"/>
      <c r="AOD268" s="18"/>
      <c r="AOE268" s="18"/>
      <c r="AOF268" s="18"/>
      <c r="AOG268" s="18"/>
      <c r="AOH268" s="18"/>
      <c r="AOI268" s="18"/>
      <c r="AOJ268" s="18"/>
      <c r="AOK268" s="18"/>
      <c r="AOL268" s="18"/>
      <c r="AOM268" s="18"/>
      <c r="AON268" s="18"/>
      <c r="AOO268" s="18"/>
      <c r="AOP268" s="18"/>
      <c r="AOQ268" s="18"/>
      <c r="AOR268" s="18"/>
      <c r="AOS268" s="18"/>
      <c r="AOT268" s="18"/>
      <c r="AOU268" s="18"/>
      <c r="AOV268" s="18"/>
      <c r="AOW268" s="18"/>
      <c r="AOX268" s="18"/>
      <c r="AOY268" s="18"/>
      <c r="AOZ268" s="18"/>
      <c r="APA268" s="18"/>
      <c r="APB268" s="18"/>
      <c r="APC268" s="18"/>
      <c r="APD268" s="18"/>
      <c r="APE268" s="18"/>
      <c r="APF268" s="18"/>
      <c r="APG268" s="18"/>
      <c r="APH268" s="18"/>
      <c r="API268" s="18"/>
      <c r="APJ268" s="18"/>
      <c r="APK268" s="18"/>
      <c r="APL268" s="18"/>
      <c r="APM268" s="18"/>
      <c r="APN268" s="18"/>
      <c r="APO268" s="18"/>
      <c r="APP268" s="18"/>
      <c r="APQ268" s="18"/>
      <c r="APR268" s="18"/>
      <c r="APS268" s="18"/>
      <c r="APT268" s="18"/>
      <c r="APU268" s="18"/>
      <c r="APV268" s="18"/>
      <c r="APW268" s="18"/>
      <c r="APX268" s="18"/>
      <c r="APY268" s="18"/>
      <c r="APZ268" s="18"/>
      <c r="AQA268" s="18"/>
      <c r="AQB268" s="18"/>
      <c r="AQC268" s="18"/>
      <c r="AQD268" s="18"/>
      <c r="AQE268" s="18"/>
      <c r="AQF268" s="18"/>
      <c r="AQG268" s="18"/>
      <c r="AQH268" s="18"/>
      <c r="AQI268" s="18"/>
      <c r="AQJ268" s="18"/>
      <c r="AQK268" s="18"/>
      <c r="AQL268" s="18"/>
      <c r="AQM268" s="18"/>
      <c r="AQN268" s="18"/>
      <c r="AQO268" s="18"/>
      <c r="AQP268" s="18"/>
      <c r="AQQ268" s="18"/>
      <c r="AQR268" s="18"/>
      <c r="AQS268" s="18"/>
      <c r="AQT268" s="18"/>
      <c r="AQU268" s="18"/>
      <c r="AQV268" s="18"/>
      <c r="AQW268" s="18"/>
      <c r="AQX268" s="18"/>
      <c r="AQY268" s="18"/>
      <c r="AQZ268" s="18"/>
      <c r="ARA268" s="18"/>
      <c r="ARB268" s="18"/>
      <c r="ARC268" s="18"/>
      <c r="ARD268" s="18"/>
      <c r="ARE268" s="18"/>
      <c r="ARF268" s="18"/>
      <c r="ARG268" s="18"/>
      <c r="ARH268" s="18"/>
      <c r="ARI268" s="18"/>
      <c r="ARJ268" s="18"/>
      <c r="ARK268" s="18"/>
      <c r="ARL268" s="18"/>
      <c r="ARM268" s="18"/>
      <c r="ARN268" s="18"/>
      <c r="ARO268" s="18"/>
      <c r="ARP268" s="18"/>
      <c r="ARQ268" s="18"/>
      <c r="ARR268" s="18"/>
      <c r="ARS268" s="18"/>
      <c r="ART268" s="18"/>
      <c r="ARU268" s="18"/>
      <c r="ARV268" s="18"/>
      <c r="ARW268" s="18"/>
      <c r="ARX268" s="18"/>
      <c r="ARY268" s="18"/>
      <c r="ARZ268" s="18"/>
      <c r="ASA268" s="18"/>
      <c r="ASB268" s="18"/>
      <c r="ASC268" s="18"/>
      <c r="ASD268" s="18"/>
      <c r="ASE268" s="18"/>
      <c r="ASF268" s="18"/>
      <c r="ASG268" s="18"/>
      <c r="ASH268" s="18"/>
      <c r="ASI268" s="18"/>
      <c r="ASJ268" s="18"/>
      <c r="ASK268" s="18"/>
      <c r="ASL268" s="18"/>
      <c r="ASM268" s="18"/>
      <c r="ASN268" s="18"/>
      <c r="ASO268" s="18"/>
      <c r="ASP268" s="18"/>
      <c r="ASQ268" s="18"/>
      <c r="ASR268" s="18"/>
      <c r="ASS268" s="18"/>
      <c r="AST268" s="18"/>
      <c r="ASU268" s="18"/>
      <c r="ASV268" s="18"/>
      <c r="ASW268" s="18"/>
      <c r="ASX268" s="18"/>
      <c r="ASY268" s="18"/>
      <c r="ASZ268" s="18"/>
      <c r="ATA268" s="18"/>
      <c r="ATB268" s="18"/>
      <c r="ATC268" s="18"/>
      <c r="ATD268" s="18"/>
      <c r="ATE268" s="18"/>
      <c r="ATF268" s="18"/>
      <c r="ATG268" s="18"/>
      <c r="ATH268" s="18"/>
      <c r="ATI268" s="18"/>
      <c r="ATJ268" s="18"/>
      <c r="ATK268" s="18"/>
      <c r="ATL268" s="18"/>
      <c r="ATM268" s="18"/>
      <c r="ATN268" s="18"/>
      <c r="ATO268" s="18"/>
      <c r="ATP268" s="18"/>
      <c r="ATQ268" s="18"/>
      <c r="ATR268" s="18"/>
      <c r="ATS268" s="18"/>
      <c r="ATT268" s="18"/>
      <c r="ATU268" s="18"/>
      <c r="ATV268" s="18"/>
      <c r="ATW268" s="18"/>
      <c r="ATX268" s="18"/>
      <c r="ATY268" s="18"/>
      <c r="ATZ268" s="18"/>
      <c r="AUA268" s="18"/>
      <c r="AUB268" s="18"/>
      <c r="AUC268" s="18"/>
      <c r="AUD268" s="18"/>
      <c r="AUE268" s="18"/>
      <c r="AUF268" s="18"/>
      <c r="AUG268" s="18"/>
      <c r="AUH268" s="18"/>
      <c r="AUI268" s="18"/>
      <c r="AUJ268" s="18"/>
      <c r="AUK268" s="18"/>
      <c r="AUL268" s="18"/>
      <c r="AUM268" s="18"/>
      <c r="AUN268" s="18"/>
      <c r="AUO268" s="18"/>
      <c r="AUP268" s="18"/>
      <c r="AUQ268" s="18"/>
      <c r="AUR268" s="18"/>
      <c r="AUS268" s="18"/>
      <c r="AUT268" s="18"/>
      <c r="AUU268" s="18"/>
      <c r="AUV268" s="18"/>
      <c r="AUW268" s="18"/>
      <c r="AUX268" s="18"/>
      <c r="AUY268" s="18"/>
      <c r="AUZ268" s="18"/>
      <c r="AVA268" s="18"/>
      <c r="AVB268" s="18"/>
      <c r="AVC268" s="18"/>
      <c r="AVD268" s="18"/>
      <c r="AVE268" s="18"/>
      <c r="AVF268" s="18"/>
      <c r="AVG268" s="18"/>
      <c r="AVH268" s="18"/>
      <c r="AVI268" s="18"/>
      <c r="AVJ268" s="18"/>
      <c r="AVK268" s="18"/>
      <c r="AVL268" s="18"/>
      <c r="AVM268" s="18"/>
      <c r="AVN268" s="18"/>
      <c r="AVO268" s="18"/>
      <c r="AVP268" s="18"/>
      <c r="AVQ268" s="18"/>
      <c r="AVR268" s="18"/>
      <c r="AVS268" s="18"/>
      <c r="AVT268" s="18"/>
      <c r="AVU268" s="18"/>
      <c r="AVV268" s="18"/>
      <c r="AVW268" s="18"/>
      <c r="AVX268" s="18"/>
      <c r="AVY268" s="18"/>
      <c r="AVZ268" s="18"/>
      <c r="AWA268" s="18"/>
      <c r="AWB268" s="18"/>
      <c r="AWC268" s="18"/>
      <c r="AWD268" s="18"/>
      <c r="AWE268" s="18"/>
      <c r="AWF268" s="18"/>
      <c r="AWG268" s="18"/>
      <c r="AWH268" s="18"/>
      <c r="AWI268" s="18"/>
      <c r="AWJ268" s="18"/>
      <c r="AWK268" s="18"/>
      <c r="AWL268" s="18"/>
      <c r="AWM268" s="18"/>
      <c r="AWN268" s="18"/>
      <c r="AWO268" s="18"/>
      <c r="AWP268" s="18"/>
      <c r="AWQ268" s="18"/>
      <c r="AWR268" s="18"/>
      <c r="AWS268" s="18"/>
      <c r="AWT268" s="18"/>
      <c r="AWU268" s="18"/>
      <c r="AWV268" s="18"/>
      <c r="AWW268" s="18"/>
      <c r="AWX268" s="18"/>
      <c r="AWY268" s="18"/>
      <c r="AWZ268" s="18"/>
      <c r="AXA268" s="18"/>
      <c r="AXB268" s="18"/>
      <c r="AXC268" s="18"/>
      <c r="AXD268" s="18"/>
      <c r="AXE268" s="18"/>
      <c r="AXF268" s="18"/>
      <c r="AXG268" s="18"/>
      <c r="AXH268" s="18"/>
      <c r="AXI268" s="18"/>
      <c r="AXJ268" s="18"/>
      <c r="AXK268" s="18"/>
      <c r="AXL268" s="18"/>
      <c r="AXM268" s="18"/>
      <c r="AXN268" s="18"/>
      <c r="AXO268" s="18"/>
      <c r="AXP268" s="18"/>
      <c r="AXQ268" s="18"/>
      <c r="AXR268" s="18"/>
      <c r="AXS268" s="18"/>
      <c r="AXT268" s="18"/>
      <c r="AXU268" s="18"/>
      <c r="AXV268" s="18"/>
      <c r="AXW268" s="18"/>
      <c r="AXX268" s="18"/>
      <c r="AXY268" s="18"/>
      <c r="AXZ268" s="18"/>
      <c r="AYA268" s="18"/>
      <c r="AYB268" s="18"/>
      <c r="AYC268" s="18"/>
      <c r="AYD268" s="18"/>
      <c r="AYE268" s="18"/>
      <c r="AYF268" s="18"/>
      <c r="AYG268" s="18"/>
      <c r="AYH268" s="18"/>
      <c r="AYI268" s="18"/>
      <c r="AYJ268" s="18"/>
      <c r="AYK268" s="18"/>
      <c r="AYL268" s="18"/>
      <c r="AYM268" s="18"/>
      <c r="AYN268" s="18"/>
      <c r="AYO268" s="18"/>
      <c r="AYP268" s="18"/>
      <c r="AYQ268" s="18"/>
      <c r="AYR268" s="18"/>
      <c r="AYS268" s="18"/>
      <c r="AYT268" s="18"/>
      <c r="AYU268" s="18"/>
      <c r="AYV268" s="18"/>
      <c r="AYW268" s="18"/>
      <c r="AYX268" s="18"/>
      <c r="AYY268" s="18"/>
      <c r="AYZ268" s="18"/>
      <c r="AZA268" s="18"/>
      <c r="AZB268" s="18"/>
      <c r="AZC268" s="18"/>
      <c r="AZD268" s="18"/>
      <c r="AZE268" s="18"/>
      <c r="AZF268" s="18"/>
      <c r="AZG268" s="18"/>
      <c r="AZH268" s="18"/>
      <c r="AZI268" s="18"/>
      <c r="AZJ268" s="18"/>
      <c r="AZK268" s="18"/>
      <c r="AZL268" s="18"/>
      <c r="AZM268" s="18"/>
      <c r="AZN268" s="18"/>
      <c r="AZO268" s="18"/>
      <c r="AZP268" s="18"/>
      <c r="AZQ268" s="18"/>
      <c r="AZR268" s="18"/>
      <c r="AZS268" s="18"/>
      <c r="AZT268" s="18"/>
      <c r="AZU268" s="18"/>
      <c r="AZV268" s="18"/>
      <c r="AZW268" s="18"/>
      <c r="AZX268" s="18"/>
      <c r="AZY268" s="18"/>
      <c r="AZZ268" s="18"/>
      <c r="BAA268" s="18"/>
      <c r="BAB268" s="18"/>
      <c r="BAC268" s="18"/>
      <c r="BAD268" s="18"/>
      <c r="BAE268" s="18"/>
      <c r="BAF268" s="18"/>
      <c r="BAG268" s="18"/>
      <c r="BAH268" s="18"/>
      <c r="BAI268" s="18"/>
      <c r="BAJ268" s="18"/>
      <c r="BAK268" s="18"/>
      <c r="BAL268" s="18"/>
      <c r="BAM268" s="18"/>
      <c r="BAN268" s="18"/>
      <c r="BAO268" s="18"/>
      <c r="BAP268" s="18"/>
      <c r="BAQ268" s="18"/>
      <c r="BAR268" s="18"/>
      <c r="BAS268" s="18"/>
      <c r="BAT268" s="18"/>
      <c r="BAU268" s="18"/>
      <c r="BAV268" s="18"/>
      <c r="BAW268" s="18"/>
      <c r="BAX268" s="18"/>
      <c r="BAY268" s="18"/>
      <c r="BAZ268" s="18"/>
      <c r="BBA268" s="18"/>
      <c r="BBB268" s="18"/>
      <c r="BBC268" s="18"/>
      <c r="BBD268" s="18"/>
      <c r="BBE268" s="18"/>
      <c r="BBF268" s="18"/>
      <c r="BBG268" s="18"/>
      <c r="BBH268" s="18"/>
      <c r="BBI268" s="18"/>
      <c r="BBJ268" s="18"/>
      <c r="BBK268" s="18"/>
      <c r="BBL268" s="18"/>
      <c r="BBM268" s="18"/>
      <c r="BBN268" s="18"/>
      <c r="BBO268" s="18"/>
      <c r="BBP268" s="18"/>
      <c r="BBQ268" s="18"/>
      <c r="BBR268" s="18"/>
      <c r="BBS268" s="18"/>
      <c r="BBT268" s="18"/>
      <c r="BBU268" s="18"/>
      <c r="BBV268" s="18"/>
      <c r="BBW268" s="18"/>
      <c r="BBX268" s="18"/>
      <c r="BBY268" s="18"/>
      <c r="BBZ268" s="18"/>
      <c r="BCA268" s="18"/>
      <c r="BCB268" s="18"/>
      <c r="BCC268" s="18"/>
      <c r="BCD268" s="18"/>
      <c r="BCE268" s="18"/>
      <c r="BCF268" s="18"/>
      <c r="BCG268" s="18"/>
      <c r="BCH268" s="18"/>
      <c r="BCI268" s="18"/>
      <c r="BCJ268" s="18"/>
      <c r="BCK268" s="18"/>
      <c r="BCL268" s="18"/>
      <c r="BCM268" s="18"/>
      <c r="BCN268" s="18"/>
      <c r="BCO268" s="18"/>
      <c r="BCP268" s="18"/>
      <c r="BCQ268" s="18"/>
      <c r="BCR268" s="18"/>
      <c r="BCS268" s="18"/>
      <c r="BCT268" s="18"/>
      <c r="BCU268" s="18"/>
      <c r="BCV268" s="18"/>
      <c r="BCW268" s="18"/>
      <c r="BCX268" s="18"/>
      <c r="BCY268" s="18"/>
      <c r="BCZ268" s="18"/>
      <c r="BDA268" s="18"/>
      <c r="BDB268" s="18"/>
      <c r="BDC268" s="18"/>
      <c r="BDD268" s="18"/>
      <c r="BDE268" s="18"/>
      <c r="BDF268" s="18"/>
      <c r="BDG268" s="18"/>
      <c r="BDH268" s="18"/>
      <c r="BDI268" s="18"/>
      <c r="BDJ268" s="18"/>
      <c r="BDK268" s="18"/>
      <c r="BDL268" s="18"/>
      <c r="BDM268" s="18"/>
      <c r="BDN268" s="18"/>
      <c r="BDO268" s="18"/>
      <c r="BDP268" s="18"/>
      <c r="BDQ268" s="18"/>
      <c r="BDR268" s="18"/>
      <c r="BDS268" s="18"/>
      <c r="BDT268" s="18"/>
      <c r="BDU268" s="18"/>
      <c r="BDV268" s="18"/>
      <c r="BDW268" s="18"/>
      <c r="BDX268" s="18"/>
      <c r="BDY268" s="18"/>
      <c r="BDZ268" s="18"/>
      <c r="BEA268" s="18"/>
      <c r="BEB268" s="18"/>
      <c r="BEC268" s="18"/>
      <c r="BED268" s="18"/>
      <c r="BEE268" s="18"/>
      <c r="BEF268" s="18"/>
      <c r="BEG268" s="18"/>
      <c r="BEH268" s="18"/>
      <c r="BEI268" s="18"/>
      <c r="BEJ268" s="18"/>
      <c r="BEK268" s="18"/>
      <c r="BEL268" s="18"/>
      <c r="BEM268" s="18"/>
      <c r="BEN268" s="18"/>
      <c r="BEO268" s="18"/>
      <c r="BEP268" s="18"/>
      <c r="BEQ268" s="18"/>
      <c r="BER268" s="18"/>
      <c r="BES268" s="18"/>
      <c r="BET268" s="18"/>
      <c r="BEU268" s="18"/>
      <c r="BEV268" s="18"/>
      <c r="BEW268" s="18"/>
      <c r="BEX268" s="18"/>
      <c r="BEY268" s="18"/>
      <c r="BEZ268" s="18"/>
      <c r="BFA268" s="18"/>
      <c r="BFB268" s="18"/>
      <c r="BFC268" s="18"/>
      <c r="BFD268" s="18"/>
      <c r="BFE268" s="18"/>
      <c r="BFF268" s="18"/>
      <c r="BFG268" s="18"/>
      <c r="BFH268" s="18"/>
      <c r="BFI268" s="18"/>
      <c r="BFJ268" s="18"/>
      <c r="BFK268" s="18"/>
      <c r="BFL268" s="18"/>
      <c r="BFM268" s="18"/>
      <c r="BFN268" s="18"/>
      <c r="BFO268" s="18"/>
      <c r="BFP268" s="18"/>
      <c r="BFQ268" s="18"/>
      <c r="BFR268" s="18"/>
      <c r="BFS268" s="18"/>
      <c r="BFT268" s="18"/>
      <c r="BFU268" s="18"/>
      <c r="BFV268" s="18"/>
      <c r="BFW268" s="18"/>
      <c r="BFX268" s="18"/>
      <c r="BFY268" s="18"/>
      <c r="BFZ268" s="18"/>
      <c r="BGA268" s="18"/>
      <c r="BGB268" s="18"/>
      <c r="BGC268" s="18"/>
      <c r="BGD268" s="18"/>
      <c r="BGE268" s="18"/>
      <c r="BGF268" s="18"/>
      <c r="BGG268" s="18"/>
      <c r="BGH268" s="18"/>
      <c r="BGI268" s="18"/>
      <c r="BGJ268" s="18"/>
      <c r="BGK268" s="18"/>
      <c r="BGL268" s="18"/>
      <c r="BGM268" s="18"/>
      <c r="BGN268" s="18"/>
      <c r="BGO268" s="18"/>
      <c r="BGP268" s="18"/>
      <c r="BGQ268" s="18"/>
      <c r="BGR268" s="18"/>
      <c r="BGS268" s="18"/>
      <c r="BGT268" s="18"/>
      <c r="BGU268" s="18"/>
      <c r="BGV268" s="18"/>
      <c r="BGW268" s="18"/>
      <c r="BGX268" s="18"/>
      <c r="BGY268" s="18"/>
      <c r="BGZ268" s="18"/>
      <c r="BHA268" s="18"/>
      <c r="BHB268" s="18"/>
      <c r="BHC268" s="18"/>
      <c r="BHD268" s="18"/>
      <c r="BHE268" s="18"/>
      <c r="BHF268" s="18"/>
      <c r="BHG268" s="18"/>
      <c r="BHH268" s="18"/>
      <c r="BHI268" s="18"/>
      <c r="BHJ268" s="18"/>
      <c r="BHK268" s="18"/>
      <c r="BHL268" s="18"/>
      <c r="BHM268" s="18"/>
      <c r="BHN268" s="18"/>
      <c r="BHO268" s="18"/>
      <c r="BHP268" s="18"/>
      <c r="BHQ268" s="18"/>
      <c r="BHR268" s="18"/>
      <c r="BHS268" s="18"/>
      <c r="BHT268" s="18"/>
      <c r="BHU268" s="18"/>
      <c r="BHV268" s="18"/>
      <c r="BHW268" s="18"/>
      <c r="BHX268" s="18"/>
      <c r="BHY268" s="18"/>
      <c r="BHZ268" s="18"/>
      <c r="BIA268" s="18"/>
      <c r="BIB268" s="18"/>
      <c r="BIC268" s="18"/>
      <c r="BID268" s="18"/>
      <c r="BIE268" s="18"/>
      <c r="BIF268" s="18"/>
      <c r="BIG268" s="18"/>
      <c r="BIH268" s="18"/>
      <c r="BII268" s="18"/>
      <c r="BIJ268" s="18"/>
      <c r="BIK268" s="18"/>
      <c r="BIL268" s="18"/>
      <c r="BIM268" s="18"/>
      <c r="BIN268" s="18"/>
      <c r="BIO268" s="18"/>
      <c r="BIP268" s="18"/>
      <c r="BIQ268" s="18"/>
      <c r="BIR268" s="18"/>
      <c r="BIS268" s="18"/>
      <c r="BIT268" s="18"/>
      <c r="BIU268" s="18"/>
      <c r="BIV268" s="18"/>
      <c r="BIW268" s="18"/>
      <c r="BIX268" s="18"/>
      <c r="BIY268" s="18"/>
      <c r="BIZ268" s="18"/>
      <c r="BJA268" s="18"/>
      <c r="BJB268" s="18"/>
      <c r="BJC268" s="18"/>
      <c r="BJD268" s="18"/>
      <c r="BJE268" s="18"/>
      <c r="BJF268" s="18"/>
      <c r="BJG268" s="18"/>
      <c r="BJH268" s="18"/>
      <c r="BJI268" s="18"/>
      <c r="BJJ268" s="18"/>
      <c r="BJK268" s="18"/>
      <c r="BJL268" s="18"/>
      <c r="BJM268" s="18"/>
      <c r="BJN268" s="18"/>
      <c r="BJO268" s="18"/>
      <c r="BJP268" s="18"/>
      <c r="BJQ268" s="18"/>
      <c r="BJR268" s="18"/>
      <c r="BJS268" s="18"/>
      <c r="BJT268" s="18"/>
      <c r="BJU268" s="18"/>
      <c r="BJV268" s="18"/>
      <c r="BJW268" s="18"/>
      <c r="BJX268" s="18"/>
      <c r="BJY268" s="18"/>
      <c r="BJZ268" s="18"/>
      <c r="BKA268" s="18"/>
      <c r="BKB268" s="18"/>
      <c r="BKC268" s="18"/>
      <c r="BKD268" s="18"/>
      <c r="BKE268" s="18"/>
      <c r="BKF268" s="18"/>
      <c r="BKG268" s="18"/>
      <c r="BKH268" s="18"/>
      <c r="BKI268" s="18"/>
      <c r="BKJ268" s="18"/>
      <c r="BKK268" s="18"/>
      <c r="BKL268" s="18"/>
      <c r="BKM268" s="18"/>
      <c r="BKN268" s="18"/>
      <c r="BKO268" s="18"/>
      <c r="BKP268" s="18"/>
      <c r="BKQ268" s="18"/>
      <c r="BKR268" s="18"/>
      <c r="BKS268" s="18"/>
      <c r="BKT268" s="18"/>
      <c r="BKU268" s="18"/>
      <c r="BKV268" s="18"/>
      <c r="BKW268" s="18"/>
      <c r="BKX268" s="18"/>
      <c r="BKY268" s="18"/>
      <c r="BKZ268" s="18"/>
      <c r="BLA268" s="18"/>
      <c r="BLB268" s="18"/>
      <c r="BLC268" s="18"/>
      <c r="BLD268" s="18"/>
      <c r="BLE268" s="18"/>
      <c r="BLF268" s="18"/>
      <c r="BLG268" s="18"/>
      <c r="BLH268" s="18"/>
      <c r="BLI268" s="18"/>
      <c r="BLJ268" s="18"/>
      <c r="BLK268" s="18"/>
      <c r="BLL268" s="18"/>
      <c r="BLM268" s="18"/>
      <c r="BLN268" s="18"/>
      <c r="BLO268" s="18"/>
      <c r="BLP268" s="18"/>
      <c r="BLQ268" s="18"/>
      <c r="BLR268" s="18"/>
      <c r="BLS268" s="18"/>
      <c r="BLT268" s="18"/>
      <c r="BLU268" s="18"/>
      <c r="BLV268" s="18"/>
      <c r="BLW268" s="18"/>
      <c r="BLX268" s="18"/>
      <c r="BLY268" s="18"/>
      <c r="BLZ268" s="18"/>
      <c r="BMA268" s="18"/>
      <c r="BMB268" s="18"/>
      <c r="BMC268" s="18"/>
      <c r="BMD268" s="18"/>
      <c r="BME268" s="18"/>
      <c r="BMF268" s="18"/>
      <c r="BMG268" s="18"/>
      <c r="BMH268" s="18"/>
      <c r="BMI268" s="18"/>
      <c r="BMJ268" s="18"/>
      <c r="BMK268" s="18"/>
      <c r="BML268" s="18"/>
      <c r="BMM268" s="18"/>
      <c r="BMN268" s="18"/>
      <c r="BMO268" s="18"/>
      <c r="BMP268" s="18"/>
      <c r="BMQ268" s="18"/>
      <c r="BMR268" s="18"/>
      <c r="BMS268" s="18"/>
      <c r="BMT268" s="18"/>
      <c r="BMU268" s="18"/>
      <c r="BMV268" s="18"/>
      <c r="BMW268" s="18"/>
      <c r="BMX268" s="18"/>
      <c r="BMY268" s="18"/>
      <c r="BMZ268" s="18"/>
      <c r="BNA268" s="18"/>
      <c r="BNB268" s="18"/>
      <c r="BNC268" s="18"/>
      <c r="BND268" s="18"/>
      <c r="BNE268" s="18"/>
      <c r="BNF268" s="18"/>
      <c r="BNG268" s="18"/>
      <c r="BNH268" s="18"/>
      <c r="BNI268" s="18"/>
      <c r="BNJ268" s="18"/>
      <c r="BNK268" s="18"/>
      <c r="BNL268" s="18"/>
      <c r="BNM268" s="18"/>
      <c r="BNN268" s="18"/>
      <c r="BNO268" s="18"/>
      <c r="BNP268" s="18"/>
      <c r="BNQ268" s="18"/>
      <c r="BNR268" s="18"/>
      <c r="BNS268" s="18"/>
      <c r="BNT268" s="18"/>
      <c r="BNU268" s="18"/>
      <c r="BNV268" s="18"/>
      <c r="BNW268" s="18"/>
      <c r="BNX268" s="18"/>
      <c r="BNY268" s="18"/>
      <c r="BNZ268" s="18"/>
      <c r="BOA268" s="18"/>
      <c r="BOB268" s="18"/>
      <c r="BOC268" s="18"/>
      <c r="BOD268" s="18"/>
      <c r="BOE268" s="18"/>
      <c r="BOF268" s="18"/>
      <c r="BOG268" s="18"/>
      <c r="BOH268" s="18"/>
      <c r="BOI268" s="18"/>
      <c r="BOJ268" s="18"/>
      <c r="BOK268" s="18"/>
      <c r="BOL268" s="18"/>
      <c r="BOM268" s="18"/>
      <c r="BON268" s="18"/>
      <c r="BOO268" s="18"/>
      <c r="BOP268" s="18"/>
      <c r="BOQ268" s="18"/>
      <c r="BOR268" s="18"/>
      <c r="BOS268" s="18"/>
      <c r="BOT268" s="18"/>
      <c r="BOU268" s="18"/>
      <c r="BOV268" s="18"/>
      <c r="BOW268" s="18"/>
      <c r="BOX268" s="18"/>
      <c r="BOY268" s="18"/>
      <c r="BOZ268" s="18"/>
      <c r="BPA268" s="18"/>
      <c r="BPB268" s="18"/>
      <c r="BPC268" s="18"/>
      <c r="BPD268" s="18"/>
      <c r="BPE268" s="18"/>
      <c r="BPF268" s="18"/>
      <c r="BPG268" s="18"/>
      <c r="BPH268" s="18"/>
      <c r="BPI268" s="18"/>
      <c r="BPJ268" s="18"/>
      <c r="BPK268" s="18"/>
      <c r="BPL268" s="18"/>
      <c r="BPM268" s="18"/>
      <c r="BPN268" s="18"/>
      <c r="BPO268" s="18"/>
      <c r="BPP268" s="18"/>
      <c r="BPQ268" s="18"/>
      <c r="BPR268" s="18"/>
      <c r="BPS268" s="18"/>
      <c r="BPT268" s="18"/>
      <c r="BPU268" s="18"/>
      <c r="BPV268" s="18"/>
      <c r="BPW268" s="18"/>
      <c r="BPX268" s="18"/>
      <c r="BPY268" s="18"/>
      <c r="BPZ268" s="18"/>
      <c r="BQA268" s="18"/>
      <c r="BQB268" s="18"/>
      <c r="BQC268" s="18"/>
      <c r="BQD268" s="18"/>
      <c r="BQE268" s="18"/>
      <c r="BQF268" s="18"/>
      <c r="BQG268" s="18"/>
      <c r="BQH268" s="18"/>
      <c r="BQI268" s="18"/>
      <c r="BQJ268" s="18"/>
      <c r="BQK268" s="18"/>
      <c r="BQL268" s="18"/>
      <c r="BQM268" s="18"/>
      <c r="BQN268" s="18"/>
      <c r="BQO268" s="18"/>
      <c r="BQP268" s="18"/>
      <c r="BQQ268" s="18"/>
      <c r="BQR268" s="18"/>
      <c r="BQS268" s="18"/>
      <c r="BQT268" s="18"/>
      <c r="BQU268" s="18"/>
      <c r="BQV268" s="18"/>
      <c r="BQW268" s="18"/>
      <c r="BQX268" s="18"/>
      <c r="BQY268" s="18"/>
      <c r="BQZ268" s="18"/>
      <c r="BRA268" s="18"/>
      <c r="BRB268" s="18"/>
      <c r="BRC268" s="18"/>
      <c r="BRD268" s="18"/>
      <c r="BRE268" s="18"/>
      <c r="BRF268" s="18"/>
      <c r="BRG268" s="18"/>
      <c r="BRH268" s="18"/>
      <c r="BRI268" s="18"/>
      <c r="BRJ268" s="18"/>
      <c r="BRK268" s="18"/>
      <c r="BRL268" s="18"/>
      <c r="BRM268" s="18"/>
      <c r="BRN268" s="18"/>
      <c r="BRO268" s="18"/>
      <c r="BRP268" s="18"/>
      <c r="BRQ268" s="18"/>
      <c r="BRR268" s="18"/>
      <c r="BRS268" s="18"/>
      <c r="BRT268" s="18"/>
      <c r="BRU268" s="18"/>
      <c r="BRV268" s="18"/>
      <c r="BRW268" s="18"/>
      <c r="BRX268" s="18"/>
      <c r="BRY268" s="18"/>
      <c r="BRZ268" s="18"/>
      <c r="BSA268" s="18"/>
      <c r="BSB268" s="18"/>
      <c r="BSC268" s="18"/>
      <c r="BSD268" s="18"/>
      <c r="BSE268" s="18"/>
      <c r="BSF268" s="18"/>
      <c r="BSG268" s="18"/>
      <c r="BSH268" s="18"/>
      <c r="BSI268" s="18"/>
      <c r="BSJ268" s="18"/>
      <c r="BSK268" s="18"/>
      <c r="BSL268" s="18"/>
      <c r="BSM268" s="18"/>
      <c r="BSN268" s="18"/>
      <c r="BSO268" s="18"/>
      <c r="BSP268" s="18"/>
      <c r="BSQ268" s="18"/>
      <c r="BSR268" s="18"/>
      <c r="BSS268" s="18"/>
      <c r="BST268" s="18"/>
      <c r="BSU268" s="18"/>
      <c r="BSV268" s="18"/>
      <c r="BSW268" s="18"/>
      <c r="BSX268" s="18"/>
      <c r="BSY268" s="18"/>
      <c r="BSZ268" s="18"/>
      <c r="BTA268" s="18"/>
      <c r="BTB268" s="18"/>
      <c r="BTC268" s="18"/>
      <c r="BTD268" s="18"/>
      <c r="BTE268" s="18"/>
      <c r="BTF268" s="18"/>
      <c r="BTG268" s="18"/>
      <c r="BTH268" s="18"/>
      <c r="BTI268" s="18"/>
    </row>
    <row r="269" spans="1:1881" ht="35.25" customHeight="1" x14ac:dyDescent="0.3">
      <c r="A269" s="108"/>
      <c r="B269" s="881" t="s">
        <v>25</v>
      </c>
      <c r="C269" s="882"/>
      <c r="D269" s="884"/>
      <c r="E269" s="898"/>
      <c r="F269" s="899"/>
      <c r="G269" s="866"/>
      <c r="H269" s="17"/>
      <c r="I269" s="79"/>
      <c r="J269" s="592"/>
      <c r="Z269" s="108"/>
      <c r="AA269" s="108"/>
      <c r="AB269" s="108"/>
      <c r="AC269" s="108"/>
      <c r="AD269" s="108"/>
      <c r="AE269" s="108"/>
      <c r="AF269" s="108"/>
      <c r="AG269" s="108"/>
      <c r="AH269" s="108"/>
      <c r="AI269" s="108"/>
      <c r="AJ269" s="108"/>
      <c r="AK269" s="108"/>
      <c r="AL269" s="108"/>
      <c r="AM269" s="108"/>
      <c r="AN269" s="108"/>
      <c r="AO269" s="108"/>
      <c r="AP269" s="108"/>
      <c r="AQ269" s="108"/>
      <c r="AR269" s="108"/>
    </row>
    <row r="270" spans="1:1881" ht="168" customHeight="1" x14ac:dyDescent="0.3">
      <c r="A270" s="125">
        <v>621</v>
      </c>
      <c r="B270" s="125" t="s">
        <v>606</v>
      </c>
      <c r="C270" s="124" t="s">
        <v>717</v>
      </c>
      <c r="D270" s="124" t="s">
        <v>1419</v>
      </c>
      <c r="E270" s="686" t="e">
        <f>HLOOKUP($D$2,'2020 Data(H)'!$C$1:$CR$399,281,FALSE)</f>
        <v>#N/A</v>
      </c>
      <c r="F270" s="296">
        <v>0</v>
      </c>
      <c r="G270" s="790" t="s">
        <v>1420</v>
      </c>
      <c r="Z270" s="125"/>
      <c r="AA270" s="125"/>
      <c r="AB270" s="125"/>
      <c r="AC270" s="125"/>
      <c r="AD270" s="125"/>
      <c r="AE270" s="125"/>
      <c r="AF270" s="125"/>
      <c r="AG270" s="125"/>
      <c r="AH270" s="125"/>
      <c r="AI270" s="125"/>
      <c r="AJ270" s="125"/>
      <c r="AK270" s="125"/>
      <c r="AL270" s="125"/>
      <c r="AM270" s="125"/>
      <c r="AN270" s="125"/>
      <c r="AO270" s="125"/>
      <c r="AP270" s="125"/>
      <c r="AQ270" s="125"/>
      <c r="AR270" s="125"/>
    </row>
    <row r="271" spans="1:1881" ht="176.25" customHeight="1" x14ac:dyDescent="0.3">
      <c r="A271" s="108">
        <v>547</v>
      </c>
      <c r="B271" s="688"/>
      <c r="C271" s="688" t="s">
        <v>167</v>
      </c>
      <c r="D271" s="685" t="s">
        <v>532</v>
      </c>
      <c r="E271" s="686" t="e">
        <f>HLOOKUP($D$2,'2020 Data(H)'!$C$1:$CR$399,197,FALSE)</f>
        <v>#N/A</v>
      </c>
      <c r="F271" s="755"/>
      <c r="G271" s="789" t="str">
        <f>IF(F271&lt;1,"Please answer this question","")</f>
        <v>Please answer this question</v>
      </c>
      <c r="H271" s="748"/>
      <c r="I271" s="749"/>
      <c r="Z271" s="108"/>
      <c r="AA271" s="108"/>
      <c r="AB271" s="108"/>
      <c r="AC271" s="108"/>
      <c r="AD271" s="108"/>
      <c r="AE271" s="108"/>
      <c r="AF271" s="108"/>
      <c r="AG271" s="108"/>
      <c r="AH271" s="108"/>
      <c r="AI271" s="108"/>
      <c r="AJ271" s="108"/>
      <c r="AK271" s="108"/>
      <c r="AL271" s="108"/>
      <c r="AM271" s="108"/>
      <c r="AN271" s="108"/>
      <c r="AO271" s="108"/>
      <c r="AP271" s="108"/>
      <c r="AQ271" s="108"/>
      <c r="AR271" s="108"/>
    </row>
    <row r="272" spans="1:1881" s="18" customFormat="1" ht="221.25" customHeight="1" x14ac:dyDescent="0.3">
      <c r="A272" s="310">
        <v>659</v>
      </c>
      <c r="B272" s="841" t="s">
        <v>59</v>
      </c>
      <c r="C272" s="841" t="s">
        <v>694</v>
      </c>
      <c r="D272" s="313" t="s">
        <v>1421</v>
      </c>
      <c r="E272" s="686" t="e">
        <f>HLOOKUP($D$2,'2020 Data(H)'!$C$1:$CR$399,312,FALSE)</f>
        <v>#N/A</v>
      </c>
      <c r="F272" s="297">
        <v>0</v>
      </c>
      <c r="G272" s="790" t="s">
        <v>1422</v>
      </c>
      <c r="H272" s="747">
        <f>IF(F269&lt;0,"Error: Enter as positive.",)</f>
        <v>0</v>
      </c>
      <c r="I272" s="377"/>
      <c r="N272" s="298"/>
      <c r="Z272" s="310"/>
      <c r="AA272" s="310"/>
      <c r="AB272" s="310"/>
      <c r="AC272" s="310"/>
      <c r="AD272" s="310"/>
      <c r="AE272" s="310"/>
      <c r="AF272" s="310"/>
      <c r="AG272" s="310"/>
      <c r="AH272" s="310"/>
      <c r="AI272" s="310"/>
      <c r="AJ272" s="310"/>
      <c r="AK272" s="310"/>
      <c r="AL272" s="310"/>
      <c r="AM272" s="310"/>
      <c r="AN272" s="310"/>
      <c r="AO272" s="310"/>
      <c r="AP272" s="310"/>
      <c r="AQ272" s="310"/>
      <c r="AR272" s="310"/>
    </row>
    <row r="273" spans="1:44" ht="65.25" customHeight="1" x14ac:dyDescent="0.3">
      <c r="A273" s="310">
        <v>660</v>
      </c>
      <c r="B273" s="841" t="s">
        <v>59</v>
      </c>
      <c r="C273" s="841" t="s">
        <v>694</v>
      </c>
      <c r="D273" s="313" t="s">
        <v>1423</v>
      </c>
      <c r="E273" s="686" t="e">
        <f>HLOOKUP($D$2,'2020 Data(H)'!$C$1:$CR$399,313,FALSE)</f>
        <v>#N/A</v>
      </c>
      <c r="F273" s="297">
        <v>0</v>
      </c>
      <c r="G273" s="790" t="str">
        <f>IF(ISBLANK(F273),"Please do not leave blank","")</f>
        <v/>
      </c>
      <c r="H273" s="747">
        <f>IF(F270&lt;0,"Note: Number is normally positive.",)</f>
        <v>0</v>
      </c>
      <c r="I273" s="17"/>
      <c r="Z273" s="310"/>
      <c r="AA273" s="310"/>
      <c r="AB273" s="310"/>
      <c r="AC273" s="310"/>
      <c r="AD273" s="310"/>
      <c r="AE273" s="310"/>
      <c r="AF273" s="310"/>
      <c r="AG273" s="310"/>
      <c r="AH273" s="310"/>
      <c r="AI273" s="310"/>
      <c r="AJ273" s="310"/>
      <c r="AK273" s="310"/>
      <c r="AL273" s="310"/>
      <c r="AM273" s="310"/>
      <c r="AN273" s="310"/>
      <c r="AO273" s="310"/>
      <c r="AP273" s="310"/>
      <c r="AQ273" s="310"/>
      <c r="AR273" s="310"/>
    </row>
    <row r="274" spans="1:44" ht="94.5" customHeight="1" x14ac:dyDescent="0.3">
      <c r="A274" s="310">
        <v>661</v>
      </c>
      <c r="B274" s="841" t="s">
        <v>59</v>
      </c>
      <c r="C274" s="841" t="s">
        <v>698</v>
      </c>
      <c r="D274" s="653" t="s">
        <v>1424</v>
      </c>
      <c r="E274" s="379" t="e">
        <f>HLOOKUP($D$2,'2020 Data(H)'!$C$1:$CR$399,314,FALSE)</f>
        <v>#N/A</v>
      </c>
      <c r="F274" s="274">
        <v>0</v>
      </c>
      <c r="G274" s="790" t="str">
        <f>IF(ISBLANK(F274),"Please do not leave blank ",IF(F274=H274,"","Please review percentage"))</f>
        <v/>
      </c>
      <c r="H274" s="791">
        <f>ROUND(IFERROR((F273/F272)*100,0),1)</f>
        <v>0</v>
      </c>
      <c r="I274" s="791"/>
      <c r="Z274" s="310"/>
      <c r="AA274" s="310"/>
      <c r="AB274" s="310"/>
      <c r="AC274" s="310"/>
      <c r="AD274" s="310"/>
      <c r="AE274" s="310"/>
      <c r="AF274" s="310"/>
      <c r="AG274" s="310"/>
      <c r="AH274" s="310"/>
      <c r="AI274" s="310"/>
      <c r="AJ274" s="310"/>
      <c r="AK274" s="310"/>
      <c r="AL274" s="310"/>
      <c r="AM274" s="310"/>
      <c r="AN274" s="310"/>
      <c r="AO274" s="310"/>
      <c r="AP274" s="310"/>
      <c r="AQ274" s="310"/>
      <c r="AR274" s="310"/>
    </row>
    <row r="275" spans="1:44" ht="111.75" customHeight="1" x14ac:dyDescent="0.3">
      <c r="A275" s="108"/>
      <c r="B275" s="688"/>
      <c r="C275" s="688"/>
      <c r="D275" s="27" t="s">
        <v>26</v>
      </c>
      <c r="E275" s="690"/>
      <c r="F275" s="693"/>
      <c r="G275" s="790"/>
      <c r="H275" s="791"/>
      <c r="I275" s="792"/>
      <c r="Z275" s="108"/>
      <c r="AA275" s="108"/>
      <c r="AB275" s="108"/>
      <c r="AC275" s="108"/>
      <c r="AD275" s="108"/>
      <c r="AE275" s="108"/>
      <c r="AF275" s="108"/>
      <c r="AG275" s="108"/>
      <c r="AH275" s="108"/>
      <c r="AI275" s="108"/>
      <c r="AJ275" s="108"/>
      <c r="AK275" s="108"/>
      <c r="AL275" s="108"/>
      <c r="AM275" s="108"/>
      <c r="AN275" s="108"/>
      <c r="AO275" s="108"/>
      <c r="AP275" s="108"/>
      <c r="AQ275" s="108"/>
      <c r="AR275" s="108"/>
    </row>
    <row r="276" spans="1:44" ht="32.25" customHeight="1" x14ac:dyDescent="0.3">
      <c r="A276" s="108"/>
      <c r="B276" s="881" t="s">
        <v>27</v>
      </c>
      <c r="C276" s="882"/>
      <c r="D276" s="884"/>
      <c r="E276" s="898"/>
      <c r="F276" s="898"/>
      <c r="G276" s="866"/>
      <c r="H276" s="17"/>
      <c r="I276" s="79"/>
      <c r="Z276" s="108"/>
      <c r="AA276" s="108"/>
      <c r="AB276" s="108"/>
      <c r="AC276" s="108"/>
      <c r="AD276" s="108"/>
      <c r="AE276" s="108"/>
      <c r="AF276" s="108"/>
      <c r="AG276" s="108"/>
      <c r="AH276" s="108"/>
      <c r="AI276" s="108"/>
      <c r="AJ276" s="108"/>
      <c r="AK276" s="108"/>
      <c r="AL276" s="108"/>
      <c r="AM276" s="108"/>
      <c r="AN276" s="108"/>
      <c r="AO276" s="108"/>
      <c r="AP276" s="108"/>
      <c r="AQ276" s="108"/>
      <c r="AR276" s="108"/>
    </row>
    <row r="277" spans="1:44" ht="63.75" customHeight="1" x14ac:dyDescent="0.3">
      <c r="A277" s="33">
        <v>371</v>
      </c>
      <c r="B277" s="4" t="s">
        <v>56</v>
      </c>
      <c r="C277" s="4" t="s">
        <v>168</v>
      </c>
      <c r="D277" s="24" t="s">
        <v>1526</v>
      </c>
      <c r="E277" s="686" t="e">
        <f>HLOOKUP($D$2,'2020 Data(H)'!$C$1:$CR$399,132,FALSE)</f>
        <v>#N/A</v>
      </c>
      <c r="F277" s="297">
        <v>0</v>
      </c>
      <c r="G277" s="747">
        <f>IF(F277&lt;0,"Error: Enter as positive.",)</f>
        <v>0</v>
      </c>
      <c r="H277" s="17"/>
      <c r="I277" s="79"/>
      <c r="Z277" s="33"/>
      <c r="AA277" s="33"/>
      <c r="AB277" s="33"/>
      <c r="AC277" s="33"/>
      <c r="AD277" s="33"/>
      <c r="AE277" s="33"/>
      <c r="AF277" s="33"/>
      <c r="AG277" s="33"/>
      <c r="AH277" s="33"/>
      <c r="AI277" s="33"/>
      <c r="AJ277" s="33"/>
      <c r="AK277" s="33"/>
      <c r="AL277" s="33"/>
      <c r="AM277" s="33"/>
      <c r="AN277" s="33"/>
      <c r="AO277" s="33"/>
      <c r="AP277" s="33"/>
      <c r="AQ277" s="33"/>
      <c r="AR277" s="33"/>
    </row>
    <row r="278" spans="1:44" ht="70.5" customHeight="1" x14ac:dyDescent="0.3">
      <c r="A278" s="108">
        <v>513</v>
      </c>
      <c r="B278" s="839" t="s">
        <v>58</v>
      </c>
      <c r="C278" s="4" t="s">
        <v>168</v>
      </c>
      <c r="D278" s="24" t="s">
        <v>1527</v>
      </c>
      <c r="E278" s="686" t="e">
        <f>HLOOKUP($D$2,'2020 Data(H)'!$C$1:$CR$399,163,FALSE)</f>
        <v>#N/A</v>
      </c>
      <c r="F278" s="297">
        <v>0</v>
      </c>
      <c r="G278" s="747">
        <f>IF(F278&lt;0,"Error: Enter as positive.",)</f>
        <v>0</v>
      </c>
      <c r="H278" s="748"/>
      <c r="I278" s="749"/>
      <c r="Z278" s="108"/>
      <c r="AA278" s="108"/>
      <c r="AB278" s="108"/>
      <c r="AC278" s="108"/>
      <c r="AD278" s="108"/>
      <c r="AE278" s="108"/>
      <c r="AF278" s="108"/>
      <c r="AG278" s="108"/>
      <c r="AH278" s="108"/>
      <c r="AI278" s="108"/>
      <c r="AJ278" s="108"/>
      <c r="AK278" s="108"/>
      <c r="AL278" s="108"/>
      <c r="AM278" s="108"/>
      <c r="AN278" s="108"/>
      <c r="AO278" s="108"/>
      <c r="AP278" s="108"/>
      <c r="AQ278" s="108"/>
      <c r="AR278" s="108"/>
    </row>
    <row r="279" spans="1:44" ht="80.25" customHeight="1" x14ac:dyDescent="0.3">
      <c r="A279" s="108">
        <v>514</v>
      </c>
      <c r="B279" s="839" t="s">
        <v>58</v>
      </c>
      <c r="C279" s="4" t="s">
        <v>168</v>
      </c>
      <c r="D279" s="24" t="s">
        <v>1528</v>
      </c>
      <c r="E279" s="686" t="e">
        <f>HLOOKUP($D$2,'2020 Data(H)'!$C$1:$CR$399,164,FALSE)</f>
        <v>#N/A</v>
      </c>
      <c r="F279" s="297">
        <v>0</v>
      </c>
      <c r="G279" s="747">
        <f>IF(F279&lt;0,"Error: Enter as positive.",)</f>
        <v>0</v>
      </c>
      <c r="H279" s="17"/>
      <c r="I279" s="749"/>
      <c r="Z279" s="108"/>
      <c r="AA279" s="108"/>
      <c r="AB279" s="108"/>
      <c r="AC279" s="108"/>
      <c r="AD279" s="108"/>
      <c r="AE279" s="108"/>
      <c r="AF279" s="108"/>
      <c r="AG279" s="108"/>
      <c r="AH279" s="108"/>
      <c r="AI279" s="108"/>
      <c r="AJ279" s="108"/>
      <c r="AK279" s="108"/>
      <c r="AL279" s="108"/>
      <c r="AM279" s="108"/>
      <c r="AN279" s="108"/>
      <c r="AO279" s="108"/>
      <c r="AP279" s="108"/>
      <c r="AQ279" s="108"/>
      <c r="AR279" s="108"/>
    </row>
    <row r="280" spans="1:44" ht="80.25" customHeight="1" x14ac:dyDescent="0.3">
      <c r="A280" s="108">
        <v>990</v>
      </c>
      <c r="B280" s="848" t="s">
        <v>1041</v>
      </c>
      <c r="C280" s="845" t="s">
        <v>168</v>
      </c>
      <c r="D280" s="774" t="s">
        <v>1042</v>
      </c>
      <c r="E280" s="688" t="s">
        <v>1018</v>
      </c>
      <c r="F280" s="297">
        <v>0</v>
      </c>
      <c r="G280" s="747"/>
      <c r="H280" s="17"/>
      <c r="I280" s="749"/>
      <c r="Z280" s="108"/>
      <c r="AA280" s="108"/>
      <c r="AB280" s="108"/>
      <c r="AC280" s="108"/>
      <c r="AD280" s="108"/>
      <c r="AE280" s="108"/>
      <c r="AF280" s="108"/>
      <c r="AG280" s="108"/>
      <c r="AH280" s="108"/>
      <c r="AI280" s="108"/>
      <c r="AJ280" s="108"/>
      <c r="AK280" s="108"/>
      <c r="AL280" s="108"/>
      <c r="AM280" s="108"/>
      <c r="AN280" s="108"/>
      <c r="AO280" s="108"/>
      <c r="AP280" s="108"/>
      <c r="AQ280" s="108"/>
      <c r="AR280" s="108"/>
    </row>
    <row r="281" spans="1:44" ht="32.25" customHeight="1" x14ac:dyDescent="0.3">
      <c r="A281" s="108"/>
      <c r="B281" s="881" t="s">
        <v>28</v>
      </c>
      <c r="C281" s="882"/>
      <c r="D281" s="884"/>
      <c r="E281" s="898"/>
      <c r="F281" s="866"/>
      <c r="G281" s="866"/>
      <c r="H281" s="17"/>
      <c r="I281" s="79"/>
      <c r="Z281" s="108"/>
      <c r="AA281" s="108"/>
      <c r="AB281" s="108"/>
      <c r="AC281" s="108"/>
      <c r="AD281" s="108"/>
      <c r="AE281" s="108"/>
      <c r="AF281" s="108"/>
      <c r="AG281" s="108"/>
      <c r="AH281" s="108"/>
      <c r="AI281" s="108"/>
      <c r="AJ281" s="108"/>
      <c r="AK281" s="108"/>
      <c r="AL281" s="108"/>
      <c r="AM281" s="108"/>
      <c r="AN281" s="108"/>
      <c r="AO281" s="108"/>
      <c r="AP281" s="108"/>
      <c r="AQ281" s="108"/>
      <c r="AR281" s="108"/>
    </row>
    <row r="282" spans="1:44" ht="68.25" customHeight="1" x14ac:dyDescent="0.3">
      <c r="A282" s="108">
        <v>6</v>
      </c>
      <c r="B282" s="4" t="s">
        <v>55</v>
      </c>
      <c r="C282" s="4" t="s">
        <v>169</v>
      </c>
      <c r="D282" s="24" t="s">
        <v>1529</v>
      </c>
      <c r="E282" s="686" t="e">
        <f>HLOOKUP($D$2,'2020 Data(H)'!$C$1:$CR$399,5,FALSE)</f>
        <v>#N/A</v>
      </c>
      <c r="F282" s="297">
        <v>0</v>
      </c>
      <c r="G282" s="747">
        <f>IF(F282&lt;0,"Error: Enter as positive.",)</f>
        <v>0</v>
      </c>
      <c r="H282" s="17"/>
      <c r="I282" s="79"/>
      <c r="J282" s="592"/>
      <c r="Z282" s="108"/>
      <c r="AA282" s="108"/>
      <c r="AB282" s="108"/>
      <c r="AC282" s="108"/>
      <c r="AD282" s="108"/>
      <c r="AE282" s="108"/>
      <c r="AF282" s="108"/>
      <c r="AG282" s="108"/>
      <c r="AH282" s="108"/>
      <c r="AI282" s="108"/>
      <c r="AJ282" s="108"/>
      <c r="AK282" s="108"/>
      <c r="AL282" s="108"/>
      <c r="AM282" s="108"/>
      <c r="AN282" s="108"/>
      <c r="AO282" s="108"/>
      <c r="AP282" s="108"/>
      <c r="AQ282" s="108"/>
      <c r="AR282" s="108"/>
    </row>
    <row r="283" spans="1:44" ht="33" customHeight="1" x14ac:dyDescent="0.3">
      <c r="A283" s="108"/>
      <c r="B283" s="881" t="s">
        <v>180</v>
      </c>
      <c r="C283" s="882"/>
      <c r="D283" s="884"/>
      <c r="E283" s="900"/>
      <c r="F283" s="876"/>
      <c r="G283" s="876"/>
      <c r="H283" s="748"/>
      <c r="I283" s="749"/>
      <c r="J283" s="592"/>
      <c r="Z283" s="108"/>
      <c r="AA283" s="108"/>
      <c r="AB283" s="108"/>
      <c r="AC283" s="108"/>
      <c r="AD283" s="108"/>
      <c r="AE283" s="108"/>
      <c r="AF283" s="108"/>
      <c r="AG283" s="108"/>
      <c r="AH283" s="108"/>
      <c r="AI283" s="108"/>
      <c r="AJ283" s="108"/>
      <c r="AK283" s="108"/>
      <c r="AL283" s="108"/>
      <c r="AM283" s="108"/>
      <c r="AN283" s="108"/>
      <c r="AO283" s="108"/>
      <c r="AP283" s="108"/>
      <c r="AQ283" s="108"/>
      <c r="AR283" s="108"/>
    </row>
    <row r="284" spans="1:44" ht="141" customHeight="1" x14ac:dyDescent="0.3">
      <c r="A284" s="108">
        <v>541</v>
      </c>
      <c r="B284" s="688" t="s">
        <v>59</v>
      </c>
      <c r="C284" s="688" t="s">
        <v>1530</v>
      </c>
      <c r="D284" s="685" t="s">
        <v>1531</v>
      </c>
      <c r="E284" s="686" t="e">
        <f>HLOOKUP($D$2,'2020 Data(H)'!$C$1:$CR$399,191,FALSE)</f>
        <v>#N/A</v>
      </c>
      <c r="F284" s="297">
        <v>0</v>
      </c>
      <c r="G284" s="747"/>
      <c r="H284" s="748"/>
      <c r="I284" s="749"/>
      <c r="J284" s="592"/>
      <c r="Z284" s="108"/>
      <c r="AA284" s="108"/>
      <c r="AB284" s="108"/>
      <c r="AC284" s="108"/>
      <c r="AD284" s="108"/>
      <c r="AE284" s="108"/>
      <c r="AF284" s="108"/>
      <c r="AG284" s="108"/>
      <c r="AH284" s="108"/>
      <c r="AI284" s="108"/>
      <c r="AJ284" s="108"/>
      <c r="AK284" s="108"/>
      <c r="AL284" s="108"/>
      <c r="AM284" s="108"/>
      <c r="AN284" s="108"/>
      <c r="AO284" s="108"/>
      <c r="AP284" s="108"/>
      <c r="AQ284" s="108"/>
      <c r="AR284" s="108"/>
    </row>
    <row r="285" spans="1:44" ht="28.5" customHeight="1" x14ac:dyDescent="0.3">
      <c r="A285" s="108"/>
      <c r="B285" s="882" t="s">
        <v>50</v>
      </c>
      <c r="C285" s="882"/>
      <c r="D285" s="884"/>
      <c r="E285" s="900"/>
      <c r="F285" s="896"/>
      <c r="G285" s="896"/>
      <c r="H285" s="748"/>
      <c r="I285" s="749"/>
      <c r="Z285" s="108"/>
      <c r="AA285" s="108"/>
      <c r="AB285" s="108"/>
      <c r="AC285" s="108"/>
      <c r="AD285" s="108"/>
      <c r="AE285" s="108"/>
      <c r="AF285" s="108"/>
      <c r="AG285" s="108"/>
      <c r="AH285" s="108"/>
      <c r="AI285" s="108"/>
      <c r="AJ285" s="108"/>
      <c r="AK285" s="108"/>
      <c r="AL285" s="108"/>
      <c r="AM285" s="108"/>
      <c r="AN285" s="108"/>
      <c r="AO285" s="108"/>
      <c r="AP285" s="108"/>
      <c r="AQ285" s="108"/>
      <c r="AR285" s="108"/>
    </row>
    <row r="286" spans="1:44" ht="77.25" customHeight="1" x14ac:dyDescent="0.3">
      <c r="A286" s="108">
        <v>542</v>
      </c>
      <c r="B286" s="688" t="s">
        <v>59</v>
      </c>
      <c r="C286" s="849" t="s">
        <v>1532</v>
      </c>
      <c r="D286" s="29" t="s">
        <v>170</v>
      </c>
      <c r="E286" s="686" t="e">
        <f>HLOOKUP($D$2,'2020 Data(H)'!$C$1:$CR$399,192,FALSE)</f>
        <v>#N/A</v>
      </c>
      <c r="F286" s="297">
        <v>0</v>
      </c>
      <c r="G286" s="747"/>
      <c r="H286" s="748"/>
      <c r="I286" s="793"/>
      <c r="Z286" s="108"/>
      <c r="AA286" s="108"/>
      <c r="AB286" s="108"/>
      <c r="AC286" s="108"/>
      <c r="AD286" s="108"/>
      <c r="AE286" s="108"/>
      <c r="AF286" s="108"/>
      <c r="AG286" s="108"/>
      <c r="AH286" s="108"/>
      <c r="AI286" s="108"/>
      <c r="AJ286" s="108"/>
      <c r="AK286" s="108"/>
      <c r="AL286" s="108"/>
      <c r="AM286" s="108"/>
      <c r="AN286" s="108"/>
      <c r="AO286" s="108"/>
      <c r="AP286" s="108"/>
      <c r="AQ286" s="108"/>
      <c r="AR286" s="108"/>
    </row>
    <row r="287" spans="1:44" ht="24.75" customHeight="1" x14ac:dyDescent="0.3">
      <c r="A287" s="108"/>
      <c r="B287" s="881" t="s">
        <v>1533</v>
      </c>
      <c r="C287" s="881"/>
      <c r="D287" s="857"/>
      <c r="E287" s="858"/>
      <c r="F287" s="878"/>
      <c r="G287" s="878"/>
      <c r="H287" s="17"/>
      <c r="I287" s="79"/>
      <c r="Z287" s="108"/>
      <c r="AA287" s="108"/>
      <c r="AB287" s="108"/>
      <c r="AC287" s="108"/>
      <c r="AD287" s="108"/>
      <c r="AE287" s="108"/>
      <c r="AF287" s="108"/>
      <c r="AG287" s="108"/>
      <c r="AH287" s="108"/>
      <c r="AI287" s="108"/>
      <c r="AJ287" s="108"/>
      <c r="AK287" s="108"/>
      <c r="AL287" s="108"/>
      <c r="AM287" s="108"/>
      <c r="AN287" s="108"/>
      <c r="AO287" s="108"/>
      <c r="AP287" s="108"/>
      <c r="AQ287" s="108"/>
      <c r="AR287" s="108"/>
    </row>
    <row r="288" spans="1:44" ht="25.5" customHeight="1" x14ac:dyDescent="0.3">
      <c r="A288" s="108"/>
      <c r="B288" s="901" t="s">
        <v>12</v>
      </c>
      <c r="C288" s="901"/>
      <c r="D288" s="857"/>
      <c r="E288" s="858"/>
      <c r="F288" s="902"/>
      <c r="G288" s="878"/>
      <c r="H288" s="17"/>
      <c r="I288" s="79"/>
      <c r="Z288" s="108"/>
      <c r="AA288" s="108"/>
      <c r="AB288" s="108"/>
      <c r="AC288" s="108"/>
      <c r="AD288" s="108"/>
      <c r="AE288" s="108"/>
      <c r="AF288" s="108"/>
      <c r="AG288" s="108"/>
      <c r="AH288" s="108"/>
      <c r="AI288" s="108"/>
      <c r="AJ288" s="108"/>
      <c r="AK288" s="108"/>
      <c r="AL288" s="108"/>
      <c r="AM288" s="108"/>
      <c r="AN288" s="108"/>
      <c r="AO288" s="108"/>
      <c r="AP288" s="108"/>
      <c r="AQ288" s="108"/>
      <c r="AR288" s="108"/>
    </row>
    <row r="289" spans="1:44" ht="77.25" customHeight="1" x14ac:dyDescent="0.3">
      <c r="A289" s="34">
        <v>528</v>
      </c>
      <c r="B289" s="688" t="s">
        <v>55</v>
      </c>
      <c r="C289" s="4" t="s">
        <v>171</v>
      </c>
      <c r="D289" s="625" t="s">
        <v>1570</v>
      </c>
      <c r="E289" s="686" t="e">
        <f>HLOOKUP($D$2,'2020 Data(H)'!$C$1:$CR$399,178,FALSE)</f>
        <v>#N/A</v>
      </c>
      <c r="F289" s="297">
        <v>0</v>
      </c>
      <c r="G289" s="747">
        <f>IF(F289="","Error: Unit must enter this information if they levy taxes.",)</f>
        <v>0</v>
      </c>
      <c r="H289" s="794"/>
      <c r="I289" s="79"/>
      <c r="J289" s="795"/>
      <c r="Z289" s="34"/>
      <c r="AA289" s="34"/>
      <c r="AB289" s="34"/>
      <c r="AC289" s="34"/>
      <c r="AD289" s="34"/>
      <c r="AE289" s="34"/>
      <c r="AF289" s="34"/>
      <c r="AG289" s="34"/>
      <c r="AH289" s="34"/>
      <c r="AI289" s="34"/>
      <c r="AJ289" s="34"/>
      <c r="AK289" s="34"/>
      <c r="AL289" s="34"/>
      <c r="AM289" s="34"/>
      <c r="AN289" s="34"/>
      <c r="AO289" s="34"/>
      <c r="AP289" s="34"/>
      <c r="AQ289" s="34"/>
      <c r="AR289" s="34"/>
    </row>
    <row r="290" spans="1:44" ht="69" customHeight="1" x14ac:dyDescent="0.3">
      <c r="A290" s="34">
        <v>529</v>
      </c>
      <c r="B290" s="688" t="s">
        <v>55</v>
      </c>
      <c r="C290" s="4" t="s">
        <v>171</v>
      </c>
      <c r="D290" s="625" t="s">
        <v>1534</v>
      </c>
      <c r="E290" s="686" t="e">
        <f>HLOOKUP($D$2,'2020 Data(H)'!$C$1:$CR$399,179,FALSE)</f>
        <v>#N/A</v>
      </c>
      <c r="F290" s="297">
        <v>0</v>
      </c>
      <c r="G290" s="747">
        <f>IF(F290="","Error: Unit must enter this information if they levy taxes.",)</f>
        <v>0</v>
      </c>
      <c r="H290" s="17"/>
      <c r="I290" s="79"/>
      <c r="Z290" s="34"/>
      <c r="AA290" s="34"/>
      <c r="AB290" s="34"/>
      <c r="AC290" s="34"/>
      <c r="AD290" s="34"/>
      <c r="AE290" s="34"/>
      <c r="AF290" s="34"/>
      <c r="AG290" s="34"/>
      <c r="AH290" s="34"/>
      <c r="AI290" s="34"/>
      <c r="AJ290" s="34"/>
      <c r="AK290" s="34"/>
      <c r="AL290" s="34"/>
      <c r="AM290" s="34"/>
      <c r="AN290" s="34"/>
      <c r="AO290" s="34"/>
      <c r="AP290" s="34"/>
      <c r="AQ290" s="34"/>
      <c r="AR290" s="34"/>
    </row>
    <row r="291" spans="1:44" ht="69" customHeight="1" x14ac:dyDescent="0.3">
      <c r="A291" s="34">
        <v>530</v>
      </c>
      <c r="B291" s="688" t="s">
        <v>55</v>
      </c>
      <c r="C291" s="4" t="s">
        <v>171</v>
      </c>
      <c r="D291" s="850" t="s">
        <v>1535</v>
      </c>
      <c r="E291" s="686" t="e">
        <f>HLOOKUP($D$2,'2020 Data(H)'!$C$1:$CR$399,180,FALSE)</f>
        <v>#N/A</v>
      </c>
      <c r="F291" s="297">
        <v>0</v>
      </c>
      <c r="G291" s="747">
        <f>IF(F291="","Error: Unit must enter this information if they levy taxes.",)</f>
        <v>0</v>
      </c>
      <c r="H291" s="17"/>
      <c r="I291" s="79"/>
      <c r="Z291" s="34"/>
      <c r="AA291" s="34"/>
      <c r="AB291" s="34"/>
      <c r="AC291" s="34"/>
      <c r="AD291" s="34"/>
      <c r="AE291" s="34"/>
      <c r="AF291" s="34"/>
      <c r="AG291" s="34"/>
      <c r="AH291" s="34"/>
      <c r="AI291" s="34"/>
      <c r="AJ291" s="34"/>
      <c r="AK291" s="34"/>
      <c r="AL291" s="34"/>
      <c r="AM291" s="34"/>
      <c r="AN291" s="34"/>
      <c r="AO291" s="34"/>
      <c r="AP291" s="34"/>
      <c r="AQ291" s="34"/>
      <c r="AR291" s="34"/>
    </row>
    <row r="292" spans="1:44" ht="55.5" customHeight="1" x14ac:dyDescent="0.3">
      <c r="A292" s="34">
        <v>531</v>
      </c>
      <c r="B292" s="688" t="s">
        <v>55</v>
      </c>
      <c r="C292" s="4" t="s">
        <v>171</v>
      </c>
      <c r="D292" s="850" t="s">
        <v>1536</v>
      </c>
      <c r="E292" s="686" t="e">
        <f>HLOOKUP($D$2,'2020 Data(H)'!$C$1:$CR$399,181,FALSE)</f>
        <v>#N/A</v>
      </c>
      <c r="F292" s="297">
        <v>0</v>
      </c>
      <c r="G292" s="747">
        <f>IF(F292="","Error: Unit must enter this information if they levy taxes.",)</f>
        <v>0</v>
      </c>
      <c r="H292" s="17"/>
      <c r="I292" s="79"/>
      <c r="Z292" s="34"/>
      <c r="AA292" s="34"/>
      <c r="AB292" s="34"/>
      <c r="AC292" s="34"/>
      <c r="AD292" s="34"/>
      <c r="AE292" s="34"/>
      <c r="AF292" s="34"/>
      <c r="AG292" s="34"/>
      <c r="AH292" s="34"/>
      <c r="AI292" s="34"/>
      <c r="AJ292" s="34"/>
      <c r="AK292" s="34"/>
      <c r="AL292" s="34"/>
      <c r="AM292" s="34"/>
      <c r="AN292" s="34"/>
      <c r="AO292" s="34"/>
      <c r="AP292" s="34"/>
      <c r="AQ292" s="34"/>
      <c r="AR292" s="34"/>
    </row>
    <row r="293" spans="1:44" ht="69" customHeight="1" x14ac:dyDescent="0.3">
      <c r="A293" s="108">
        <v>61</v>
      </c>
      <c r="B293" s="4" t="s">
        <v>59</v>
      </c>
      <c r="C293" s="4" t="s">
        <v>171</v>
      </c>
      <c r="D293" s="29" t="s">
        <v>1537</v>
      </c>
      <c r="E293" s="35" t="e">
        <f>HLOOKUP($D$2,'2020 Data(H)'!$C$1:$CR$399,43,FALSE)</f>
        <v>#N/A</v>
      </c>
      <c r="F293" s="284">
        <v>0</v>
      </c>
      <c r="G293" s="747" t="e">
        <f>IF(F293=H293," ","Please check values in account 528, 529, 530 and  531.")</f>
        <v>#DIV/0!</v>
      </c>
      <c r="H293" s="796" t="e">
        <f>ROUND((F289+F290-F291-F292)/(F289+F290)*100,2)</f>
        <v>#DIV/0!</v>
      </c>
      <c r="I293" s="79"/>
      <c r="Z293" s="108"/>
      <c r="AA293" s="108"/>
      <c r="AB293" s="108"/>
      <c r="AC293" s="108"/>
      <c r="AD293" s="108"/>
      <c r="AE293" s="108"/>
      <c r="AF293" s="108"/>
      <c r="AG293" s="108"/>
      <c r="AH293" s="108"/>
      <c r="AI293" s="108"/>
      <c r="AJ293" s="108"/>
      <c r="AK293" s="108"/>
      <c r="AL293" s="108"/>
      <c r="AM293" s="108"/>
      <c r="AN293" s="108"/>
      <c r="AO293" s="108"/>
      <c r="AP293" s="108"/>
      <c r="AQ293" s="108"/>
      <c r="AR293" s="108"/>
    </row>
    <row r="294" spans="1:44" ht="69" customHeight="1" x14ac:dyDescent="0.3">
      <c r="A294" s="108">
        <v>102</v>
      </c>
      <c r="B294" s="4" t="s">
        <v>59</v>
      </c>
      <c r="C294" s="4" t="s">
        <v>171</v>
      </c>
      <c r="D294" s="60" t="s">
        <v>1538</v>
      </c>
      <c r="E294" s="35" t="e">
        <f>HLOOKUP($D$2,'2020 Data(H)'!$C$1:$CR$399,62,FALSE)</f>
        <v>#N/A</v>
      </c>
      <c r="F294" s="284">
        <v>0</v>
      </c>
      <c r="G294" s="747" t="e">
        <f>IF(F294=H294," ","Please check values in account 528 and 530.")</f>
        <v>#DIV/0!</v>
      </c>
      <c r="H294" s="796" t="e">
        <f>ROUND((F289-F291)/(F289)*100,2)</f>
        <v>#DIV/0!</v>
      </c>
      <c r="I294" s="79"/>
      <c r="Z294" s="108"/>
      <c r="AA294" s="108"/>
      <c r="AB294" s="108"/>
      <c r="AC294" s="108"/>
      <c r="AD294" s="108"/>
      <c r="AE294" s="108"/>
      <c r="AF294" s="108"/>
      <c r="AG294" s="108"/>
      <c r="AH294" s="108"/>
      <c r="AI294" s="108"/>
      <c r="AJ294" s="108"/>
      <c r="AK294" s="108"/>
      <c r="AL294" s="108"/>
      <c r="AM294" s="108"/>
      <c r="AN294" s="108"/>
      <c r="AO294" s="108"/>
      <c r="AP294" s="108"/>
      <c r="AQ294" s="108"/>
      <c r="AR294" s="108"/>
    </row>
    <row r="295" spans="1:44" ht="63.75" customHeight="1" x14ac:dyDescent="0.3">
      <c r="A295" s="108">
        <v>103</v>
      </c>
      <c r="B295" s="4" t="s">
        <v>59</v>
      </c>
      <c r="C295" s="4" t="s">
        <v>171</v>
      </c>
      <c r="D295" s="29" t="s">
        <v>1539</v>
      </c>
      <c r="E295" s="35" t="e">
        <f>HLOOKUP($D$2,'2020 Data(H)'!$C$1:$CR$399,63,FALSE)</f>
        <v>#N/A</v>
      </c>
      <c r="F295" s="284">
        <v>0</v>
      </c>
      <c r="G295" s="747" t="e">
        <f>IF(F295=H295," ","Please check values in account 529 and 531.")</f>
        <v>#DIV/0!</v>
      </c>
      <c r="H295" s="796" t="e">
        <f>ROUND((F290-F292)/F290*100,2)</f>
        <v>#DIV/0!</v>
      </c>
      <c r="I295" s="79"/>
      <c r="M295" s="18" t="s">
        <v>1019</v>
      </c>
      <c r="Z295" s="108"/>
      <c r="AA295" s="108"/>
      <c r="AB295" s="108"/>
      <c r="AC295" s="108"/>
      <c r="AD295" s="108"/>
      <c r="AE295" s="108"/>
      <c r="AF295" s="108"/>
      <c r="AG295" s="108"/>
      <c r="AH295" s="108"/>
      <c r="AI295" s="108"/>
      <c r="AJ295" s="108"/>
      <c r="AK295" s="108"/>
      <c r="AL295" s="108"/>
      <c r="AM295" s="108"/>
      <c r="AN295" s="108"/>
      <c r="AO295" s="108"/>
      <c r="AP295" s="108"/>
      <c r="AQ295" s="108"/>
      <c r="AR295" s="108"/>
    </row>
    <row r="296" spans="1:44" ht="72" customHeight="1" x14ac:dyDescent="0.3">
      <c r="A296" s="108">
        <v>544</v>
      </c>
      <c r="B296" s="688" t="s">
        <v>59</v>
      </c>
      <c r="C296" s="688" t="s">
        <v>171</v>
      </c>
      <c r="D296" s="24" t="s">
        <v>1540</v>
      </c>
      <c r="E296" s="36" t="e">
        <f>HLOOKUP($D$2,'2020 Data(H)'!$C$1:$CR$399,194,FALSE)</f>
        <v>#N/A</v>
      </c>
      <c r="F296" s="368">
        <v>0</v>
      </c>
      <c r="G296" s="747"/>
      <c r="H296" s="17"/>
      <c r="I296" s="108"/>
      <c r="J296" s="851"/>
      <c r="M296" s="18" t="s">
        <v>51</v>
      </c>
      <c r="Z296" s="108"/>
      <c r="AA296" s="108"/>
      <c r="AB296" s="108"/>
      <c r="AC296" s="108"/>
      <c r="AD296" s="108"/>
      <c r="AE296" s="108"/>
      <c r="AF296" s="108"/>
      <c r="AG296" s="108"/>
      <c r="AH296" s="108"/>
      <c r="AI296" s="108"/>
      <c r="AJ296" s="108"/>
      <c r="AK296" s="108"/>
      <c r="AL296" s="108"/>
      <c r="AM296" s="108"/>
      <c r="AN296" s="108"/>
      <c r="AO296" s="108"/>
      <c r="AP296" s="108"/>
      <c r="AQ296" s="108"/>
      <c r="AR296" s="108"/>
    </row>
    <row r="297" spans="1:44" ht="73.5" customHeight="1" x14ac:dyDescent="0.3">
      <c r="A297" s="108">
        <v>545</v>
      </c>
      <c r="B297" s="688" t="s">
        <v>59</v>
      </c>
      <c r="C297" s="688" t="s">
        <v>171</v>
      </c>
      <c r="D297" s="24" t="s">
        <v>1541</v>
      </c>
      <c r="E297" s="1111"/>
      <c r="F297" s="368">
        <v>0</v>
      </c>
      <c r="G297" s="747"/>
      <c r="H297" s="17"/>
      <c r="I297" s="137"/>
      <c r="J297" s="851"/>
      <c r="M297" s="18" t="s">
        <v>52</v>
      </c>
      <c r="Z297" s="108"/>
      <c r="AA297" s="108"/>
      <c r="AB297" s="108"/>
      <c r="AC297" s="108"/>
      <c r="AD297" s="108"/>
      <c r="AE297" s="108"/>
      <c r="AF297" s="108"/>
      <c r="AG297" s="108"/>
      <c r="AH297" s="108"/>
      <c r="AI297" s="108"/>
      <c r="AJ297" s="108"/>
      <c r="AK297" s="108"/>
      <c r="AL297" s="108"/>
      <c r="AM297" s="108"/>
      <c r="AN297" s="108"/>
      <c r="AO297" s="108"/>
      <c r="AP297" s="108"/>
      <c r="AQ297" s="108"/>
      <c r="AR297" s="108"/>
    </row>
    <row r="298" spans="1:44" ht="51.75" customHeight="1" x14ac:dyDescent="0.3">
      <c r="A298" s="125">
        <v>624</v>
      </c>
      <c r="B298" s="124" t="s">
        <v>59</v>
      </c>
      <c r="C298" s="124"/>
      <c r="D298" s="124" t="s">
        <v>718</v>
      </c>
      <c r="E298" s="1111"/>
      <c r="F298" s="273"/>
      <c r="G298" s="789" t="str">
        <f>IF(+F298&lt;1,"Please answer this question","")</f>
        <v>Please answer this question</v>
      </c>
      <c r="H298" s="17"/>
      <c r="I298" s="108"/>
      <c r="J298" s="851"/>
      <c r="M298" s="18" t="s">
        <v>1020</v>
      </c>
      <c r="Z298" s="125"/>
      <c r="AA298" s="125"/>
      <c r="AB298" s="125"/>
      <c r="AC298" s="125"/>
      <c r="AD298" s="125"/>
      <c r="AE298" s="125"/>
      <c r="AF298" s="125"/>
      <c r="AG298" s="125"/>
      <c r="AH298" s="125"/>
      <c r="AI298" s="125"/>
      <c r="AJ298" s="125"/>
      <c r="AK298" s="125"/>
      <c r="AL298" s="125"/>
      <c r="AM298" s="125"/>
      <c r="AN298" s="125"/>
      <c r="AO298" s="125"/>
      <c r="AP298" s="125"/>
      <c r="AQ298" s="125"/>
      <c r="AR298" s="125"/>
    </row>
    <row r="299" spans="1:44" ht="70.5" customHeight="1" x14ac:dyDescent="0.3">
      <c r="A299" s="689">
        <v>648</v>
      </c>
      <c r="B299" s="318" t="s">
        <v>1128</v>
      </c>
      <c r="C299" s="845" t="s">
        <v>171</v>
      </c>
      <c r="D299" s="318" t="s">
        <v>1403</v>
      </c>
      <c r="E299" s="688" t="s">
        <v>1018</v>
      </c>
      <c r="F299" s="368">
        <v>0</v>
      </c>
      <c r="G299" s="789"/>
      <c r="H299" s="17"/>
      <c r="I299" s="108"/>
      <c r="J299" s="851"/>
      <c r="Z299" s="689"/>
      <c r="AA299" s="689"/>
      <c r="AB299" s="689"/>
      <c r="AC299" s="689"/>
      <c r="AD299" s="689"/>
      <c r="AE299" s="689"/>
      <c r="AF299" s="689"/>
      <c r="AG299" s="689"/>
      <c r="AH299" s="689"/>
      <c r="AI299" s="689"/>
      <c r="AJ299" s="689"/>
      <c r="AK299" s="689"/>
      <c r="AL299" s="689"/>
      <c r="AM299" s="689"/>
      <c r="AN299" s="689"/>
      <c r="AO299" s="689"/>
      <c r="AP299" s="689"/>
      <c r="AQ299" s="689"/>
      <c r="AR299" s="689"/>
    </row>
    <row r="300" spans="1:44" ht="171" customHeight="1" x14ac:dyDescent="0.3">
      <c r="A300" s="689">
        <v>991</v>
      </c>
      <c r="B300" s="317" t="s">
        <v>1048</v>
      </c>
      <c r="C300" s="318"/>
      <c r="D300" s="797" t="s">
        <v>1331</v>
      </c>
      <c r="E300" s="688" t="s">
        <v>1018</v>
      </c>
      <c r="F300" s="273"/>
      <c r="G300" s="789"/>
      <c r="H300" s="798" t="s">
        <v>1044</v>
      </c>
      <c r="I300" s="255"/>
      <c r="J300" s="851"/>
      <c r="M300" s="18" t="s">
        <v>1045</v>
      </c>
      <c r="Z300" s="689"/>
      <c r="AA300" s="689"/>
      <c r="AB300" s="689"/>
      <c r="AC300" s="689"/>
      <c r="AD300" s="689"/>
      <c r="AE300" s="689"/>
      <c r="AF300" s="689"/>
      <c r="AG300" s="689"/>
      <c r="AH300" s="689"/>
      <c r="AI300" s="689"/>
      <c r="AJ300" s="689"/>
      <c r="AK300" s="689"/>
      <c r="AL300" s="689"/>
      <c r="AM300" s="689"/>
      <c r="AN300" s="689"/>
      <c r="AO300" s="689"/>
      <c r="AP300" s="689"/>
      <c r="AQ300" s="689"/>
      <c r="AR300" s="689"/>
    </row>
    <row r="301" spans="1:44" ht="27.75" customHeight="1" x14ac:dyDescent="0.3">
      <c r="A301" s="108"/>
      <c r="B301" s="881" t="s">
        <v>702</v>
      </c>
      <c r="C301" s="881"/>
      <c r="D301" s="881"/>
      <c r="E301" s="903"/>
      <c r="F301" s="903"/>
      <c r="G301" s="904"/>
      <c r="H301" s="17"/>
      <c r="I301" s="108"/>
      <c r="J301" s="851"/>
      <c r="M301" s="18" t="s">
        <v>1046</v>
      </c>
      <c r="Z301" s="108"/>
      <c r="AA301" s="108"/>
      <c r="AB301" s="108"/>
      <c r="AC301" s="108"/>
      <c r="AD301" s="108"/>
      <c r="AE301" s="108"/>
      <c r="AF301" s="108"/>
      <c r="AG301" s="108"/>
      <c r="AH301" s="108"/>
      <c r="AI301" s="108"/>
      <c r="AJ301" s="108"/>
      <c r="AK301" s="108"/>
      <c r="AL301" s="108"/>
      <c r="AM301" s="108"/>
      <c r="AN301" s="108"/>
      <c r="AO301" s="108"/>
      <c r="AP301" s="108"/>
      <c r="AQ301" s="108"/>
      <c r="AR301" s="108"/>
    </row>
    <row r="302" spans="1:44" ht="68.25" customHeight="1" x14ac:dyDescent="0.3">
      <c r="A302" s="108">
        <v>620</v>
      </c>
      <c r="B302" s="688" t="s">
        <v>59</v>
      </c>
      <c r="C302" s="688"/>
      <c r="D302" s="24" t="s">
        <v>701</v>
      </c>
      <c r="E302" s="924"/>
      <c r="F302" s="273"/>
      <c r="G302" s="789" t="str">
        <f>IF(F302&lt;1,"Please answer this question","")</f>
        <v>Please answer this question</v>
      </c>
      <c r="H302" s="17"/>
      <c r="I302" s="108"/>
      <c r="J302" s="851"/>
      <c r="M302" s="18" t="s">
        <v>1047</v>
      </c>
      <c r="Z302" s="108"/>
      <c r="AA302" s="108"/>
      <c r="AB302" s="108"/>
      <c r="AC302" s="108"/>
      <c r="AD302" s="108"/>
      <c r="AE302" s="108"/>
      <c r="AF302" s="108"/>
      <c r="AG302" s="108"/>
      <c r="AH302" s="108"/>
      <c r="AI302" s="108"/>
      <c r="AJ302" s="108"/>
      <c r="AK302" s="108"/>
      <c r="AL302" s="108"/>
      <c r="AM302" s="108"/>
      <c r="AN302" s="108"/>
      <c r="AO302" s="108"/>
      <c r="AP302" s="108"/>
      <c r="AQ302" s="108"/>
      <c r="AR302" s="108"/>
    </row>
    <row r="303" spans="1:44" ht="123.75" customHeight="1" x14ac:dyDescent="0.3">
      <c r="A303" s="852"/>
      <c r="B303" s="1177" t="s">
        <v>869</v>
      </c>
      <c r="C303" s="1177"/>
      <c r="D303" s="1177"/>
      <c r="E303" s="917"/>
      <c r="F303" s="917"/>
      <c r="G303" s="917"/>
      <c r="H303" s="17"/>
      <c r="I303" s="108"/>
      <c r="J303" s="851"/>
      <c r="M303" s="18" t="s">
        <v>877</v>
      </c>
      <c r="Z303" s="852"/>
      <c r="AA303" s="852"/>
      <c r="AB303" s="852"/>
      <c r="AC303" s="852"/>
      <c r="AD303" s="852"/>
      <c r="AE303" s="852"/>
      <c r="AF303" s="852"/>
      <c r="AG303" s="852"/>
      <c r="AH303" s="852"/>
      <c r="AI303" s="852"/>
      <c r="AJ303" s="852"/>
      <c r="AK303" s="852"/>
      <c r="AL303" s="852"/>
      <c r="AM303" s="852"/>
      <c r="AN303" s="852"/>
      <c r="AO303" s="852"/>
      <c r="AP303" s="852"/>
      <c r="AQ303" s="852"/>
      <c r="AR303" s="852"/>
    </row>
    <row r="304" spans="1:44" ht="63" customHeight="1" x14ac:dyDescent="0.3">
      <c r="A304" s="310">
        <v>947</v>
      </c>
      <c r="B304" s="853"/>
      <c r="C304" s="853"/>
      <c r="D304" s="175" t="s">
        <v>823</v>
      </c>
      <c r="E304" s="691"/>
      <c r="F304" s="799"/>
      <c r="G304" s="789" t="str">
        <f>IF(ISBLANK(F304),"Please do not leave blank","")</f>
        <v>Please do not leave blank</v>
      </c>
      <c r="H304" s="17"/>
      <c r="I304" s="298"/>
      <c r="J304" s="726"/>
      <c r="K304" s="298"/>
      <c r="L304" s="298"/>
      <c r="M304" s="298"/>
      <c r="O304" s="298"/>
      <c r="Z304" s="310"/>
      <c r="AA304" s="310"/>
      <c r="AB304" s="310"/>
      <c r="AC304" s="310"/>
      <c r="AD304" s="310"/>
      <c r="AE304" s="310"/>
      <c r="AF304" s="310"/>
      <c r="AG304" s="310"/>
      <c r="AH304" s="310"/>
      <c r="AI304" s="310"/>
      <c r="AJ304" s="310"/>
      <c r="AK304" s="310"/>
      <c r="AL304" s="310"/>
      <c r="AM304" s="310"/>
      <c r="AN304" s="310"/>
      <c r="AO304" s="310"/>
      <c r="AP304" s="310"/>
      <c r="AQ304" s="310"/>
      <c r="AR304" s="310"/>
    </row>
    <row r="305" spans="1:44" ht="65.25" customHeight="1" x14ac:dyDescent="0.3">
      <c r="A305" s="310">
        <v>948</v>
      </c>
      <c r="B305" s="853"/>
      <c r="C305" s="853"/>
      <c r="D305" s="175" t="s">
        <v>824</v>
      </c>
      <c r="E305" s="691"/>
      <c r="F305" s="799"/>
      <c r="G305" s="789" t="str">
        <f t="shared" ref="G305:G311" si="3">IF(ISBLANK(F305),"Please do not leave blank","")</f>
        <v>Please do not leave blank</v>
      </c>
      <c r="H305" s="17"/>
      <c r="I305" s="298"/>
      <c r="J305" s="726"/>
      <c r="K305" s="298"/>
      <c r="L305" s="298"/>
      <c r="M305" s="298"/>
      <c r="O305" s="298"/>
      <c r="Z305" s="310"/>
      <c r="AA305" s="310"/>
      <c r="AB305" s="310"/>
      <c r="AC305" s="310"/>
      <c r="AD305" s="310"/>
      <c r="AE305" s="310"/>
      <c r="AF305" s="310"/>
      <c r="AG305" s="310"/>
      <c r="AH305" s="310"/>
      <c r="AI305" s="310"/>
      <c r="AJ305" s="310"/>
      <c r="AK305" s="310"/>
      <c r="AL305" s="310"/>
      <c r="AM305" s="310"/>
      <c r="AN305" s="310"/>
      <c r="AO305" s="310"/>
      <c r="AP305" s="310"/>
      <c r="AQ305" s="310"/>
      <c r="AR305" s="310"/>
    </row>
    <row r="306" spans="1:44" ht="76.5" customHeight="1" x14ac:dyDescent="0.3">
      <c r="A306" s="310">
        <v>949</v>
      </c>
      <c r="B306" s="853"/>
      <c r="C306" s="853"/>
      <c r="D306" s="175" t="s">
        <v>825</v>
      </c>
      <c r="E306" s="691"/>
      <c r="F306" s="799"/>
      <c r="G306" s="789" t="str">
        <f t="shared" si="3"/>
        <v>Please do not leave blank</v>
      </c>
      <c r="H306" s="17"/>
      <c r="I306" s="298"/>
      <c r="J306" s="726"/>
      <c r="K306" s="298"/>
      <c r="L306" s="298"/>
      <c r="M306" s="298"/>
      <c r="O306" s="298"/>
      <c r="Z306" s="310"/>
      <c r="AA306" s="310"/>
      <c r="AB306" s="310"/>
      <c r="AC306" s="310"/>
      <c r="AD306" s="310"/>
      <c r="AE306" s="310"/>
      <c r="AF306" s="310"/>
      <c r="AG306" s="310"/>
      <c r="AH306" s="310"/>
      <c r="AI306" s="310"/>
      <c r="AJ306" s="310"/>
      <c r="AK306" s="310"/>
      <c r="AL306" s="310"/>
      <c r="AM306" s="310"/>
      <c r="AN306" s="310"/>
      <c r="AO306" s="310"/>
      <c r="AP306" s="310"/>
      <c r="AQ306" s="310"/>
      <c r="AR306" s="310"/>
    </row>
    <row r="307" spans="1:44" ht="60" customHeight="1" x14ac:dyDescent="0.3">
      <c r="A307" s="310">
        <v>950</v>
      </c>
      <c r="B307" s="853"/>
      <c r="C307" s="853"/>
      <c r="D307" s="175" t="s">
        <v>807</v>
      </c>
      <c r="E307" s="691"/>
      <c r="F307" s="799"/>
      <c r="G307" s="789" t="str">
        <f t="shared" si="3"/>
        <v>Please do not leave blank</v>
      </c>
      <c r="H307" s="17"/>
      <c r="I307" s="298"/>
      <c r="J307" s="726"/>
      <c r="K307" s="298"/>
      <c r="L307" s="298"/>
      <c r="M307" s="298"/>
      <c r="O307" s="298"/>
      <c r="Z307" s="310"/>
      <c r="AA307" s="310"/>
      <c r="AB307" s="310"/>
      <c r="AC307" s="310"/>
      <c r="AD307" s="310"/>
      <c r="AE307" s="310"/>
      <c r="AF307" s="310"/>
      <c r="AG307" s="310"/>
      <c r="AH307" s="310"/>
      <c r="AI307" s="310"/>
      <c r="AJ307" s="310"/>
      <c r="AK307" s="310"/>
      <c r="AL307" s="310"/>
      <c r="AM307" s="310"/>
      <c r="AN307" s="310"/>
      <c r="AO307" s="310"/>
      <c r="AP307" s="310"/>
      <c r="AQ307" s="310"/>
      <c r="AR307" s="310"/>
    </row>
    <row r="308" spans="1:44" ht="72" x14ac:dyDescent="0.3">
      <c r="A308" s="310">
        <v>952</v>
      </c>
      <c r="B308" s="853"/>
      <c r="C308" s="853"/>
      <c r="D308" s="800" t="s">
        <v>1425</v>
      </c>
      <c r="E308" s="691"/>
      <c r="F308" s="801"/>
      <c r="G308" s="789" t="s">
        <v>1571</v>
      </c>
      <c r="H308" s="17"/>
      <c r="I308" s="802"/>
      <c r="J308" s="726"/>
      <c r="K308" s="298"/>
      <c r="L308" s="298"/>
      <c r="M308" s="298"/>
      <c r="O308" s="298"/>
      <c r="Z308" s="310"/>
      <c r="AA308" s="310"/>
      <c r="AB308" s="310"/>
      <c r="AC308" s="310"/>
      <c r="AD308" s="310"/>
      <c r="AE308" s="310"/>
      <c r="AF308" s="310"/>
      <c r="AG308" s="310"/>
      <c r="AH308" s="310"/>
      <c r="AI308" s="310"/>
      <c r="AJ308" s="310"/>
      <c r="AK308" s="310"/>
      <c r="AL308" s="310"/>
      <c r="AM308" s="310"/>
      <c r="AN308" s="310"/>
      <c r="AO308" s="310"/>
      <c r="AP308" s="310"/>
      <c r="AQ308" s="310"/>
      <c r="AR308" s="310"/>
    </row>
    <row r="309" spans="1:44" ht="93" customHeight="1" x14ac:dyDescent="0.3">
      <c r="A309" s="310">
        <v>954</v>
      </c>
      <c r="B309" s="853"/>
      <c r="C309" s="853"/>
      <c r="D309" s="800" t="s">
        <v>808</v>
      </c>
      <c r="E309" s="691"/>
      <c r="F309" s="799"/>
      <c r="G309" s="789" t="str">
        <f t="shared" si="3"/>
        <v>Please do not leave blank</v>
      </c>
      <c r="H309" s="17"/>
      <c r="I309" s="298"/>
      <c r="J309" s="726"/>
      <c r="K309" s="298"/>
      <c r="L309" s="298"/>
      <c r="M309" s="298"/>
      <c r="O309" s="298"/>
      <c r="Z309" s="310"/>
      <c r="AA309" s="310"/>
      <c r="AB309" s="310"/>
      <c r="AC309" s="310"/>
      <c r="AD309" s="310"/>
      <c r="AE309" s="310"/>
      <c r="AF309" s="310"/>
      <c r="AG309" s="310"/>
      <c r="AH309" s="310"/>
      <c r="AI309" s="310"/>
      <c r="AJ309" s="310"/>
      <c r="AK309" s="310"/>
      <c r="AL309" s="310"/>
      <c r="AM309" s="310"/>
      <c r="AN309" s="310"/>
      <c r="AO309" s="310"/>
      <c r="AP309" s="310"/>
      <c r="AQ309" s="310"/>
      <c r="AR309" s="310"/>
    </row>
    <row r="310" spans="1:44" ht="98.25" customHeight="1" x14ac:dyDescent="0.3">
      <c r="A310" s="310">
        <v>956</v>
      </c>
      <c r="B310" s="853"/>
      <c r="C310" s="853"/>
      <c r="D310" s="800" t="s">
        <v>809</v>
      </c>
      <c r="E310" s="691"/>
      <c r="F310" s="799"/>
      <c r="G310" s="789" t="str">
        <f t="shared" si="3"/>
        <v>Please do not leave blank</v>
      </c>
      <c r="H310" s="17"/>
      <c r="I310" s="298"/>
      <c r="J310" s="303"/>
      <c r="K310" s="298"/>
      <c r="L310" s="298"/>
      <c r="M310" s="298"/>
      <c r="O310" s="298"/>
      <c r="Z310" s="310"/>
      <c r="AA310" s="310"/>
      <c r="AB310" s="310"/>
      <c r="AC310" s="310"/>
      <c r="AD310" s="310"/>
      <c r="AE310" s="310"/>
      <c r="AF310" s="310"/>
      <c r="AG310" s="310"/>
      <c r="AH310" s="310"/>
      <c r="AI310" s="310"/>
      <c r="AJ310" s="310"/>
      <c r="AK310" s="310"/>
      <c r="AL310" s="310"/>
      <c r="AM310" s="310"/>
      <c r="AN310" s="310"/>
      <c r="AO310" s="310"/>
      <c r="AP310" s="310"/>
      <c r="AQ310" s="310"/>
      <c r="AR310" s="310"/>
    </row>
    <row r="311" spans="1:44" ht="218.25" customHeight="1" x14ac:dyDescent="0.3">
      <c r="A311" s="310">
        <v>958</v>
      </c>
      <c r="B311" s="853"/>
      <c r="C311" s="853"/>
      <c r="D311" s="797" t="s">
        <v>1270</v>
      </c>
      <c r="E311" s="691"/>
      <c r="F311" s="799"/>
      <c r="G311" s="789" t="str">
        <f t="shared" si="3"/>
        <v>Please do not leave blank</v>
      </c>
      <c r="H311" s="17"/>
      <c r="I311" s="298"/>
      <c r="J311" s="298"/>
      <c r="K311" s="298"/>
      <c r="L311" s="298"/>
      <c r="M311" s="298"/>
      <c r="O311" s="298"/>
      <c r="Z311" s="310"/>
      <c r="AA311" s="310"/>
      <c r="AB311" s="310"/>
      <c r="AC311" s="310"/>
      <c r="AD311" s="310"/>
      <c r="AE311" s="310"/>
      <c r="AF311" s="310"/>
      <c r="AG311" s="310"/>
      <c r="AH311" s="310"/>
      <c r="AI311" s="310"/>
      <c r="AJ311" s="310"/>
      <c r="AK311" s="310"/>
      <c r="AL311" s="310"/>
      <c r="AM311" s="310"/>
      <c r="AN311" s="310"/>
      <c r="AO311" s="310"/>
      <c r="AP311" s="310"/>
      <c r="AQ311" s="310"/>
      <c r="AR311" s="310"/>
    </row>
    <row r="312" spans="1:44" ht="15" thickBot="1" x14ac:dyDescent="0.35">
      <c r="A312" s="108"/>
      <c r="B312" s="905"/>
      <c r="C312" s="906"/>
      <c r="D312" s="907" t="s">
        <v>811</v>
      </c>
      <c r="E312" s="891"/>
      <c r="F312" s="908"/>
      <c r="G312" s="909"/>
      <c r="H312" s="910"/>
      <c r="I312" s="298"/>
      <c r="J312" s="298"/>
      <c r="K312" s="298"/>
      <c r="L312" s="298"/>
      <c r="M312" s="298"/>
      <c r="O312" s="298"/>
      <c r="Z312" s="108"/>
      <c r="AA312" s="108"/>
      <c r="AB312" s="108"/>
      <c r="AC312" s="108"/>
      <c r="AD312" s="108"/>
      <c r="AE312" s="108"/>
      <c r="AF312" s="108"/>
      <c r="AG312" s="108"/>
      <c r="AH312" s="108"/>
      <c r="AI312" s="108"/>
      <c r="AJ312" s="108"/>
      <c r="AK312" s="108"/>
      <c r="AL312" s="108"/>
      <c r="AM312" s="108"/>
      <c r="AN312" s="108"/>
      <c r="AO312" s="108"/>
      <c r="AP312" s="108"/>
      <c r="AQ312" s="108"/>
      <c r="AR312" s="108"/>
    </row>
    <row r="313" spans="1:44" ht="15" thickBot="1" x14ac:dyDescent="0.35">
      <c r="B313" s="1174" t="s">
        <v>870</v>
      </c>
      <c r="C313" s="1175"/>
      <c r="D313" s="1175"/>
      <c r="E313" s="1176"/>
      <c r="F313" s="79"/>
      <c r="G313" s="789"/>
      <c r="H313" s="17"/>
      <c r="I313" s="108"/>
      <c r="Z313" s="18"/>
    </row>
    <row r="314" spans="1:44" ht="75.75" customHeight="1" x14ac:dyDescent="0.3">
      <c r="B314" s="1178" t="s">
        <v>871</v>
      </c>
      <c r="C314" s="1178"/>
      <c r="D314" s="1178"/>
      <c r="E314" s="1178"/>
      <c r="F314" s="79"/>
      <c r="G314" s="789"/>
      <c r="H314" s="17"/>
      <c r="I314" s="108"/>
      <c r="Z314" s="18"/>
    </row>
    <row r="315" spans="1:44" ht="15" thickBot="1" x14ac:dyDescent="0.35">
      <c r="A315" s="803"/>
      <c r="B315" s="804"/>
      <c r="C315" s="804"/>
      <c r="D315" s="805"/>
      <c r="E315" s="686"/>
      <c r="F315" s="79"/>
      <c r="G315" s="789"/>
      <c r="H315" s="17"/>
      <c r="I315" s="108"/>
      <c r="Z315" s="803"/>
      <c r="AA315" s="803"/>
      <c r="AB315" s="803"/>
      <c r="AC315" s="803"/>
      <c r="AD315" s="803"/>
      <c r="AE315" s="803"/>
      <c r="AF315" s="803"/>
      <c r="AG315" s="803"/>
      <c r="AH315" s="803"/>
      <c r="AI315" s="803"/>
      <c r="AJ315" s="803"/>
      <c r="AK315" s="803"/>
      <c r="AL315" s="803"/>
      <c r="AM315" s="803"/>
      <c r="AN315" s="803"/>
      <c r="AO315" s="803"/>
      <c r="AP315" s="803"/>
      <c r="AQ315" s="803"/>
      <c r="AR315" s="803"/>
    </row>
    <row r="316" spans="1:44" ht="15" thickBot="1" x14ac:dyDescent="0.35">
      <c r="B316" s="159" t="s">
        <v>783</v>
      </c>
      <c r="C316" s="160" t="s">
        <v>784</v>
      </c>
      <c r="D316" s="806"/>
      <c r="E316" s="807"/>
      <c r="F316" s="100"/>
      <c r="G316" s="789"/>
      <c r="H316" s="17"/>
      <c r="I316" s="108"/>
      <c r="Z316" s="18"/>
    </row>
    <row r="317" spans="1:44" ht="44.25" customHeight="1" thickBot="1" x14ac:dyDescent="0.35">
      <c r="B317" s="163" t="s">
        <v>829</v>
      </c>
      <c r="C317" s="162"/>
      <c r="D317" s="161"/>
      <c r="E317" s="692"/>
      <c r="F317" s="808"/>
      <c r="G317" s="789"/>
      <c r="H317" s="17"/>
      <c r="I317" s="108"/>
      <c r="Z317" s="18"/>
    </row>
    <row r="318" spans="1:44" ht="44.25" customHeight="1" thickBot="1" x14ac:dyDescent="0.35">
      <c r="B318" s="163"/>
      <c r="C318" s="174"/>
      <c r="D318" s="809" t="s">
        <v>859</v>
      </c>
      <c r="E318" s="810"/>
      <c r="F318" s="811"/>
      <c r="G318" s="811"/>
      <c r="H318" s="17"/>
      <c r="I318" s="108"/>
      <c r="Z318" s="18"/>
    </row>
    <row r="319" spans="1:44" ht="64.5" customHeight="1" thickBot="1" x14ac:dyDescent="0.35">
      <c r="A319" s="576">
        <v>960</v>
      </c>
      <c r="B319" s="1183" t="s">
        <v>830</v>
      </c>
      <c r="C319" s="1184"/>
      <c r="D319" s="812"/>
      <c r="E319" s="918" t="str">
        <f>IF(ISBLANK($D319),"&lt;&lt;&lt;&lt;&lt;&lt;&lt;&lt;&lt;&lt;&lt;&lt;&lt;&lt;&lt;","")</f>
        <v>&lt;&lt;&lt;&lt;&lt;&lt;&lt;&lt;&lt;&lt;&lt;&lt;&lt;&lt;&lt;</v>
      </c>
      <c r="F319" s="919" t="str">
        <f>IF(ISBLANK($D319),"Required","")</f>
        <v>Required</v>
      </c>
      <c r="G319" s="921"/>
      <c r="H319" s="748"/>
      <c r="I319" s="108"/>
      <c r="Z319" s="576"/>
      <c r="AA319" s="576"/>
      <c r="AB319" s="576"/>
      <c r="AC319" s="576"/>
      <c r="AD319" s="576"/>
      <c r="AE319" s="576"/>
      <c r="AF319" s="576"/>
      <c r="AG319" s="576"/>
      <c r="AH319" s="576"/>
      <c r="AI319" s="576"/>
      <c r="AJ319" s="576"/>
      <c r="AK319" s="576"/>
      <c r="AL319" s="576"/>
      <c r="AM319" s="576"/>
      <c r="AN319" s="576"/>
      <c r="AO319" s="576"/>
      <c r="AP319" s="576"/>
      <c r="AQ319" s="576"/>
      <c r="AR319" s="576"/>
    </row>
    <row r="320" spans="1:44" ht="30.75" customHeight="1" thickBot="1" x14ac:dyDescent="0.35">
      <c r="A320" s="576">
        <v>962</v>
      </c>
      <c r="B320" s="1179" t="s">
        <v>785</v>
      </c>
      <c r="C320" s="1180"/>
      <c r="D320" s="812"/>
      <c r="E320" s="918" t="str">
        <f>IF(ISBLANK($D320),"&lt;&lt;&lt;&lt;&lt;&lt;&lt;&lt;&lt;&lt;&lt;&lt;&lt;&lt;&lt;","")</f>
        <v>&lt;&lt;&lt;&lt;&lt;&lt;&lt;&lt;&lt;&lt;&lt;&lt;&lt;&lt;&lt;</v>
      </c>
      <c r="F320" s="919" t="str">
        <f>IF(ISBLANK($D320),"Required","")</f>
        <v>Required</v>
      </c>
      <c r="H320" s="17"/>
      <c r="I320" s="108"/>
      <c r="Z320" s="576"/>
      <c r="AA320" s="576"/>
      <c r="AB320" s="576"/>
      <c r="AC320" s="576"/>
      <c r="AD320" s="576"/>
      <c r="AE320" s="576"/>
      <c r="AF320" s="576"/>
      <c r="AG320" s="576"/>
      <c r="AH320" s="576"/>
      <c r="AI320" s="576"/>
      <c r="AJ320" s="576"/>
      <c r="AK320" s="576"/>
      <c r="AL320" s="576"/>
      <c r="AM320" s="576"/>
      <c r="AN320" s="576"/>
      <c r="AO320" s="576"/>
      <c r="AP320" s="576"/>
      <c r="AQ320" s="576"/>
      <c r="AR320" s="576"/>
    </row>
    <row r="321" spans="1:44" ht="30.75" customHeight="1" thickBot="1" x14ac:dyDescent="0.35">
      <c r="A321" s="576">
        <v>964</v>
      </c>
      <c r="B321" s="1179" t="s">
        <v>786</v>
      </c>
      <c r="C321" s="1180"/>
      <c r="D321" s="813"/>
      <c r="E321" s="918" t="str">
        <f>IF(ISBLANK($D321),"&lt;&lt;&lt;&lt;&lt;&lt;&lt;&lt;&lt;&lt;&lt;&lt;&lt;&lt;&lt;","")</f>
        <v>&lt;&lt;&lt;&lt;&lt;&lt;&lt;&lt;&lt;&lt;&lt;&lt;&lt;&lt;&lt;</v>
      </c>
      <c r="F321" s="919" t="str">
        <f>IF(ISBLANK($D321),"Required","")</f>
        <v>Required</v>
      </c>
      <c r="H321" s="17"/>
      <c r="I321" s="369"/>
      <c r="Z321" s="576"/>
      <c r="AA321" s="576"/>
      <c r="AB321" s="576"/>
      <c r="AC321" s="576"/>
      <c r="AD321" s="576"/>
      <c r="AE321" s="576"/>
      <c r="AF321" s="576"/>
      <c r="AG321" s="576"/>
      <c r="AH321" s="576"/>
      <c r="AI321" s="576"/>
      <c r="AJ321" s="576"/>
      <c r="AK321" s="576"/>
      <c r="AL321" s="576"/>
      <c r="AM321" s="576"/>
      <c r="AN321" s="576"/>
      <c r="AO321" s="576"/>
      <c r="AP321" s="576"/>
      <c r="AQ321" s="576"/>
      <c r="AR321" s="576"/>
    </row>
    <row r="322" spans="1:44" ht="30.75" customHeight="1" thickBot="1" x14ac:dyDescent="0.35">
      <c r="A322" s="576">
        <v>966</v>
      </c>
      <c r="B322" s="1179" t="s">
        <v>787</v>
      </c>
      <c r="C322" s="1180"/>
      <c r="D322" s="812"/>
      <c r="E322" s="918" t="str">
        <f>IF(ISBLANK($D322),"&lt;&lt;&lt;&lt;&lt;&lt;&lt;&lt;&lt;&lt;&lt;&lt;&lt;&lt;&lt;","")</f>
        <v>&lt;&lt;&lt;&lt;&lt;&lt;&lt;&lt;&lt;&lt;&lt;&lt;&lt;&lt;&lt;</v>
      </c>
      <c r="F322" s="919" t="str">
        <f>IF(ISBLANK($D322),"Required","")</f>
        <v>Required</v>
      </c>
      <c r="H322" s="17"/>
      <c r="I322" s="108"/>
      <c r="Z322" s="576"/>
      <c r="AA322" s="576"/>
      <c r="AB322" s="576"/>
      <c r="AC322" s="576"/>
      <c r="AD322" s="576"/>
      <c r="AE322" s="576"/>
      <c r="AF322" s="576"/>
      <c r="AG322" s="576"/>
      <c r="AH322" s="576"/>
      <c r="AI322" s="576"/>
      <c r="AJ322" s="576"/>
      <c r="AK322" s="576"/>
      <c r="AL322" s="576"/>
      <c r="AM322" s="576"/>
      <c r="AN322" s="576"/>
      <c r="AO322" s="576"/>
      <c r="AP322" s="576"/>
      <c r="AQ322" s="576"/>
      <c r="AR322" s="576"/>
    </row>
    <row r="323" spans="1:44" ht="30.75" customHeight="1" thickBot="1" x14ac:dyDescent="0.35">
      <c r="A323" s="576">
        <v>968</v>
      </c>
      <c r="B323" s="1181" t="s">
        <v>788</v>
      </c>
      <c r="C323" s="1182"/>
      <c r="D323" s="814"/>
      <c r="E323" s="920" t="str">
        <f>IF(ISBLANK($D323),"&lt;&lt;&lt;&lt;&lt;&lt;&lt;&lt;&lt;&lt;&lt;&lt;&lt;&lt;&lt;","")</f>
        <v>&lt;&lt;&lt;&lt;&lt;&lt;&lt;&lt;&lt;&lt;&lt;&lt;&lt;&lt;&lt;</v>
      </c>
      <c r="F323" s="919" t="str">
        <f>IF(ISBLANK($D323),"Required","")</f>
        <v>Required</v>
      </c>
      <c r="H323" s="17"/>
      <c r="I323" s="108"/>
      <c r="Z323" s="576"/>
      <c r="AA323" s="576"/>
      <c r="AB323" s="576"/>
      <c r="AC323" s="576"/>
      <c r="AD323" s="576"/>
      <c r="AE323" s="576"/>
      <c r="AF323" s="576"/>
      <c r="AG323" s="576"/>
      <c r="AH323" s="576"/>
      <c r="AI323" s="576"/>
      <c r="AJ323" s="576"/>
      <c r="AK323" s="576"/>
      <c r="AL323" s="576"/>
      <c r="AM323" s="576"/>
      <c r="AN323" s="576"/>
      <c r="AO323" s="576"/>
      <c r="AP323" s="576"/>
      <c r="AQ323" s="576"/>
      <c r="AR323" s="576"/>
    </row>
    <row r="324" spans="1:44" x14ac:dyDescent="0.3">
      <c r="A324" s="108"/>
      <c r="B324" s="911"/>
      <c r="C324" s="911"/>
      <c r="D324" s="922" t="s">
        <v>46</v>
      </c>
      <c r="E324" s="912"/>
      <c r="F324" s="912"/>
      <c r="G324" s="912"/>
      <c r="H324" s="913"/>
      <c r="I324" s="108"/>
    </row>
    <row r="325" spans="1:44" x14ac:dyDescent="0.3">
      <c r="A325" s="108"/>
      <c r="B325" s="688"/>
      <c r="C325" s="688"/>
      <c r="D325" s="172"/>
      <c r="E325" s="300"/>
      <c r="F325" s="815"/>
      <c r="G325" s="815"/>
      <c r="H325" s="17"/>
      <c r="I325" s="108"/>
    </row>
    <row r="326" spans="1:44" x14ac:dyDescent="0.3">
      <c r="A326" s="108"/>
      <c r="B326" s="688"/>
      <c r="C326" s="688"/>
      <c r="D326" s="24"/>
      <c r="E326" s="686"/>
      <c r="F326" s="815"/>
      <c r="G326" s="815"/>
      <c r="H326" s="17"/>
      <c r="I326" s="108"/>
    </row>
    <row r="327" spans="1:44" x14ac:dyDescent="0.3">
      <c r="A327" s="1106">
        <f>SUBTOTAL(109,A7:A323)</f>
        <v>96734</v>
      </c>
    </row>
    <row r="328" spans="1:44" x14ac:dyDescent="0.3">
      <c r="A328" s="108"/>
      <c r="B328" s="854"/>
      <c r="C328" s="854"/>
      <c r="D328" s="816"/>
      <c r="E328" s="414"/>
      <c r="F328" s="18"/>
      <c r="G328" s="817"/>
      <c r="H328" s="17"/>
      <c r="I328" s="108"/>
    </row>
    <row r="329" spans="1:44" x14ac:dyDescent="0.3">
      <c r="A329" s="576"/>
      <c r="B329" s="576"/>
      <c r="C329" s="576"/>
      <c r="D329" s="816"/>
      <c r="E329" s="414"/>
      <c r="F329" s="298"/>
      <c r="G329" s="817"/>
      <c r="H329" s="17"/>
      <c r="I329" s="108"/>
    </row>
    <row r="330" spans="1:44" x14ac:dyDescent="0.3">
      <c r="A330" s="576"/>
      <c r="B330" s="576"/>
      <c r="C330" s="576"/>
      <c r="D330" s="818"/>
      <c r="E330" s="414"/>
      <c r="F330" s="298"/>
      <c r="G330" s="817"/>
      <c r="H330" s="17"/>
      <c r="I330" s="108"/>
    </row>
    <row r="331" spans="1:44" x14ac:dyDescent="0.3">
      <c r="A331" s="576"/>
      <c r="B331" s="576"/>
      <c r="C331" s="576"/>
      <c r="D331" s="818"/>
      <c r="E331" s="414"/>
      <c r="F331" s="298"/>
      <c r="G331" s="817"/>
      <c r="H331" s="17"/>
      <c r="I331" s="108"/>
    </row>
    <row r="332" spans="1:44" x14ac:dyDescent="0.3">
      <c r="A332" s="576"/>
      <c r="B332" s="576"/>
      <c r="C332" s="576"/>
      <c r="D332" s="818"/>
      <c r="E332" s="414"/>
      <c r="F332" s="298"/>
      <c r="G332" s="817"/>
      <c r="H332" s="17"/>
      <c r="I332" s="108"/>
    </row>
    <row r="333" spans="1:44" x14ac:dyDescent="0.3">
      <c r="A333" s="576"/>
      <c r="B333" s="576"/>
      <c r="C333" s="576"/>
      <c r="D333" s="818"/>
      <c r="E333" s="414"/>
      <c r="F333" s="298"/>
      <c r="G333" s="817"/>
      <c r="H333" s="17"/>
      <c r="I333" s="108"/>
    </row>
    <row r="334" spans="1:44" x14ac:dyDescent="0.3">
      <c r="A334" s="576"/>
      <c r="D334" s="616"/>
      <c r="E334" s="414"/>
      <c r="F334" s="298"/>
      <c r="H334" s="17"/>
      <c r="I334" s="108"/>
    </row>
    <row r="335" spans="1:44" x14ac:dyDescent="0.3">
      <c r="D335" s="616"/>
      <c r="E335" s="415"/>
      <c r="F335" s="298"/>
      <c r="H335" s="17"/>
      <c r="I335" s="108"/>
    </row>
    <row r="336" spans="1:44" x14ac:dyDescent="0.3">
      <c r="D336" s="616"/>
      <c r="E336" s="414"/>
      <c r="F336" s="298"/>
      <c r="H336" s="17"/>
      <c r="I336" s="108"/>
    </row>
    <row r="337" spans="4:12" x14ac:dyDescent="0.3">
      <c r="D337" s="616"/>
      <c r="E337" s="300"/>
      <c r="F337" s="298"/>
      <c r="I337" s="108"/>
    </row>
    <row r="338" spans="4:12" x14ac:dyDescent="0.3">
      <c r="E338" s="300"/>
      <c r="F338" s="298"/>
      <c r="G338" s="820"/>
      <c r="I338" s="108"/>
    </row>
    <row r="339" spans="4:12" x14ac:dyDescent="0.3">
      <c r="E339" s="300"/>
      <c r="F339" s="298"/>
      <c r="I339" s="108"/>
    </row>
    <row r="340" spans="4:12" x14ac:dyDescent="0.3">
      <c r="E340" s="300"/>
      <c r="F340" s="298"/>
      <c r="I340" s="108"/>
    </row>
    <row r="341" spans="4:12" x14ac:dyDescent="0.3">
      <c r="E341" s="300"/>
      <c r="F341" s="298"/>
      <c r="I341" s="108"/>
    </row>
    <row r="342" spans="4:12" x14ac:dyDescent="0.3">
      <c r="I342" s="108"/>
    </row>
    <row r="343" spans="4:12" x14ac:dyDescent="0.3">
      <c r="I343" s="108"/>
    </row>
    <row r="344" spans="4:12" x14ac:dyDescent="0.3">
      <c r="I344" s="108"/>
    </row>
    <row r="345" spans="4:12" x14ac:dyDescent="0.3">
      <c r="I345" s="108"/>
    </row>
    <row r="346" spans="4:12" x14ac:dyDescent="0.3">
      <c r="I346" s="108"/>
    </row>
    <row r="347" spans="4:12" x14ac:dyDescent="0.3">
      <c r="I347" s="108"/>
    </row>
    <row r="348" spans="4:12" x14ac:dyDescent="0.3">
      <c r="I348" s="108"/>
    </row>
    <row r="349" spans="4:12" x14ac:dyDescent="0.3">
      <c r="I349" s="298"/>
    </row>
    <row r="350" spans="4:12" x14ac:dyDescent="0.3">
      <c r="I350" s="298"/>
      <c r="K350" s="300"/>
      <c r="L350" s="300"/>
    </row>
    <row r="351" spans="4:12" x14ac:dyDescent="0.3">
      <c r="I351" s="298"/>
      <c r="K351" s="300"/>
      <c r="L351" s="300"/>
    </row>
    <row r="352" spans="4:12" x14ac:dyDescent="0.3">
      <c r="I352" s="298"/>
      <c r="K352" s="300"/>
      <c r="L352" s="300"/>
    </row>
    <row r="353" spans="9:12" x14ac:dyDescent="0.3">
      <c r="I353" s="298"/>
      <c r="K353" s="300"/>
      <c r="L353" s="300"/>
    </row>
    <row r="354" spans="9:12" x14ac:dyDescent="0.3">
      <c r="I354" s="298"/>
      <c r="K354" s="300"/>
      <c r="L354" s="300"/>
    </row>
    <row r="355" spans="9:12" x14ac:dyDescent="0.3">
      <c r="I355" s="298"/>
      <c r="K355" s="300"/>
      <c r="L355" s="300"/>
    </row>
    <row r="356" spans="9:12" x14ac:dyDescent="0.3">
      <c r="I356" s="108"/>
      <c r="K356" s="300"/>
      <c r="L356" s="300"/>
    </row>
    <row r="357" spans="9:12" x14ac:dyDescent="0.3">
      <c r="I357" s="108"/>
      <c r="K357" s="300"/>
      <c r="L357" s="300"/>
    </row>
    <row r="358" spans="9:12" x14ac:dyDescent="0.3">
      <c r="I358" s="108"/>
      <c r="J358" s="300"/>
      <c r="K358" s="300"/>
      <c r="L358" s="300"/>
    </row>
    <row r="359" spans="9:12" x14ac:dyDescent="0.3">
      <c r="I359" s="108"/>
      <c r="J359" s="300"/>
      <c r="K359" s="300"/>
      <c r="L359" s="300"/>
    </row>
    <row r="360" spans="9:12" x14ac:dyDescent="0.3">
      <c r="I360" s="108"/>
      <c r="J360" s="300"/>
      <c r="K360" s="300"/>
      <c r="L360" s="300"/>
    </row>
    <row r="361" spans="9:12" x14ac:dyDescent="0.3">
      <c r="I361" s="108"/>
      <c r="J361" s="300"/>
      <c r="K361" s="300"/>
      <c r="L361" s="300"/>
    </row>
    <row r="362" spans="9:12" x14ac:dyDescent="0.3">
      <c r="I362" s="108"/>
      <c r="J362" s="300"/>
      <c r="K362" s="300"/>
      <c r="L362" s="300"/>
    </row>
    <row r="363" spans="9:12" x14ac:dyDescent="0.3">
      <c r="I363" s="108"/>
      <c r="J363" s="300"/>
      <c r="K363" s="300"/>
      <c r="L363" s="300"/>
    </row>
    <row r="364" spans="9:12" x14ac:dyDescent="0.3">
      <c r="I364" s="108"/>
      <c r="J364" s="300"/>
      <c r="K364" s="300"/>
      <c r="L364" s="300"/>
    </row>
    <row r="365" spans="9:12" x14ac:dyDescent="0.3">
      <c r="I365" s="298"/>
      <c r="J365" s="300"/>
      <c r="K365" s="300"/>
      <c r="L365" s="300"/>
    </row>
    <row r="366" spans="9:12" x14ac:dyDescent="0.3">
      <c r="I366" s="298"/>
      <c r="J366" s="300"/>
      <c r="K366" s="300"/>
      <c r="L366" s="300"/>
    </row>
    <row r="367" spans="9:12" x14ac:dyDescent="0.3">
      <c r="I367" s="298"/>
      <c r="J367" s="300"/>
      <c r="K367" s="300"/>
      <c r="L367" s="300"/>
    </row>
    <row r="368" spans="9:12" x14ac:dyDescent="0.3">
      <c r="I368" s="298"/>
      <c r="J368" s="300"/>
      <c r="K368" s="300"/>
      <c r="L368" s="300"/>
    </row>
    <row r="369" spans="9:12" x14ac:dyDescent="0.3">
      <c r="I369" s="298"/>
      <c r="J369" s="300"/>
      <c r="K369" s="300"/>
      <c r="L369" s="300"/>
    </row>
    <row r="370" spans="9:12" x14ac:dyDescent="0.3">
      <c r="I370" s="298"/>
      <c r="J370" s="300"/>
      <c r="K370" s="300"/>
      <c r="L370" s="300"/>
    </row>
    <row r="371" spans="9:12" x14ac:dyDescent="0.3">
      <c r="I371" s="298"/>
      <c r="J371" s="300"/>
      <c r="K371" s="300"/>
      <c r="L371" s="300"/>
    </row>
    <row r="372" spans="9:12" x14ac:dyDescent="0.3">
      <c r="I372" s="298"/>
      <c r="J372" s="300"/>
      <c r="K372" s="300"/>
      <c r="L372" s="300"/>
    </row>
    <row r="373" spans="9:12" x14ac:dyDescent="0.3">
      <c r="I373" s="298"/>
      <c r="J373" s="300"/>
      <c r="K373" s="300"/>
      <c r="L373" s="300"/>
    </row>
    <row r="374" spans="9:12" x14ac:dyDescent="0.3">
      <c r="I374" s="298"/>
      <c r="J374" s="300"/>
      <c r="K374" s="300"/>
      <c r="L374" s="300"/>
    </row>
    <row r="375" spans="9:12" x14ac:dyDescent="0.3">
      <c r="I375" s="298"/>
      <c r="J375" s="300"/>
      <c r="K375" s="300"/>
      <c r="L375" s="300"/>
    </row>
    <row r="376" spans="9:12" x14ac:dyDescent="0.3">
      <c r="I376" s="298"/>
      <c r="J376" s="300"/>
      <c r="K376" s="300"/>
      <c r="L376" s="300"/>
    </row>
    <row r="377" spans="9:12" x14ac:dyDescent="0.3">
      <c r="I377" s="298"/>
      <c r="J377" s="300"/>
      <c r="K377" s="300"/>
      <c r="L377" s="300"/>
    </row>
    <row r="378" spans="9:12" x14ac:dyDescent="0.3">
      <c r="I378" s="298"/>
      <c r="J378" s="300"/>
      <c r="K378" s="300"/>
      <c r="L378" s="300"/>
    </row>
    <row r="379" spans="9:12" x14ac:dyDescent="0.3">
      <c r="I379" s="298"/>
      <c r="J379" s="300"/>
      <c r="K379" s="300"/>
      <c r="L379" s="300"/>
    </row>
    <row r="380" spans="9:12" x14ac:dyDescent="0.3">
      <c r="I380" s="298"/>
      <c r="J380" s="300"/>
      <c r="K380" s="300"/>
      <c r="L380" s="300"/>
    </row>
    <row r="381" spans="9:12" x14ac:dyDescent="0.3">
      <c r="I381" s="298"/>
      <c r="J381" s="300"/>
      <c r="K381" s="300"/>
      <c r="L381" s="300"/>
    </row>
    <row r="382" spans="9:12" x14ac:dyDescent="0.3">
      <c r="I382" s="298"/>
      <c r="J382" s="300"/>
      <c r="K382" s="300"/>
      <c r="L382" s="300"/>
    </row>
    <row r="383" spans="9:12" x14ac:dyDescent="0.3">
      <c r="I383" s="298"/>
      <c r="J383" s="300"/>
      <c r="K383" s="300"/>
      <c r="L383" s="300"/>
    </row>
    <row r="384" spans="9:12" x14ac:dyDescent="0.3">
      <c r="I384" s="298"/>
      <c r="J384" s="300"/>
      <c r="K384" s="300"/>
      <c r="L384" s="300"/>
    </row>
    <row r="385" spans="9:12" x14ac:dyDescent="0.3">
      <c r="I385" s="298"/>
      <c r="J385" s="300"/>
      <c r="K385" s="300"/>
      <c r="L385" s="300"/>
    </row>
    <row r="386" spans="9:12" x14ac:dyDescent="0.3">
      <c r="I386" s="298"/>
      <c r="J386" s="300"/>
      <c r="K386" s="300"/>
      <c r="L386" s="300"/>
    </row>
    <row r="387" spans="9:12" x14ac:dyDescent="0.3">
      <c r="I387" s="298"/>
      <c r="J387" s="300"/>
      <c r="K387" s="300"/>
      <c r="L387" s="300"/>
    </row>
    <row r="388" spans="9:12" x14ac:dyDescent="0.3">
      <c r="I388" s="298"/>
      <c r="J388" s="300"/>
      <c r="K388" s="300"/>
      <c r="L388" s="300"/>
    </row>
    <row r="389" spans="9:12" x14ac:dyDescent="0.3">
      <c r="I389" s="298"/>
      <c r="J389" s="300"/>
      <c r="K389" s="300"/>
      <c r="L389" s="300"/>
    </row>
    <row r="390" spans="9:12" x14ac:dyDescent="0.3">
      <c r="I390" s="298"/>
      <c r="J390" s="300"/>
      <c r="K390" s="300"/>
      <c r="L390" s="300"/>
    </row>
    <row r="391" spans="9:12" x14ac:dyDescent="0.3">
      <c r="I391" s="298"/>
      <c r="J391" s="300"/>
      <c r="K391" s="300"/>
      <c r="L391" s="300"/>
    </row>
    <row r="392" spans="9:12" x14ac:dyDescent="0.3">
      <c r="I392" s="298"/>
      <c r="J392" s="300"/>
      <c r="K392" s="300"/>
      <c r="L392" s="300"/>
    </row>
    <row r="393" spans="9:12" x14ac:dyDescent="0.3">
      <c r="I393" s="298"/>
      <c r="J393" s="300"/>
      <c r="K393" s="300"/>
      <c r="L393" s="300"/>
    </row>
    <row r="394" spans="9:12" x14ac:dyDescent="0.3">
      <c r="I394" s="298"/>
      <c r="J394" s="300"/>
      <c r="K394" s="300"/>
      <c r="L394" s="300"/>
    </row>
    <row r="395" spans="9:12" x14ac:dyDescent="0.3">
      <c r="I395" s="298"/>
      <c r="J395" s="300"/>
      <c r="K395" s="300"/>
      <c r="L395" s="300"/>
    </row>
    <row r="396" spans="9:12" x14ac:dyDescent="0.3">
      <c r="I396" s="298"/>
      <c r="J396" s="300"/>
      <c r="K396" s="300"/>
      <c r="L396" s="300"/>
    </row>
    <row r="397" spans="9:12" x14ac:dyDescent="0.3">
      <c r="I397" s="298"/>
      <c r="J397" s="300"/>
      <c r="K397" s="300"/>
      <c r="L397" s="300"/>
    </row>
    <row r="398" spans="9:12" x14ac:dyDescent="0.3">
      <c r="I398" s="298"/>
      <c r="J398" s="300"/>
      <c r="K398" s="300"/>
      <c r="L398" s="300"/>
    </row>
    <row r="399" spans="9:12" x14ac:dyDescent="0.3">
      <c r="I399" s="298"/>
      <c r="J399" s="300"/>
      <c r="K399" s="300"/>
      <c r="L399" s="300"/>
    </row>
    <row r="400" spans="9:12" x14ac:dyDescent="0.3">
      <c r="I400" s="298"/>
      <c r="J400" s="300"/>
      <c r="K400" s="300"/>
      <c r="L400" s="300"/>
    </row>
    <row r="401" spans="9:12" x14ac:dyDescent="0.3">
      <c r="I401" s="298"/>
      <c r="J401" s="300"/>
      <c r="K401" s="300"/>
      <c r="L401" s="300"/>
    </row>
    <row r="402" spans="9:12" x14ac:dyDescent="0.3">
      <c r="I402" s="298"/>
      <c r="J402" s="300"/>
      <c r="K402" s="300"/>
      <c r="L402" s="300"/>
    </row>
    <row r="403" spans="9:12" x14ac:dyDescent="0.3">
      <c r="I403" s="298"/>
      <c r="J403" s="300"/>
      <c r="K403" s="300"/>
      <c r="L403" s="300"/>
    </row>
    <row r="404" spans="9:12" x14ac:dyDescent="0.3">
      <c r="I404" s="298"/>
      <c r="J404" s="300"/>
      <c r="K404" s="300"/>
      <c r="L404" s="300"/>
    </row>
    <row r="405" spans="9:12" x14ac:dyDescent="0.3">
      <c r="I405" s="298"/>
      <c r="J405" s="300"/>
      <c r="K405" s="300"/>
      <c r="L405" s="300"/>
    </row>
    <row r="406" spans="9:12" x14ac:dyDescent="0.3">
      <c r="I406" s="298"/>
      <c r="J406" s="300"/>
      <c r="K406" s="300"/>
      <c r="L406" s="300"/>
    </row>
    <row r="407" spans="9:12" x14ac:dyDescent="0.3">
      <c r="I407" s="298"/>
      <c r="J407" s="300"/>
      <c r="K407" s="300"/>
      <c r="L407" s="300"/>
    </row>
    <row r="408" spans="9:12" x14ac:dyDescent="0.3">
      <c r="I408" s="298"/>
      <c r="J408" s="300"/>
      <c r="K408" s="300"/>
      <c r="L408" s="300"/>
    </row>
    <row r="409" spans="9:12" x14ac:dyDescent="0.3">
      <c r="I409" s="298"/>
      <c r="J409" s="300"/>
      <c r="K409" s="300"/>
      <c r="L409" s="300"/>
    </row>
    <row r="410" spans="9:12" x14ac:dyDescent="0.3">
      <c r="I410" s="298"/>
      <c r="J410" s="300"/>
      <c r="K410" s="300"/>
      <c r="L410" s="300"/>
    </row>
    <row r="411" spans="9:12" x14ac:dyDescent="0.3">
      <c r="I411" s="298"/>
      <c r="J411" s="300"/>
      <c r="K411" s="300"/>
      <c r="L411" s="300"/>
    </row>
    <row r="412" spans="9:12" x14ac:dyDescent="0.3">
      <c r="I412" s="298"/>
      <c r="J412" s="300"/>
      <c r="K412" s="300"/>
      <c r="L412" s="300"/>
    </row>
    <row r="413" spans="9:12" x14ac:dyDescent="0.3">
      <c r="I413" s="298"/>
      <c r="J413" s="300"/>
      <c r="K413" s="300"/>
      <c r="L413" s="300"/>
    </row>
    <row r="414" spans="9:12" x14ac:dyDescent="0.3">
      <c r="I414" s="298"/>
      <c r="J414" s="300"/>
      <c r="K414" s="300"/>
      <c r="L414" s="300"/>
    </row>
    <row r="415" spans="9:12" x14ac:dyDescent="0.3">
      <c r="I415" s="298"/>
      <c r="J415" s="300"/>
      <c r="K415" s="300"/>
      <c r="L415" s="300"/>
    </row>
    <row r="416" spans="9:12" x14ac:dyDescent="0.3">
      <c r="I416" s="298"/>
      <c r="J416" s="300"/>
      <c r="K416" s="300"/>
      <c r="L416" s="300"/>
    </row>
    <row r="417" spans="9:12" x14ac:dyDescent="0.3">
      <c r="I417" s="298"/>
      <c r="J417" s="300"/>
      <c r="K417" s="300"/>
      <c r="L417" s="300"/>
    </row>
    <row r="418" spans="9:12" x14ac:dyDescent="0.3">
      <c r="I418" s="298"/>
      <c r="J418" s="300"/>
      <c r="K418" s="300"/>
      <c r="L418" s="300"/>
    </row>
    <row r="419" spans="9:12" x14ac:dyDescent="0.3">
      <c r="I419" s="298"/>
      <c r="J419" s="300"/>
    </row>
    <row r="420" spans="9:12" x14ac:dyDescent="0.3">
      <c r="I420" s="298"/>
      <c r="J420" s="300"/>
    </row>
    <row r="421" spans="9:12" x14ac:dyDescent="0.3">
      <c r="I421" s="298"/>
      <c r="J421" s="300"/>
    </row>
    <row r="422" spans="9:12" x14ac:dyDescent="0.3">
      <c r="I422" s="298"/>
      <c r="J422" s="300"/>
    </row>
    <row r="423" spans="9:12" x14ac:dyDescent="0.3">
      <c r="I423" s="298"/>
      <c r="J423" s="300"/>
    </row>
    <row r="424" spans="9:12" x14ac:dyDescent="0.3">
      <c r="I424" s="298"/>
      <c r="J424" s="300"/>
    </row>
    <row r="425" spans="9:12" x14ac:dyDescent="0.3">
      <c r="I425" s="298"/>
      <c r="J425" s="300"/>
    </row>
    <row r="426" spans="9:12" x14ac:dyDescent="0.3">
      <c r="I426" s="298"/>
      <c r="J426" s="300"/>
    </row>
    <row r="427" spans="9:12" x14ac:dyDescent="0.3">
      <c r="I427" s="298"/>
    </row>
    <row r="428" spans="9:12" x14ac:dyDescent="0.3">
      <c r="I428" s="298"/>
    </row>
    <row r="429" spans="9:12" x14ac:dyDescent="0.3">
      <c r="I429" s="298"/>
    </row>
    <row r="430" spans="9:12" x14ac:dyDescent="0.3">
      <c r="I430" s="298"/>
    </row>
    <row r="431" spans="9:12" x14ac:dyDescent="0.3">
      <c r="I431" s="298"/>
    </row>
    <row r="432" spans="9:12" x14ac:dyDescent="0.3">
      <c r="I432" s="298"/>
    </row>
    <row r="433" spans="9:9" x14ac:dyDescent="0.3">
      <c r="I433" s="298"/>
    </row>
    <row r="434" spans="9:9" x14ac:dyDescent="0.3">
      <c r="I434" s="108"/>
    </row>
    <row r="435" spans="9:9" x14ac:dyDescent="0.3">
      <c r="I435" s="108"/>
    </row>
    <row r="436" spans="9:9" x14ac:dyDescent="0.3">
      <c r="I436" s="108"/>
    </row>
    <row r="437" spans="9:9" x14ac:dyDescent="0.3">
      <c r="I437" s="108"/>
    </row>
    <row r="438" spans="9:9" x14ac:dyDescent="0.3">
      <c r="I438" s="108"/>
    </row>
    <row r="439" spans="9:9" x14ac:dyDescent="0.3">
      <c r="I439" s="108"/>
    </row>
    <row r="440" spans="9:9" x14ac:dyDescent="0.3">
      <c r="I440" s="108"/>
    </row>
    <row r="441" spans="9:9" x14ac:dyDescent="0.3">
      <c r="I441" s="108"/>
    </row>
    <row r="442" spans="9:9" x14ac:dyDescent="0.3">
      <c r="I442" s="108"/>
    </row>
    <row r="443" spans="9:9" x14ac:dyDescent="0.3">
      <c r="I443" s="108"/>
    </row>
  </sheetData>
  <sheetProtection algorithmName="SHA-512" hashValue="uJCPSB/JieLdonl/lX+5Qx0Wo4azFQPktawJV4g1Uvoi+MW0d3jZ7B4f00GhPKosDYOMNxmNjzD5I1trS+T97Q==" saltValue="WAfpTC1HF1x/FhpNf5zoVQ==" spinCount="100000" sheet="1" formatCells="0"/>
  <dataConsolidate link="1"/>
  <mergeCells count="11">
    <mergeCell ref="B314:E314"/>
    <mergeCell ref="B322:C322"/>
    <mergeCell ref="B323:C323"/>
    <mergeCell ref="B321:C321"/>
    <mergeCell ref="B319:C319"/>
    <mergeCell ref="B320:C320"/>
    <mergeCell ref="E2:G2"/>
    <mergeCell ref="B2:C2"/>
    <mergeCell ref="B170:D170"/>
    <mergeCell ref="B313:E313"/>
    <mergeCell ref="B303:D303"/>
  </mergeCells>
  <phoneticPr fontId="57" type="noConversion"/>
  <conditionalFormatting sqref="H198 H87:H98">
    <cfRule type="cellIs" dxfId="135" priority="107" stopIfTrue="1" operator="notEqual">
      <formula>0</formula>
    </cfRule>
  </conditionalFormatting>
  <conditionalFormatting sqref="H199">
    <cfRule type="cellIs" dxfId="134" priority="105" stopIfTrue="1" operator="notEqual">
      <formula>0</formula>
    </cfRule>
  </conditionalFormatting>
  <conditionalFormatting sqref="G289:G292 G296:G297">
    <cfRule type="cellIs" dxfId="133" priority="104" stopIfTrue="1" operator="notEqual">
      <formula>0</formula>
    </cfRule>
  </conditionalFormatting>
  <conditionalFormatting sqref="H23">
    <cfRule type="cellIs" dxfId="132" priority="103" stopIfTrue="1" operator="notEqual">
      <formula>0</formula>
    </cfRule>
  </conditionalFormatting>
  <conditionalFormatting sqref="H37:H38">
    <cfRule type="cellIs" dxfId="131" priority="102" stopIfTrue="1" operator="notEqual">
      <formula>0</formula>
    </cfRule>
  </conditionalFormatting>
  <conditionalFormatting sqref="H72">
    <cfRule type="cellIs" dxfId="130" priority="101" stopIfTrue="1" operator="notEqual">
      <formula>0</formula>
    </cfRule>
  </conditionalFormatting>
  <conditionalFormatting sqref="H149">
    <cfRule type="cellIs" dxfId="129" priority="99" stopIfTrue="1" operator="notEqual">
      <formula>0</formula>
    </cfRule>
  </conditionalFormatting>
  <conditionalFormatting sqref="H168">
    <cfRule type="cellIs" dxfId="128" priority="98" stopIfTrue="1" operator="notEqual">
      <formula>0</formula>
    </cfRule>
  </conditionalFormatting>
  <conditionalFormatting sqref="H182">
    <cfRule type="cellIs" dxfId="127" priority="97" stopIfTrue="1" operator="notEqual">
      <formula>0</formula>
    </cfRule>
  </conditionalFormatting>
  <conditionalFormatting sqref="H183">
    <cfRule type="cellIs" dxfId="126" priority="96" stopIfTrue="1" operator="notEqual">
      <formula>0</formula>
    </cfRule>
  </conditionalFormatting>
  <conditionalFormatting sqref="L260 G275">
    <cfRule type="cellIs" priority="68" stopIfTrue="1" operator="equal">
      <formula>";;;"</formula>
    </cfRule>
  </conditionalFormatting>
  <conditionalFormatting sqref="L260 G275">
    <cfRule type="cellIs" dxfId="125" priority="67" stopIfTrue="1" operator="equal">
      <formula>0</formula>
    </cfRule>
  </conditionalFormatting>
  <conditionalFormatting sqref="L260">
    <cfRule type="cellIs" dxfId="124" priority="66" stopIfTrue="1" operator="equal">
      <formula>0</formula>
    </cfRule>
  </conditionalFormatting>
  <conditionalFormatting sqref="G274">
    <cfRule type="cellIs" priority="65" stopIfTrue="1" operator="equal">
      <formula>";;;"</formula>
    </cfRule>
  </conditionalFormatting>
  <conditionalFormatting sqref="G274">
    <cfRule type="cellIs" dxfId="123" priority="64" stopIfTrue="1" operator="equal">
      <formula>0</formula>
    </cfRule>
  </conditionalFormatting>
  <conditionalFormatting sqref="G274">
    <cfRule type="cellIs" dxfId="122" priority="63" stopIfTrue="1" operator="equal">
      <formula>0</formula>
    </cfRule>
  </conditionalFormatting>
  <conditionalFormatting sqref="G273">
    <cfRule type="cellIs" priority="53" stopIfTrue="1" operator="equal">
      <formula>";;;"</formula>
    </cfRule>
  </conditionalFormatting>
  <conditionalFormatting sqref="G273">
    <cfRule type="cellIs" dxfId="121" priority="52" stopIfTrue="1" operator="equal">
      <formula>0</formula>
    </cfRule>
  </conditionalFormatting>
  <conditionalFormatting sqref="G273">
    <cfRule type="cellIs" dxfId="120" priority="51" stopIfTrue="1" operator="equal">
      <formula>0</formula>
    </cfRule>
  </conditionalFormatting>
  <conditionalFormatting sqref="J266">
    <cfRule type="cellIs" priority="50" stopIfTrue="1" operator="equal">
      <formula>";;;"</formula>
    </cfRule>
  </conditionalFormatting>
  <conditionalFormatting sqref="J266">
    <cfRule type="cellIs" dxfId="119" priority="49" stopIfTrue="1" operator="equal">
      <formula>0</formula>
    </cfRule>
  </conditionalFormatting>
  <conditionalFormatting sqref="J266">
    <cfRule type="cellIs" dxfId="118" priority="48" stopIfTrue="1" operator="equal">
      <formula>0</formula>
    </cfRule>
  </conditionalFormatting>
  <conditionalFormatting sqref="G268">
    <cfRule type="cellIs" priority="20" stopIfTrue="1" operator="equal">
      <formula>";;;"</formula>
    </cfRule>
  </conditionalFormatting>
  <conditionalFormatting sqref="G268">
    <cfRule type="cellIs" dxfId="117" priority="19" stopIfTrue="1" operator="equal">
      <formula>0</formula>
    </cfRule>
  </conditionalFormatting>
  <conditionalFormatting sqref="G268">
    <cfRule type="cellIs" dxfId="116" priority="18" stopIfTrue="1" operator="equal">
      <formula>0</formula>
    </cfRule>
  </conditionalFormatting>
  <conditionalFormatting sqref="G266">
    <cfRule type="cellIs" priority="17" stopIfTrue="1" operator="equal">
      <formula>";;;"</formula>
    </cfRule>
  </conditionalFormatting>
  <conditionalFormatting sqref="G266">
    <cfRule type="cellIs" dxfId="115" priority="16" stopIfTrue="1" operator="equal">
      <formula>0</formula>
    </cfRule>
  </conditionalFormatting>
  <conditionalFormatting sqref="G266">
    <cfRule type="cellIs" dxfId="114" priority="15" stopIfTrue="1" operator="equal">
      <formula>0</formula>
    </cfRule>
  </conditionalFormatting>
  <conditionalFormatting sqref="G267">
    <cfRule type="cellIs" priority="14" stopIfTrue="1" operator="equal">
      <formula>";;;"</formula>
    </cfRule>
  </conditionalFormatting>
  <conditionalFormatting sqref="G267">
    <cfRule type="cellIs" dxfId="113" priority="13" stopIfTrue="1" operator="equal">
      <formula>0</formula>
    </cfRule>
  </conditionalFormatting>
  <conditionalFormatting sqref="G267">
    <cfRule type="cellIs" dxfId="112" priority="12" stopIfTrue="1" operator="equal">
      <formula>0</formula>
    </cfRule>
  </conditionalFormatting>
  <conditionalFormatting sqref="G270">
    <cfRule type="cellIs" priority="11" stopIfTrue="1" operator="equal">
      <formula>";;;"</formula>
    </cfRule>
  </conditionalFormatting>
  <conditionalFormatting sqref="G270">
    <cfRule type="cellIs" dxfId="111" priority="10" stopIfTrue="1" operator="equal">
      <formula>0</formula>
    </cfRule>
  </conditionalFormatting>
  <conditionalFormatting sqref="G270">
    <cfRule type="cellIs" dxfId="110" priority="9" stopIfTrue="1" operator="equal">
      <formula>0</formula>
    </cfRule>
  </conditionalFormatting>
  <conditionalFormatting sqref="G272">
    <cfRule type="cellIs" priority="3" stopIfTrue="1" operator="equal">
      <formula>";;;"</formula>
    </cfRule>
  </conditionalFormatting>
  <conditionalFormatting sqref="G272">
    <cfRule type="cellIs" dxfId="109" priority="2" stopIfTrue="1" operator="equal">
      <formula>0</formula>
    </cfRule>
  </conditionalFormatting>
  <conditionalFormatting sqref="G272">
    <cfRule type="cellIs" dxfId="108" priority="1" stopIfTrue="1" operator="equal">
      <formula>0</formula>
    </cfRule>
  </conditionalFormatting>
  <dataValidations xWindow="829" yWindow="690" count="23">
    <dataValidation type="list" allowBlank="1" showInputMessage="1" showErrorMessage="1" prompt="Please select the appropriate number value from the drop-down box." sqref="F131" xr:uid="{00000000-0002-0000-0100-000005000000}">
      <formula1>$N$2:$N$4</formula1>
    </dataValidation>
    <dataValidation type="list" allowBlank="1" showInputMessage="1" showErrorMessage="1" sqref="F88" xr:uid="{A85FF889-D99F-45B3-A284-6701B76512B6}">
      <formula1>$M$4:$M$5</formula1>
    </dataValidation>
    <dataValidation type="list" allowBlank="1" showInputMessage="1" showErrorMessage="1" sqref="F309:F311 F263 F307" xr:uid="{9CC5535C-800A-4D03-A86E-273A5BC3EBB6}">
      <formula1>$M$1:$M$2</formula1>
    </dataValidation>
    <dataValidation type="list" allowBlank="1" showInputMessage="1" showErrorMessage="1" sqref="F298" xr:uid="{FCE57F22-20D9-4CFA-AFE5-1751E216D3C1}">
      <formula1>$O$1:$O$2</formula1>
    </dataValidation>
    <dataValidation type="list" allowBlank="1" showInputMessage="1" showErrorMessage="1" sqref="F271" xr:uid="{2CD3BDAD-30EF-425F-BB01-D3FF43CDAA81}">
      <formula1>$O$1:$O$4</formula1>
    </dataValidation>
    <dataValidation type="list" allowBlank="1" showInputMessage="1" showErrorMessage="1" prompt="Please select from the drop down box the most appropriate answer" sqref="F302" xr:uid="{7584867B-76E5-42C2-B404-3B1B6C94E6E2}">
      <formula1>$O$1:$O$2</formula1>
    </dataValidation>
    <dataValidation type="list" allowBlank="1" showInputMessage="1" showErrorMessage="1" sqref="F306" xr:uid="{DB0EB8F5-2DE0-4833-AFDF-F7BB7A8D56E1}">
      <formula1>$M$6:$M$8</formula1>
    </dataValidation>
    <dataValidation type="list" allowBlank="1" showErrorMessage="1" prompt="Please select from the drop down box the most appropriate answer" sqref="F300" xr:uid="{7FCE12A8-B6A0-48F9-9BA0-C3D89D188CEE}">
      <formula1>"20,21,22,23"</formula1>
    </dataValidation>
    <dataValidation type="list" operator="greaterThan" allowBlank="1" showErrorMessage="1" prompt="Please select appropriate answer from drop down list." sqref="F224"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216 F212 F201 F28:F39 F41:F57 F59:F73 F75:F87 F25:F26 F132:F149 F151:F168 F171:F183 F187:F199 F204:F210 F220:F222 F18:F23 F100:F101 F89:F98 F103:F120 F123:F127"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233:F236 F239:F242 F245:F248 F253:F255 F257:F260 F228:F229" xr:uid="{DA17F63A-7740-447E-B0DD-1FD94F0BE4C8}">
      <formula1>ISNUMBER(F228)</formula1>
    </dataValidation>
    <dataValidation type="custom" allowBlank="1" showErrorMessage="1" error="Please enter a numeric value.  If this data is not applicable to your unit of government, the cell should be populated with zero." sqref="F299 F289:F297 F286 F284 F277:F280 F282 F272:F274 F265:F268" xr:uid="{6656F482-2030-43E8-B669-24F0F4187CE8}">
      <formula1>ISNUMBER(F265)</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69" xr:uid="{8DAFED68-C7CC-4E4B-B0DE-1B3BA6E17585}">
      <formula1>-ISNUMBER(221)</formula1>
    </dataValidation>
    <dataValidation type="list" allowBlank="1" showErrorMessage="1" prompt="Please select appropriate answer from drop down list." sqref="F223" xr:uid="{15C60609-2D17-4E28-A2AB-41834F9A09EE}">
      <formula1>"1,2"</formula1>
    </dataValidation>
    <dataValidation type="custom" allowBlank="1" showInputMessage="1" showErrorMessage="1" error="Please enter a numeric value.  If this data is not applicable to your unit of government, please enter zero." prompt="_x000a_" sqref="Q21:Q23" xr:uid="{9CBC3A0A-ED2F-4189-A811-9F7E91132699}">
      <formula1>ISNUMBER(Q21)</formula1>
    </dataValidation>
    <dataValidation type="custom" allowBlank="1" showInputMessage="1" showErrorMessage="1" error="Please enter a numeric value. " sqref="Q7" xr:uid="{CB95FD3C-B04D-4711-9116-7A469E0AAB1B}">
      <formula1>ISNUMBER(Q7)</formula1>
    </dataValidation>
    <dataValidation type="custom" allowBlank="1" showInputMessage="1" showErrorMessage="1" error="Please enter a numeric value. If this data is not applicable to your unit of government, the cell should be populated with zero." sqref="Q8:Q17 F7:F17" xr:uid="{2B8A4F99-9CD2-4D02-A062-E988EF3799E5}">
      <formula1>ISNUMBER(F7)</formula1>
    </dataValidation>
    <dataValidation allowBlank="1" showInputMessage="1" showErrorMessage="1" error="Please enter a numeric value. If this data is not applicable to your unit of government, the cell should be populated with zero." sqref="Q18:Q19" xr:uid="{74AB16B8-397F-4D3E-B798-0C4CD86D1B10}"/>
    <dataValidation type="custom" allowBlank="1" showInputMessage="1" showErrorMessage="1" error="Please enter a numeric value. If this data is not applicable to your unit of government, the cell should be populated with zero." prompt="_x000a_" sqref="Q20" xr:uid="{ECAB93E3-7E39-4615-8FE4-6276528C897F}">
      <formula1>ISNUMBER(Q20)</formula1>
    </dataValidation>
    <dataValidation type="list" allowBlank="1" showErrorMessage="1" prompt="Please select appropriate answer from drop down list." sqref="F184:F185" xr:uid="{B28A4ED8-9280-4348-99A1-3B99F5248D33}">
      <formula1>$M$1:$M$2</formula1>
    </dataValidation>
    <dataValidation type="list" allowBlank="1" showInputMessage="1" showErrorMessage="1" prompt="Please select appropriate answer from drop down list." sqref="F214" xr:uid="{CE840982-6377-4DDA-A117-91D0B30682FD}">
      <formula1>$O$1:$O$2</formula1>
    </dataValidation>
    <dataValidation type="custom" allowBlank="1" showErrorMessage="1" error="Please enter a numeric value.  If this data is not applicable to your unit of government the cell should be populated with zero." sqref="F262" xr:uid="{CB641EB2-3894-4A74-BBEC-CDF7A3E8D5D8}">
      <formula1>ISNUMBER(F262)</formula1>
    </dataValidation>
    <dataValidation type="custom" allowBlank="1" showErrorMessage="1" error="Please enter a numeric value.  If this data is not applicable to your unit of government, the cell should be populated wih zero." sqref="F270" xr:uid="{EE3DADAD-5656-406D-A714-9D6C22BCD542}">
      <formula1>ISNUMBER(F270)</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93:H29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Names(H)'!$A$1:$A$107</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F871-8D58-4B43-B608-BEB0D5AB7735}">
  <sheetPr codeName="Sheet3">
    <tabColor theme="3" tint="0.79998168889431442"/>
    <pageSetUpPr fitToPage="1"/>
  </sheetPr>
  <dimension ref="A1:AQ96"/>
  <sheetViews>
    <sheetView showGridLines="0" zoomScaleNormal="100" workbookViewId="0">
      <selection activeCell="G41" sqref="G41"/>
    </sheetView>
  </sheetViews>
  <sheetFormatPr defaultColWidth="9.33203125" defaultRowHeight="14.4" x14ac:dyDescent="0.3"/>
  <cols>
    <col min="1" max="1" width="2.6640625" style="195" customWidth="1"/>
    <col min="2" max="3" width="2.33203125" style="195" customWidth="1"/>
    <col min="4" max="4" width="7.44140625" style="262" customWidth="1"/>
    <col min="5" max="5" width="43.6640625" style="250" customWidth="1"/>
    <col min="6" max="6" width="53.33203125" style="250" customWidth="1"/>
    <col min="7" max="7" width="18.6640625" style="195" customWidth="1"/>
    <col min="8" max="8" width="44.44140625" style="195" customWidth="1"/>
    <col min="9" max="9" width="9.44140625" style="195" customWidth="1"/>
    <col min="10" max="10" width="9.33203125" style="250" customWidth="1"/>
    <col min="11" max="12" width="16.6640625" customWidth="1"/>
    <col min="13" max="13" width="15.109375" customWidth="1"/>
    <col min="14" max="14" width="2.6640625" customWidth="1"/>
    <col min="15" max="15" width="61.109375" customWidth="1"/>
    <col min="16" max="16" width="77.6640625" customWidth="1"/>
    <col min="17" max="17" width="30.6640625" customWidth="1"/>
    <col min="18" max="18" width="10.44140625" customWidth="1"/>
    <col min="19" max="19" width="10.6640625" customWidth="1"/>
    <col min="20" max="20" width="11.109375" customWidth="1"/>
    <col min="21" max="21" width="14" customWidth="1"/>
    <col min="22" max="22" width="17.6640625" customWidth="1"/>
    <col min="23" max="23" width="11.33203125" customWidth="1"/>
    <col min="24" max="24" width="57.33203125" customWidth="1"/>
    <col min="25" max="25" width="13.109375" customWidth="1"/>
    <col min="26" max="26" width="31.109375" customWidth="1"/>
    <col min="27" max="27" width="4.6640625" customWidth="1"/>
    <col min="28" max="36" width="9.33203125" customWidth="1"/>
    <col min="37" max="37" width="36.44140625" customWidth="1"/>
    <col min="38" max="38" width="9.33203125" customWidth="1"/>
    <col min="42" max="43" width="9.33203125" style="196"/>
    <col min="44" max="16384" width="9.33203125" style="195"/>
  </cols>
  <sheetData>
    <row r="1" spans="1:43" ht="87" customHeight="1" thickBot="1" x14ac:dyDescent="0.35">
      <c r="B1" s="1210" t="s">
        <v>1820</v>
      </c>
      <c r="C1" s="1211"/>
      <c r="D1" s="1211"/>
      <c r="E1" s="1211"/>
      <c r="F1" s="1211"/>
      <c r="G1" s="1211"/>
      <c r="H1" s="1211"/>
      <c r="I1" s="1211"/>
      <c r="J1" s="1212"/>
    </row>
    <row r="2" spans="1:43" s="197" customFormat="1" ht="16.8" hidden="1" thickBot="1" x14ac:dyDescent="0.35">
      <c r="B2" s="1213" t="s">
        <v>878</v>
      </c>
      <c r="C2" s="1214"/>
      <c r="D2" s="1214"/>
      <c r="E2" s="1214"/>
      <c r="F2" s="1214"/>
      <c r="G2" s="1214"/>
      <c r="H2" s="1214"/>
      <c r="I2" s="1214"/>
      <c r="J2" s="1215"/>
      <c r="K2"/>
      <c r="L2"/>
      <c r="M2"/>
      <c r="N2"/>
      <c r="O2"/>
      <c r="P2"/>
      <c r="Q2"/>
      <c r="R2"/>
      <c r="S2"/>
      <c r="T2"/>
      <c r="U2"/>
      <c r="V2"/>
      <c r="W2"/>
      <c r="X2"/>
      <c r="Y2"/>
      <c r="Z2"/>
      <c r="AA2"/>
      <c r="AB2"/>
      <c r="AC2"/>
      <c r="AD2"/>
      <c r="AE2"/>
      <c r="AF2"/>
      <c r="AG2"/>
      <c r="AH2"/>
      <c r="AI2"/>
      <c r="AJ2"/>
      <c r="AK2"/>
      <c r="AL2"/>
      <c r="AM2"/>
      <c r="AN2"/>
      <c r="AO2"/>
      <c r="AP2" s="196"/>
      <c r="AQ2" s="196"/>
    </row>
    <row r="3" spans="1:43" s="199" customFormat="1" ht="39" hidden="1" customHeight="1" thickBot="1" x14ac:dyDescent="0.35">
      <c r="A3" s="195"/>
      <c r="B3" s="1216" t="s">
        <v>879</v>
      </c>
      <c r="C3" s="1217"/>
      <c r="D3" s="1217"/>
      <c r="E3" s="1217"/>
      <c r="F3" s="1217"/>
      <c r="G3" s="1217"/>
      <c r="H3" s="1217"/>
      <c r="I3" s="1217"/>
      <c r="J3" s="1218"/>
      <c r="K3"/>
      <c r="L3"/>
      <c r="M3"/>
      <c r="N3"/>
      <c r="O3"/>
      <c r="P3"/>
      <c r="Q3"/>
      <c r="R3"/>
      <c r="S3"/>
      <c r="T3"/>
      <c r="U3"/>
      <c r="V3"/>
      <c r="W3"/>
      <c r="X3"/>
      <c r="Y3"/>
      <c r="Z3"/>
      <c r="AA3"/>
      <c r="AB3"/>
      <c r="AC3"/>
      <c r="AD3"/>
      <c r="AE3"/>
      <c r="AF3"/>
      <c r="AG3"/>
      <c r="AH3"/>
      <c r="AI3"/>
      <c r="AJ3"/>
      <c r="AK3"/>
      <c r="AL3"/>
      <c r="AM3"/>
      <c r="AN3"/>
      <c r="AO3"/>
      <c r="AP3" s="198"/>
      <c r="AQ3" s="198"/>
    </row>
    <row r="4" spans="1:43" ht="25.35" customHeight="1" x14ac:dyDescent="0.3">
      <c r="B4" s="1159" t="s">
        <v>880</v>
      </c>
      <c r="C4" s="1156"/>
      <c r="D4" s="1156"/>
      <c r="E4" s="1156"/>
      <c r="F4" s="1157"/>
      <c r="G4" s="1157"/>
      <c r="H4" s="1157"/>
      <c r="I4" s="1157"/>
      <c r="J4" s="1158"/>
    </row>
    <row r="5" spans="1:43" ht="27" hidden="1" customHeight="1" x14ac:dyDescent="0.3">
      <c r="B5" s="1219" t="s">
        <v>1592</v>
      </c>
      <c r="C5" s="1220"/>
      <c r="D5" s="1220"/>
      <c r="E5" s="1220"/>
      <c r="F5" s="1220"/>
      <c r="G5" s="1220"/>
      <c r="H5" s="1220"/>
      <c r="I5" s="1220"/>
      <c r="J5" s="1221"/>
    </row>
    <row r="6" spans="1:43" ht="27" hidden="1" customHeight="1" x14ac:dyDescent="0.3">
      <c r="B6" s="961"/>
      <c r="C6" s="962"/>
      <c r="D6" s="962"/>
      <c r="E6" s="962"/>
      <c r="F6" s="962"/>
      <c r="G6" s="962"/>
      <c r="H6" s="962"/>
      <c r="I6" s="962"/>
      <c r="J6" s="963"/>
    </row>
    <row r="7" spans="1:43" ht="25.35" customHeight="1" thickBot="1" x14ac:dyDescent="0.35">
      <c r="B7" s="1162" t="s">
        <v>881</v>
      </c>
      <c r="C7" s="1160"/>
      <c r="D7" s="1160"/>
      <c r="E7" s="1160"/>
      <c r="F7" s="1160"/>
      <c r="G7" s="1160"/>
      <c r="H7" s="1160"/>
      <c r="I7" s="1160"/>
      <c r="J7" s="1161"/>
    </row>
    <row r="8" spans="1:43" ht="39" hidden="1" customHeight="1" thickBot="1" x14ac:dyDescent="0.35">
      <c r="B8" s="200"/>
      <c r="C8" s="201"/>
      <c r="D8" s="202" t="s">
        <v>882</v>
      </c>
      <c r="E8" s="203"/>
      <c r="F8" s="204"/>
      <c r="G8" s="204"/>
      <c r="H8" s="204"/>
      <c r="I8" s="204"/>
      <c r="J8" s="205"/>
    </row>
    <row r="9" spans="1:43" s="206" customFormat="1" ht="15" hidden="1" thickBot="1" x14ac:dyDescent="0.35">
      <c r="B9" s="207"/>
      <c r="C9" s="208"/>
      <c r="D9" s="257" t="s">
        <v>754</v>
      </c>
      <c r="E9" s="209"/>
      <c r="F9" s="209"/>
      <c r="G9" s="209"/>
      <c r="H9" s="210"/>
      <c r="I9" s="210"/>
      <c r="J9" s="211"/>
      <c r="K9"/>
      <c r="L9"/>
      <c r="M9"/>
      <c r="N9"/>
      <c r="O9"/>
      <c r="P9"/>
      <c r="Q9"/>
      <c r="R9"/>
      <c r="S9"/>
      <c r="T9"/>
      <c r="U9"/>
      <c r="V9"/>
      <c r="W9"/>
      <c r="X9"/>
      <c r="Y9"/>
      <c r="Z9"/>
      <c r="AA9"/>
      <c r="AB9"/>
      <c r="AC9"/>
      <c r="AD9"/>
      <c r="AE9"/>
      <c r="AF9"/>
      <c r="AG9"/>
      <c r="AH9"/>
      <c r="AI9"/>
      <c r="AJ9"/>
      <c r="AK9"/>
      <c r="AL9"/>
      <c r="AM9"/>
      <c r="AN9"/>
      <c r="AO9"/>
      <c r="AP9" s="196"/>
      <c r="AQ9" s="196"/>
    </row>
    <row r="10" spans="1:43" ht="19.5" hidden="1" customHeight="1" thickBot="1" x14ac:dyDescent="0.35">
      <c r="B10" s="212"/>
      <c r="C10" s="213"/>
      <c r="D10" s="307" t="s">
        <v>1134</v>
      </c>
      <c r="E10" s="1191" t="s">
        <v>883</v>
      </c>
      <c r="F10" s="1191"/>
      <c r="G10" s="1185"/>
      <c r="H10" s="1186"/>
      <c r="I10" s="1187"/>
      <c r="J10" s="214"/>
    </row>
    <row r="11" spans="1:43" ht="14.25" hidden="1" customHeight="1" thickBot="1" x14ac:dyDescent="0.35">
      <c r="B11" s="212"/>
      <c r="C11" s="213"/>
      <c r="D11" s="257"/>
      <c r="E11" s="209"/>
      <c r="F11" s="209"/>
      <c r="G11" s="215" t="str">
        <f>IF(U9&gt;0,"PLEASE SEE INSTRUCTIONS REGARDING NAME","")</f>
        <v/>
      </c>
      <c r="H11" s="216"/>
      <c r="I11" s="216"/>
      <c r="J11" s="214"/>
    </row>
    <row r="12" spans="1:43" ht="21" hidden="1" customHeight="1" thickBot="1" x14ac:dyDescent="0.35">
      <c r="B12" s="212"/>
      <c r="C12" s="213"/>
      <c r="D12" s="308" t="s">
        <v>1135</v>
      </c>
      <c r="E12" s="1191" t="s">
        <v>1335</v>
      </c>
      <c r="F12" s="1191"/>
      <c r="G12" s="217"/>
      <c r="H12" s="216"/>
      <c r="I12" s="216"/>
      <c r="J12" s="214"/>
    </row>
    <row r="13" spans="1:43" ht="6.75" hidden="1" customHeight="1" thickBot="1" x14ac:dyDescent="0.35">
      <c r="B13" s="212"/>
      <c r="C13" s="213"/>
      <c r="D13" s="257"/>
      <c r="E13" s="218"/>
      <c r="F13" s="218"/>
      <c r="G13" s="216"/>
      <c r="H13" s="216"/>
      <c r="I13" s="216"/>
      <c r="J13" s="214"/>
    </row>
    <row r="14" spans="1:43" ht="26.25" hidden="1" customHeight="1" thickBot="1" x14ac:dyDescent="0.35">
      <c r="B14" s="212"/>
      <c r="C14" s="213"/>
      <c r="D14" s="263">
        <v>900</v>
      </c>
      <c r="E14" s="1191" t="s">
        <v>884</v>
      </c>
      <c r="F14" s="1191"/>
      <c r="G14" s="219"/>
      <c r="H14" s="216"/>
      <c r="I14" s="216"/>
      <c r="J14" s="214"/>
    </row>
    <row r="15" spans="1:43" ht="6.75" hidden="1" customHeight="1" thickBot="1" x14ac:dyDescent="0.35">
      <c r="B15" s="212"/>
      <c r="C15" s="213"/>
      <c r="D15" s="263"/>
      <c r="E15" s="218"/>
      <c r="F15" s="218"/>
      <c r="G15" s="216"/>
      <c r="H15" s="216"/>
      <c r="I15" s="216"/>
      <c r="J15" s="214"/>
    </row>
    <row r="16" spans="1:43" ht="26.25" hidden="1" customHeight="1" thickBot="1" x14ac:dyDescent="0.35">
      <c r="B16" s="212"/>
      <c r="C16" s="213"/>
      <c r="D16" s="263" t="s">
        <v>1060</v>
      </c>
      <c r="E16" s="1197" t="s">
        <v>885</v>
      </c>
      <c r="F16" s="1197"/>
      <c r="G16" s="1198"/>
      <c r="H16" s="1186"/>
      <c r="I16" s="1187"/>
      <c r="J16" s="214"/>
    </row>
    <row r="17" spans="2:10" ht="6.75" hidden="1" customHeight="1" thickBot="1" x14ac:dyDescent="0.35">
      <c r="B17" s="212"/>
      <c r="C17" s="213"/>
      <c r="D17" s="263"/>
      <c r="E17" s="218"/>
      <c r="F17" s="218"/>
      <c r="G17" s="216"/>
      <c r="H17" s="216"/>
      <c r="I17" s="216"/>
      <c r="J17" s="214"/>
    </row>
    <row r="18" spans="2:10" ht="24" hidden="1" customHeight="1" thickBot="1" x14ac:dyDescent="0.35">
      <c r="B18" s="212"/>
      <c r="C18" s="213"/>
      <c r="D18" s="263" t="s">
        <v>1061</v>
      </c>
      <c r="E18" s="1197" t="s">
        <v>886</v>
      </c>
      <c r="F18" s="1197"/>
      <c r="G18" s="1185"/>
      <c r="H18" s="1186"/>
      <c r="I18" s="1187"/>
      <c r="J18" s="214"/>
    </row>
    <row r="19" spans="2:10" ht="6.75" hidden="1" customHeight="1" thickBot="1" x14ac:dyDescent="0.35">
      <c r="B19" s="212"/>
      <c r="C19" s="213"/>
      <c r="D19" s="263"/>
      <c r="E19" s="218"/>
      <c r="F19" s="218"/>
      <c r="G19" s="216"/>
      <c r="H19" s="216"/>
      <c r="I19" s="216"/>
      <c r="J19" s="214"/>
    </row>
    <row r="20" spans="2:10" ht="24" hidden="1" customHeight="1" thickBot="1" x14ac:dyDescent="0.35">
      <c r="B20" s="212"/>
      <c r="C20" s="213"/>
      <c r="D20" s="263" t="s">
        <v>1062</v>
      </c>
      <c r="E20" s="1197" t="s">
        <v>887</v>
      </c>
      <c r="F20" s="1197"/>
      <c r="G20" s="1185"/>
      <c r="H20" s="1186"/>
      <c r="I20" s="1187"/>
      <c r="J20" s="214"/>
    </row>
    <row r="21" spans="2:10" ht="6.75" hidden="1" customHeight="1" thickBot="1" x14ac:dyDescent="0.35">
      <c r="B21" s="212"/>
      <c r="C21" s="213"/>
      <c r="D21" s="263"/>
      <c r="E21" s="218"/>
      <c r="F21" s="218"/>
      <c r="G21" s="216"/>
      <c r="H21" s="216"/>
      <c r="I21" s="216"/>
      <c r="J21" s="214"/>
    </row>
    <row r="22" spans="2:10" ht="24" hidden="1" customHeight="1" thickBot="1" x14ac:dyDescent="0.35">
      <c r="B22" s="212"/>
      <c r="C22" s="213"/>
      <c r="D22" s="263" t="s">
        <v>1063</v>
      </c>
      <c r="E22" s="1197" t="s">
        <v>888</v>
      </c>
      <c r="F22" s="1197"/>
      <c r="G22" s="1198"/>
      <c r="H22" s="1186"/>
      <c r="I22" s="1187"/>
      <c r="J22" s="214"/>
    </row>
    <row r="23" spans="2:10" ht="6.75" hidden="1" customHeight="1" thickBot="1" x14ac:dyDescent="0.35">
      <c r="B23" s="212"/>
      <c r="C23" s="213"/>
      <c r="D23" s="263"/>
      <c r="E23" s="218"/>
      <c r="F23" s="218"/>
      <c r="G23" s="216"/>
      <c r="H23" s="216"/>
      <c r="I23" s="216"/>
      <c r="J23" s="214"/>
    </row>
    <row r="24" spans="2:10" ht="24" hidden="1" customHeight="1" thickBot="1" x14ac:dyDescent="0.35">
      <c r="B24" s="212"/>
      <c r="C24" s="213"/>
      <c r="D24" s="263" t="s">
        <v>1064</v>
      </c>
      <c r="E24" s="1197" t="s">
        <v>889</v>
      </c>
      <c r="F24" s="1197"/>
      <c r="G24" s="1198"/>
      <c r="H24" s="1186"/>
      <c r="I24" s="1187"/>
      <c r="J24" s="214"/>
    </row>
    <row r="25" spans="2:10" ht="6.75" hidden="1" customHeight="1" thickBot="1" x14ac:dyDescent="0.35">
      <c r="B25" s="212"/>
      <c r="C25" s="213"/>
      <c r="D25" s="264"/>
      <c r="E25" s="209"/>
      <c r="F25" s="209"/>
      <c r="G25" s="213"/>
      <c r="H25" s="213"/>
      <c r="I25" s="213"/>
      <c r="J25" s="214"/>
    </row>
    <row r="26" spans="2:10" ht="18.75" hidden="1" customHeight="1" thickBot="1" x14ac:dyDescent="0.35">
      <c r="B26" s="212"/>
      <c r="C26" s="213"/>
      <c r="D26" s="263" t="s">
        <v>1136</v>
      </c>
      <c r="E26" s="1191" t="s">
        <v>890</v>
      </c>
      <c r="F26" s="1191"/>
      <c r="G26" s="1204"/>
      <c r="H26" s="1205"/>
      <c r="I26" s="220"/>
      <c r="J26" s="214"/>
    </row>
    <row r="27" spans="2:10" ht="28.5" hidden="1" customHeight="1" thickBot="1" x14ac:dyDescent="0.35">
      <c r="B27" s="212"/>
      <c r="C27" s="213"/>
      <c r="D27" s="263"/>
      <c r="E27" s="1206" t="str">
        <f>IF(G26="Housing Authority", CONCATENATE("SKIP Questions ",D28,"-",D66),"")</f>
        <v/>
      </c>
      <c r="F27" s="1206"/>
      <c r="G27" s="1206"/>
      <c r="H27" s="1206"/>
      <c r="I27" s="220"/>
      <c r="J27" s="214"/>
    </row>
    <row r="28" spans="2:10" ht="28.5" hidden="1" customHeight="1" thickBot="1" x14ac:dyDescent="0.35">
      <c r="B28" s="212"/>
      <c r="C28" s="213"/>
      <c r="D28" s="263" t="s">
        <v>1066</v>
      </c>
      <c r="E28" s="1191" t="s">
        <v>891</v>
      </c>
      <c r="F28" s="1191"/>
      <c r="G28" s="221"/>
      <c r="H28" s="1207">
        <f>+O28</f>
        <v>0</v>
      </c>
      <c r="I28" s="1208"/>
      <c r="J28" s="214"/>
    </row>
    <row r="29" spans="2:10" ht="6.75" hidden="1" customHeight="1" thickBot="1" x14ac:dyDescent="0.35">
      <c r="B29" s="212"/>
      <c r="C29" s="213"/>
      <c r="D29" s="264"/>
      <c r="E29" s="209"/>
      <c r="F29" s="209"/>
      <c r="G29" s="222"/>
      <c r="H29" s="209"/>
      <c r="I29" s="223"/>
      <c r="J29" s="214"/>
    </row>
    <row r="30" spans="2:10" ht="18.75" hidden="1" customHeight="1" thickBot="1" x14ac:dyDescent="0.35">
      <c r="B30" s="212"/>
      <c r="C30" s="213"/>
      <c r="D30" s="263" t="s">
        <v>1065</v>
      </c>
      <c r="E30" s="1191" t="s">
        <v>892</v>
      </c>
      <c r="F30" s="1191"/>
      <c r="G30" s="224"/>
      <c r="H30" s="1209"/>
      <c r="I30" s="1209"/>
      <c r="J30" s="214"/>
    </row>
    <row r="31" spans="2:10" ht="6.75" hidden="1" customHeight="1" thickBot="1" x14ac:dyDescent="0.35">
      <c r="B31" s="212"/>
      <c r="C31" s="213"/>
      <c r="D31" s="264"/>
      <c r="E31" s="209"/>
      <c r="F31" s="209"/>
      <c r="G31" s="213"/>
      <c r="H31" s="213"/>
      <c r="I31" s="213"/>
      <c r="J31" s="214"/>
    </row>
    <row r="32" spans="2:10" ht="27.75" hidden="1" customHeight="1" thickBot="1" x14ac:dyDescent="0.35">
      <c r="B32" s="212"/>
      <c r="C32" s="213"/>
      <c r="D32" s="263" t="s">
        <v>1067</v>
      </c>
      <c r="E32" s="1199" t="s">
        <v>893</v>
      </c>
      <c r="F32" s="1200"/>
      <c r="G32" s="1201"/>
      <c r="H32" s="1202"/>
      <c r="I32" s="1203"/>
      <c r="J32" s="214"/>
    </row>
    <row r="33" spans="2:10" ht="6.75" hidden="1" customHeight="1" thickBot="1" x14ac:dyDescent="0.35">
      <c r="B33" s="212"/>
      <c r="C33" s="213"/>
      <c r="D33" s="264"/>
      <c r="E33" s="209"/>
      <c r="F33" s="209"/>
      <c r="G33" s="213"/>
      <c r="H33" s="213"/>
      <c r="I33" s="213"/>
      <c r="J33" s="214"/>
    </row>
    <row r="34" spans="2:10" ht="17.25" hidden="1" customHeight="1" thickBot="1" x14ac:dyDescent="0.35">
      <c r="B34" s="212"/>
      <c r="C34" s="213"/>
      <c r="D34" s="263" t="s">
        <v>1068</v>
      </c>
      <c r="E34" s="218" t="s">
        <v>894</v>
      </c>
      <c r="F34" s="218"/>
      <c r="G34" s="1185"/>
      <c r="H34" s="1186"/>
      <c r="I34" s="1187"/>
      <c r="J34" s="214"/>
    </row>
    <row r="35" spans="2:10" ht="6.75" hidden="1" customHeight="1" thickBot="1" x14ac:dyDescent="0.35">
      <c r="B35" s="212"/>
      <c r="C35" s="213"/>
      <c r="D35" s="264"/>
      <c r="E35" s="209"/>
      <c r="F35" s="209"/>
      <c r="G35" s="213"/>
      <c r="H35" s="213"/>
      <c r="I35" s="213"/>
      <c r="J35" s="214"/>
    </row>
    <row r="36" spans="2:10" ht="18" hidden="1" customHeight="1" thickBot="1" x14ac:dyDescent="0.35">
      <c r="B36" s="212"/>
      <c r="C36" s="213"/>
      <c r="D36" s="263" t="s">
        <v>1069</v>
      </c>
      <c r="E36" s="1191" t="s">
        <v>895</v>
      </c>
      <c r="F36" s="1222"/>
      <c r="G36" s="1185"/>
      <c r="H36" s="1186"/>
      <c r="I36" s="1187"/>
      <c r="J36" s="214"/>
    </row>
    <row r="37" spans="2:10" ht="8.25" hidden="1" customHeight="1" thickBot="1" x14ac:dyDescent="0.35">
      <c r="B37" s="212"/>
      <c r="C37" s="213"/>
      <c r="D37" s="257"/>
      <c r="E37" s="1223"/>
      <c r="F37" s="1223"/>
      <c r="G37" s="1223"/>
      <c r="H37" s="1223"/>
      <c r="I37" s="220"/>
      <c r="J37" s="214"/>
    </row>
    <row r="38" spans="2:10" ht="39" customHeight="1" thickBot="1" x14ac:dyDescent="0.35">
      <c r="B38" s="1224" t="s">
        <v>1591</v>
      </c>
      <c r="C38" s="1225"/>
      <c r="D38" s="1225"/>
      <c r="E38" s="1225"/>
      <c r="F38" s="1225"/>
      <c r="G38" s="1225"/>
      <c r="H38" s="1225"/>
      <c r="I38" s="1225"/>
      <c r="J38" s="1226"/>
    </row>
    <row r="39" spans="2:10" ht="4.5" customHeight="1" x14ac:dyDescent="0.3">
      <c r="B39" s="212"/>
      <c r="C39" s="213"/>
      <c r="D39" s="258"/>
      <c r="E39" s="209"/>
      <c r="F39" s="209"/>
      <c r="G39" s="213"/>
      <c r="H39" s="213"/>
      <c r="I39" s="213"/>
      <c r="J39" s="214"/>
    </row>
    <row r="40" spans="2:10" ht="4.5" customHeight="1" thickBot="1" x14ac:dyDescent="0.35">
      <c r="B40" s="212"/>
      <c r="C40" s="213"/>
      <c r="D40" s="258"/>
      <c r="E40" s="209"/>
      <c r="F40" s="209"/>
      <c r="G40" s="213"/>
      <c r="H40" s="213"/>
      <c r="I40" s="213"/>
      <c r="J40" s="214"/>
    </row>
    <row r="41" spans="2:10" ht="30.75" customHeight="1" thickBot="1" x14ac:dyDescent="0.35">
      <c r="B41" s="212"/>
      <c r="C41" s="213"/>
      <c r="D41" s="257">
        <v>906</v>
      </c>
      <c r="E41" s="1191" t="s">
        <v>896</v>
      </c>
      <c r="F41" s="1191"/>
      <c r="G41" s="221"/>
      <c r="H41" s="305" t="str">
        <f>IF(G41="","This Question must be answered before uploading, the report will not be processed if left blank","")</f>
        <v>This Question must be answered before uploading, the report will not be processed if left blank</v>
      </c>
      <c r="I41" s="213"/>
      <c r="J41" s="214"/>
    </row>
    <row r="42" spans="2:10" ht="6.75" customHeight="1" thickBot="1" x14ac:dyDescent="0.35">
      <c r="B42" s="212"/>
      <c r="C42" s="213"/>
      <c r="D42" s="257"/>
      <c r="E42" s="218"/>
      <c r="F42" s="218"/>
      <c r="G42" s="222"/>
      <c r="H42" s="213"/>
      <c r="I42" s="213"/>
      <c r="J42" s="214"/>
    </row>
    <row r="43" spans="2:10" ht="32.25" customHeight="1" thickBot="1" x14ac:dyDescent="0.35">
      <c r="B43" s="212"/>
      <c r="C43" s="213"/>
      <c r="D43" s="257">
        <v>907</v>
      </c>
      <c r="E43" s="1191" t="s">
        <v>897</v>
      </c>
      <c r="F43" s="1191"/>
      <c r="G43" s="221"/>
      <c r="H43" s="305" t="str">
        <f>IF(G43="","This Question must be answered before uploading, the report will not be processed if left blank","")</f>
        <v>This Question must be answered before uploading, the report will not be processed if left blank</v>
      </c>
      <c r="I43" s="213"/>
      <c r="J43" s="214"/>
    </row>
    <row r="44" spans="2:10" ht="6.75" customHeight="1" thickBot="1" x14ac:dyDescent="0.35">
      <c r="B44" s="212"/>
      <c r="C44" s="213"/>
      <c r="D44" s="257"/>
      <c r="E44" s="218"/>
      <c r="F44" s="218"/>
      <c r="G44" s="222"/>
      <c r="H44" s="213"/>
      <c r="I44" s="213"/>
      <c r="J44" s="214"/>
    </row>
    <row r="45" spans="2:10" ht="32.25" customHeight="1" thickBot="1" x14ac:dyDescent="0.35">
      <c r="B45" s="212"/>
      <c r="C45" s="213"/>
      <c r="D45" s="257">
        <v>951</v>
      </c>
      <c r="E45" s="1191" t="s">
        <v>898</v>
      </c>
      <c r="F45" s="1191"/>
      <c r="G45" s="221"/>
      <c r="H45" s="305" t="str">
        <f>IF(G45="","This Question must be answered before uploading, the report will not be processed if left blank","")</f>
        <v>This Question must be answered before uploading, the report will not be processed if left blank</v>
      </c>
      <c r="I45" s="209"/>
      <c r="J45" s="214"/>
    </row>
    <row r="46" spans="2:10" ht="6.75" customHeight="1" thickBot="1" x14ac:dyDescent="0.35">
      <c r="B46" s="212"/>
      <c r="C46" s="213"/>
      <c r="D46" s="257"/>
      <c r="E46" s="218"/>
      <c r="F46" s="218"/>
      <c r="G46" s="222"/>
      <c r="H46" s="213"/>
      <c r="I46" s="213"/>
      <c r="J46" s="214"/>
    </row>
    <row r="47" spans="2:10" ht="33" customHeight="1" thickBot="1" x14ac:dyDescent="0.35">
      <c r="B47" s="212"/>
      <c r="C47" s="213"/>
      <c r="D47" s="257">
        <v>953</v>
      </c>
      <c r="E47" s="1191" t="s">
        <v>899</v>
      </c>
      <c r="F47" s="1191"/>
      <c r="G47" s="221"/>
      <c r="H47" s="305" t="str">
        <f>IF(G47="","This Question must be answered before uploading, the report will not be processed if left blank","")</f>
        <v>This Question must be answered before uploading, the report will not be processed if left blank</v>
      </c>
      <c r="I47" s="209"/>
      <c r="J47" s="214"/>
    </row>
    <row r="48" spans="2:10" ht="6.75" customHeight="1" thickBot="1" x14ac:dyDescent="0.35">
      <c r="B48" s="212"/>
      <c r="C48" s="213"/>
      <c r="D48" s="259"/>
      <c r="E48" s="218"/>
      <c r="F48" s="218"/>
      <c r="G48" s="222"/>
      <c r="H48" s="213"/>
      <c r="I48" s="213"/>
      <c r="J48" s="214"/>
    </row>
    <row r="49" spans="2:43" ht="32.25" customHeight="1" thickBot="1" x14ac:dyDescent="0.35">
      <c r="B49" s="212"/>
      <c r="C49" s="213"/>
      <c r="D49" s="257">
        <v>955</v>
      </c>
      <c r="E49" s="1191" t="s">
        <v>900</v>
      </c>
      <c r="F49" s="1191"/>
      <c r="G49" s="226"/>
      <c r="H49" s="305" t="str">
        <f>IF(G49="","This Question must be answered before uploading, the report will not be processed if left blank","")</f>
        <v>This Question must be answered before uploading, the report will not be processed if left blank</v>
      </c>
      <c r="I49" s="227"/>
      <c r="J49" s="228"/>
    </row>
    <row r="50" spans="2:43" ht="6.75" customHeight="1" thickBot="1" x14ac:dyDescent="0.35">
      <c r="B50" s="212"/>
      <c r="C50" s="213"/>
      <c r="D50" s="257"/>
      <c r="E50" s="218"/>
      <c r="F50" s="218"/>
      <c r="G50" s="222"/>
      <c r="H50" s="227"/>
      <c r="I50" s="227"/>
      <c r="J50" s="228"/>
    </row>
    <row r="51" spans="2:43" ht="39.75" customHeight="1" thickBot="1" x14ac:dyDescent="0.35">
      <c r="B51" s="212"/>
      <c r="C51" s="213"/>
      <c r="D51" s="257">
        <v>957</v>
      </c>
      <c r="E51" s="1191" t="s">
        <v>901</v>
      </c>
      <c r="F51" s="1191"/>
      <c r="G51" s="226"/>
      <c r="H51" s="305" t="str">
        <f>IF(G51="","This Question must be answered before uploading, the report will not be processed if left blank","")</f>
        <v>This Question must be answered before uploading, the report will not be processed if left blank</v>
      </c>
      <c r="I51" s="227"/>
      <c r="J51" s="228"/>
    </row>
    <row r="52" spans="2:43" ht="9.75" customHeight="1" thickBot="1" x14ac:dyDescent="0.35">
      <c r="B52" s="212"/>
      <c r="C52" s="213"/>
      <c r="D52" s="258"/>
      <c r="E52" s="209"/>
      <c r="F52" s="209"/>
      <c r="G52" s="213"/>
      <c r="H52" s="213"/>
      <c r="I52" s="213"/>
      <c r="J52" s="214"/>
    </row>
    <row r="53" spans="2:43" ht="35.1" customHeight="1" thickBot="1" x14ac:dyDescent="0.35">
      <c r="B53" s="212"/>
      <c r="C53" s="213"/>
      <c r="D53" s="257">
        <v>959</v>
      </c>
      <c r="E53" s="1192" t="s">
        <v>1328</v>
      </c>
      <c r="F53" s="1192"/>
      <c r="G53" s="221"/>
      <c r="H53" s="305" t="str">
        <f>IF(G53="","This Question must be answered before uploading, the report will not be processed if left blank","")</f>
        <v>This Question must be answered before uploading, the report will not be processed if left blank</v>
      </c>
      <c r="I53" s="213"/>
      <c r="J53" s="214"/>
    </row>
    <row r="54" spans="2:43" ht="8.25" customHeight="1" thickBot="1" x14ac:dyDescent="0.35">
      <c r="B54" s="212"/>
      <c r="C54" s="213"/>
      <c r="D54" s="257"/>
      <c r="E54" s="383"/>
      <c r="F54" s="383"/>
      <c r="G54" s="213"/>
      <c r="H54" s="213"/>
      <c r="I54" s="213"/>
      <c r="J54" s="214"/>
    </row>
    <row r="55" spans="2:43" ht="67.5" customHeight="1" thickBot="1" x14ac:dyDescent="0.35">
      <c r="B55" s="212"/>
      <c r="C55" s="229"/>
      <c r="D55" s="257">
        <v>973</v>
      </c>
      <c r="E55" s="1192" t="s">
        <v>1402</v>
      </c>
      <c r="F55" s="1192"/>
      <c r="G55" s="388"/>
      <c r="H55" s="305" t="str">
        <f>IF(G55="","This Question must be answered before uploading, the report will not be processed if left blank","")</f>
        <v>This Question must be answered before uploading, the report will not be processed if left blank</v>
      </c>
      <c r="I55" s="283"/>
      <c r="J55" s="214"/>
    </row>
    <row r="56" spans="2:43" ht="6.75" customHeight="1" thickBot="1" x14ac:dyDescent="0.35">
      <c r="B56" s="212"/>
      <c r="C56" s="229"/>
      <c r="D56" s="260"/>
      <c r="E56" s="209"/>
      <c r="F56" s="209"/>
      <c r="G56" s="256"/>
      <c r="H56" s="213"/>
      <c r="I56" s="213"/>
      <c r="J56" s="214"/>
    </row>
    <row r="57" spans="2:43" ht="98.25" customHeight="1" thickBot="1" x14ac:dyDescent="0.35">
      <c r="B57" s="212"/>
      <c r="C57" s="213"/>
      <c r="D57" s="257">
        <v>974</v>
      </c>
      <c r="E57" s="1191" t="s">
        <v>1332</v>
      </c>
      <c r="F57" s="1193"/>
      <c r="G57" s="221"/>
      <c r="H57" s="304" t="str">
        <f>IF(G57="","This Question must be answered before uploading, the report will not be processed if left blank","")</f>
        <v>This Question must be answered before uploading, the report will not be processed if left blank</v>
      </c>
      <c r="I57" s="230"/>
      <c r="J57" s="214"/>
    </row>
    <row r="58" spans="2:43" ht="6.75" hidden="1" customHeight="1" x14ac:dyDescent="0.3">
      <c r="B58" s="212"/>
      <c r="C58" s="213"/>
      <c r="D58" s="257"/>
      <c r="E58" s="218"/>
      <c r="F58" s="218"/>
      <c r="G58" s="222"/>
      <c r="H58" s="213"/>
      <c r="I58" s="213"/>
      <c r="J58" s="214"/>
    </row>
    <row r="59" spans="2:43" ht="6.75" hidden="1" customHeight="1" thickBot="1" x14ac:dyDescent="0.35">
      <c r="B59" s="212"/>
      <c r="C59" s="213"/>
      <c r="D59" s="257"/>
      <c r="E59" s="218"/>
      <c r="F59" s="218"/>
      <c r="G59" s="222"/>
      <c r="H59" s="209"/>
      <c r="I59" s="213"/>
      <c r="J59" s="214"/>
    </row>
    <row r="60" spans="2:43" ht="29.25" hidden="1" customHeight="1" thickBot="1" x14ac:dyDescent="0.35">
      <c r="B60" s="212"/>
      <c r="C60" s="213"/>
      <c r="D60" s="257">
        <v>965</v>
      </c>
      <c r="E60" s="1191" t="s">
        <v>902</v>
      </c>
      <c r="F60" s="1191"/>
      <c r="G60" s="224"/>
      <c r="H60" s="305" t="str">
        <f>IF(G60="","This Question must be answered before uploading, the report will not be processed if left blank","")</f>
        <v>This Question must be answered before uploading, the report will not be processed if left blank</v>
      </c>
      <c r="I60" s="223"/>
      <c r="J60" s="214"/>
    </row>
    <row r="61" spans="2:43" ht="6.75" customHeight="1" thickBot="1" x14ac:dyDescent="0.35">
      <c r="B61" s="212"/>
      <c r="C61" s="213"/>
      <c r="D61" s="258"/>
      <c r="E61" s="209"/>
      <c r="F61" s="209"/>
      <c r="G61" s="222"/>
      <c r="H61" s="209"/>
      <c r="I61" s="223"/>
      <c r="J61" s="214"/>
    </row>
    <row r="62" spans="2:43" s="235" customFormat="1" ht="30.75" customHeight="1" thickBot="1" x14ac:dyDescent="0.35">
      <c r="B62" s="231"/>
      <c r="C62" s="232"/>
      <c r="D62" s="257" t="s">
        <v>1137</v>
      </c>
      <c r="E62" s="233" t="s">
        <v>903</v>
      </c>
      <c r="F62" s="234" t="str">
        <f>IF(G62="Yes", "Please Submit Management Letter","")</f>
        <v/>
      </c>
      <c r="G62" s="221"/>
      <c r="H62" s="305" t="str">
        <f>IF(G62="","This Question must be answered before uploading, the report will not be processed if left blank","")</f>
        <v>This Question must be answered before uploading, the report will not be processed if left blank</v>
      </c>
      <c r="I62" s="282"/>
      <c r="J62" s="214"/>
      <c r="K62"/>
      <c r="L62"/>
      <c r="M62"/>
      <c r="N62"/>
      <c r="O62"/>
      <c r="P62"/>
      <c r="Q62"/>
      <c r="R62"/>
      <c r="S62"/>
      <c r="T62"/>
      <c r="U62"/>
      <c r="V62"/>
      <c r="W62"/>
      <c r="X62"/>
      <c r="Y62"/>
      <c r="Z62"/>
      <c r="AA62"/>
      <c r="AB62"/>
      <c r="AC62"/>
      <c r="AD62"/>
      <c r="AE62"/>
      <c r="AF62"/>
      <c r="AG62"/>
      <c r="AH62"/>
      <c r="AI62"/>
      <c r="AJ62"/>
      <c r="AK62"/>
      <c r="AL62"/>
      <c r="AM62"/>
      <c r="AN62"/>
      <c r="AO62"/>
      <c r="AP62" s="225"/>
      <c r="AQ62" s="225"/>
    </row>
    <row r="63" spans="2:43" s="235" customFormat="1" ht="9.75" customHeight="1" thickBot="1" x14ac:dyDescent="0.35">
      <c r="B63" s="231"/>
      <c r="C63" s="232"/>
      <c r="D63" s="258"/>
      <c r="E63" s="236"/>
      <c r="F63" s="237"/>
      <c r="G63" s="222"/>
      <c r="H63" s="209"/>
      <c r="I63" s="223"/>
      <c r="J63" s="214"/>
      <c r="K63"/>
      <c r="L63"/>
      <c r="M63"/>
      <c r="N63"/>
      <c r="O63"/>
      <c r="P63"/>
      <c r="Q63"/>
      <c r="R63"/>
      <c r="S63"/>
      <c r="T63"/>
      <c r="U63"/>
      <c r="V63"/>
      <c r="W63"/>
      <c r="X63"/>
      <c r="Y63"/>
      <c r="Z63"/>
      <c r="AA63"/>
      <c r="AB63"/>
      <c r="AC63"/>
      <c r="AD63"/>
      <c r="AE63"/>
      <c r="AF63"/>
      <c r="AG63"/>
      <c r="AH63"/>
      <c r="AI63"/>
      <c r="AJ63"/>
      <c r="AK63"/>
      <c r="AL63"/>
      <c r="AM63"/>
      <c r="AN63"/>
      <c r="AO63"/>
      <c r="AP63" s="225"/>
      <c r="AQ63" s="225"/>
    </row>
    <row r="64" spans="2:43" s="235" customFormat="1" ht="31.5" customHeight="1" thickBot="1" x14ac:dyDescent="0.35">
      <c r="B64" s="231"/>
      <c r="C64" s="232"/>
      <c r="D64" s="257" t="s">
        <v>1138</v>
      </c>
      <c r="E64" s="233" t="s">
        <v>904</v>
      </c>
      <c r="F64" s="234" t="str">
        <f>IF(G64="Yes", "Please Submit AU-C 260 Letter","")</f>
        <v/>
      </c>
      <c r="G64" s="221"/>
      <c r="H64" s="305" t="str">
        <f>IF(G64="","This Question must be answered before uploading, the report will not be processed if left blank","")</f>
        <v>This Question must be answered before uploading, the report will not be processed if left blank</v>
      </c>
      <c r="I64" s="282"/>
      <c r="J64" s="214"/>
      <c r="K64"/>
      <c r="L64"/>
      <c r="M64"/>
      <c r="N64"/>
      <c r="O64"/>
      <c r="P64"/>
      <c r="Q64"/>
      <c r="R64"/>
      <c r="S64"/>
      <c r="T64"/>
      <c r="U64"/>
      <c r="V64"/>
      <c r="W64"/>
      <c r="X64"/>
      <c r="Y64"/>
      <c r="Z64"/>
      <c r="AA64"/>
      <c r="AB64"/>
      <c r="AC64"/>
      <c r="AD64"/>
      <c r="AE64"/>
      <c r="AF64"/>
      <c r="AG64"/>
      <c r="AH64"/>
      <c r="AI64"/>
      <c r="AJ64"/>
      <c r="AK64"/>
      <c r="AL64"/>
      <c r="AM64"/>
      <c r="AN64"/>
      <c r="AO64"/>
      <c r="AP64" s="225"/>
      <c r="AQ64" s="225"/>
    </row>
    <row r="65" spans="2:43" s="235" customFormat="1" ht="8.25" customHeight="1" thickBot="1" x14ac:dyDescent="0.35">
      <c r="B65" s="231"/>
      <c r="C65" s="232"/>
      <c r="D65" s="258"/>
      <c r="E65" s="238"/>
      <c r="F65" s="237"/>
      <c r="G65" s="222"/>
      <c r="H65" s="209"/>
      <c r="I65" s="223"/>
      <c r="J65" s="214"/>
      <c r="K65"/>
      <c r="L65"/>
      <c r="M65"/>
      <c r="N65"/>
      <c r="O65"/>
      <c r="P65"/>
      <c r="Q65"/>
      <c r="R65"/>
      <c r="S65"/>
      <c r="T65"/>
      <c r="U65"/>
      <c r="V65"/>
      <c r="W65"/>
      <c r="X65"/>
      <c r="Y65"/>
      <c r="Z65"/>
      <c r="AA65"/>
      <c r="AB65"/>
      <c r="AC65"/>
      <c r="AD65"/>
      <c r="AE65"/>
      <c r="AF65"/>
      <c r="AG65"/>
      <c r="AH65"/>
      <c r="AI65"/>
      <c r="AJ65"/>
      <c r="AK65"/>
      <c r="AL65"/>
      <c r="AM65"/>
      <c r="AN65"/>
      <c r="AO65"/>
      <c r="AP65" s="225"/>
      <c r="AQ65" s="225"/>
    </row>
    <row r="66" spans="2:43" s="235" customFormat="1" ht="33.75" customHeight="1" thickBot="1" x14ac:dyDescent="0.35">
      <c r="B66" s="231"/>
      <c r="C66" s="232"/>
      <c r="D66" s="257" t="s">
        <v>1139</v>
      </c>
      <c r="E66" s="233" t="s">
        <v>905</v>
      </c>
      <c r="F66" s="234" t="str">
        <f>IF(G66="Yes", "Please Submit AU-C 265 Letter","")</f>
        <v/>
      </c>
      <c r="G66" s="221"/>
      <c r="H66" s="305" t="str">
        <f>IF(G66="","This Question must be answered before uploading, the report will not be processed if left blank","")</f>
        <v>This Question must be answered before uploading, the report will not be processed if left blank</v>
      </c>
      <c r="I66" s="282"/>
      <c r="J66" s="214"/>
      <c r="K66"/>
      <c r="L66"/>
      <c r="M66"/>
      <c r="N66"/>
      <c r="O66"/>
      <c r="P66"/>
      <c r="Q66"/>
      <c r="R66"/>
      <c r="S66"/>
      <c r="T66"/>
      <c r="U66"/>
      <c r="V66"/>
      <c r="W66"/>
      <c r="X66"/>
      <c r="Y66"/>
      <c r="Z66"/>
      <c r="AA66"/>
      <c r="AB66"/>
      <c r="AC66"/>
      <c r="AD66"/>
      <c r="AE66"/>
      <c r="AF66"/>
      <c r="AG66"/>
      <c r="AH66"/>
      <c r="AI66"/>
      <c r="AJ66"/>
      <c r="AK66"/>
      <c r="AL66"/>
      <c r="AM66"/>
      <c r="AN66"/>
      <c r="AO66"/>
      <c r="AP66" s="225"/>
      <c r="AQ66" s="225"/>
    </row>
    <row r="67" spans="2:43" ht="6.75" customHeight="1" thickBot="1" x14ac:dyDescent="0.35">
      <c r="B67" s="212"/>
      <c r="C67" s="213"/>
      <c r="D67" s="258"/>
      <c r="E67" s="239"/>
      <c r="F67" s="239"/>
      <c r="G67" s="216"/>
      <c r="H67" s="209"/>
      <c r="I67" s="209"/>
      <c r="J67" s="214"/>
    </row>
    <row r="68" spans="2:43" s="235" customFormat="1" ht="35.25" customHeight="1" thickBot="1" x14ac:dyDescent="0.35">
      <c r="B68" s="231"/>
      <c r="C68" s="216"/>
      <c r="D68" s="391">
        <v>977</v>
      </c>
      <c r="E68" s="1194" t="s">
        <v>1313</v>
      </c>
      <c r="F68" s="1195"/>
      <c r="G68" s="389"/>
      <c r="H68" s="305" t="str">
        <f>IF(G68="","This Question must be answered before uploading, the report will not be processed if left blank","")</f>
        <v>This Question must be answered before uploading, the report will not be processed if left blank</v>
      </c>
      <c r="I68" s="223"/>
      <c r="J68" s="214"/>
      <c r="K68"/>
      <c r="L68"/>
      <c r="M68"/>
      <c r="N68"/>
      <c r="O68"/>
      <c r="P68"/>
      <c r="Q68"/>
      <c r="R68"/>
      <c r="S68"/>
      <c r="T68"/>
      <c r="U68"/>
      <c r="V68"/>
      <c r="W68"/>
      <c r="X68"/>
      <c r="Y68"/>
      <c r="Z68"/>
      <c r="AA68"/>
      <c r="AB68"/>
      <c r="AC68"/>
      <c r="AD68"/>
      <c r="AE68"/>
      <c r="AF68"/>
      <c r="AG68"/>
      <c r="AH68"/>
      <c r="AI68"/>
      <c r="AJ68"/>
      <c r="AK68"/>
      <c r="AL68"/>
      <c r="AM68"/>
      <c r="AN68"/>
      <c r="AO68"/>
      <c r="AP68" s="225"/>
      <c r="AQ68" s="225"/>
    </row>
    <row r="69" spans="2:43" s="235" customFormat="1" ht="8.25" customHeight="1" thickBot="1" x14ac:dyDescent="0.35">
      <c r="B69" s="231"/>
      <c r="C69" s="216"/>
      <c r="D69" s="257"/>
      <c r="E69" s="265"/>
      <c r="F69" s="266"/>
      <c r="G69" s="222"/>
      <c r="H69" s="209"/>
      <c r="I69" s="223"/>
      <c r="J69" s="214"/>
      <c r="K69"/>
      <c r="L69"/>
      <c r="M69"/>
      <c r="N69"/>
      <c r="O69"/>
      <c r="P69"/>
      <c r="Q69"/>
      <c r="R69"/>
      <c r="S69"/>
      <c r="T69"/>
      <c r="U69"/>
      <c r="V69"/>
      <c r="W69"/>
      <c r="X69"/>
      <c r="Y69"/>
      <c r="Z69"/>
      <c r="AA69"/>
      <c r="AB69"/>
      <c r="AC69"/>
      <c r="AD69"/>
      <c r="AE69"/>
      <c r="AF69"/>
      <c r="AG69"/>
      <c r="AH69"/>
      <c r="AI69"/>
      <c r="AJ69"/>
      <c r="AK69"/>
      <c r="AL69"/>
      <c r="AM69"/>
      <c r="AN69"/>
      <c r="AO69"/>
      <c r="AP69" s="225"/>
      <c r="AQ69" s="225"/>
    </row>
    <row r="70" spans="2:43" s="235" customFormat="1" ht="30" customHeight="1" thickBot="1" x14ac:dyDescent="0.35">
      <c r="B70" s="231"/>
      <c r="C70" s="216"/>
      <c r="D70" s="391">
        <v>978</v>
      </c>
      <c r="E70" s="1194" t="s">
        <v>1071</v>
      </c>
      <c r="F70" s="1195"/>
      <c r="G70" s="389"/>
      <c r="H70" s="305" t="str">
        <f>IF(G70="","This Question must be answered before uploading, the report will not be processed if left blank","")</f>
        <v>This Question must be answered before uploading, the report will not be processed if left blank</v>
      </c>
      <c r="I70" s="223"/>
      <c r="J70" s="214"/>
      <c r="K70"/>
      <c r="L70"/>
      <c r="M70"/>
      <c r="N70"/>
      <c r="O70"/>
      <c r="P70"/>
      <c r="Q70"/>
      <c r="R70"/>
      <c r="S70"/>
      <c r="T70"/>
      <c r="U70"/>
      <c r="V70"/>
      <c r="W70"/>
      <c r="X70"/>
      <c r="Y70"/>
      <c r="Z70"/>
      <c r="AA70"/>
      <c r="AB70"/>
      <c r="AC70"/>
      <c r="AD70"/>
      <c r="AE70"/>
      <c r="AF70"/>
      <c r="AG70"/>
      <c r="AH70"/>
      <c r="AI70"/>
      <c r="AJ70"/>
      <c r="AK70"/>
      <c r="AL70"/>
      <c r="AM70"/>
      <c r="AN70"/>
      <c r="AO70"/>
      <c r="AP70" s="225"/>
      <c r="AQ70" s="225"/>
    </row>
    <row r="71" spans="2:43" s="235" customFormat="1" ht="8.25" customHeight="1" thickBot="1" x14ac:dyDescent="0.35">
      <c r="B71" s="231"/>
      <c r="C71" s="216"/>
      <c r="D71" s="391"/>
      <c r="E71" s="265"/>
      <c r="F71" s="266"/>
      <c r="G71" s="222"/>
      <c r="H71" s="209"/>
      <c r="I71" s="223"/>
      <c r="J71" s="214"/>
      <c r="K71"/>
      <c r="L71"/>
      <c r="M71"/>
      <c r="N71"/>
      <c r="O71"/>
      <c r="P71"/>
      <c r="Q71"/>
      <c r="R71"/>
      <c r="S71"/>
      <c r="T71"/>
      <c r="U71"/>
      <c r="V71"/>
      <c r="W71"/>
      <c r="X71"/>
      <c r="Y71"/>
      <c r="Z71"/>
      <c r="AA71"/>
      <c r="AB71"/>
      <c r="AC71"/>
      <c r="AD71"/>
      <c r="AE71"/>
      <c r="AF71"/>
      <c r="AG71"/>
      <c r="AH71"/>
      <c r="AI71"/>
      <c r="AJ71"/>
      <c r="AK71"/>
      <c r="AL71"/>
      <c r="AM71"/>
      <c r="AN71"/>
      <c r="AO71"/>
      <c r="AP71" s="225"/>
      <c r="AQ71" s="225"/>
    </row>
    <row r="72" spans="2:43" s="235" customFormat="1" ht="36.75" customHeight="1" thickBot="1" x14ac:dyDescent="0.35">
      <c r="B72" s="231"/>
      <c r="C72" s="216"/>
      <c r="D72" s="391">
        <v>979</v>
      </c>
      <c r="E72" s="1194" t="s">
        <v>1689</v>
      </c>
      <c r="F72" s="1195"/>
      <c r="G72" s="389"/>
      <c r="H72" s="305" t="str">
        <f>IF(G72="","This Question must be answered before uploading, the report will not be processed if left blank","")</f>
        <v>This Question must be answered before uploading, the report will not be processed if left blank</v>
      </c>
      <c r="I72" s="223"/>
      <c r="J72" s="214"/>
      <c r="K72"/>
      <c r="L72"/>
      <c r="M72"/>
      <c r="N72"/>
      <c r="O72"/>
      <c r="P72"/>
      <c r="Q72"/>
      <c r="R72"/>
      <c r="S72"/>
      <c r="T72"/>
      <c r="U72"/>
      <c r="V72"/>
      <c r="W72"/>
      <c r="X72"/>
      <c r="Y72"/>
      <c r="Z72"/>
      <c r="AA72"/>
      <c r="AB72"/>
      <c r="AC72"/>
      <c r="AD72"/>
      <c r="AE72"/>
      <c r="AF72"/>
      <c r="AG72"/>
      <c r="AH72"/>
      <c r="AI72"/>
      <c r="AJ72"/>
      <c r="AK72"/>
      <c r="AL72"/>
      <c r="AM72"/>
      <c r="AN72"/>
      <c r="AO72"/>
      <c r="AP72" s="225"/>
      <c r="AQ72" s="225"/>
    </row>
    <row r="73" spans="2:43" s="267" customFormat="1" ht="6.75" customHeight="1" thickBot="1" x14ac:dyDescent="0.35">
      <c r="B73" s="231"/>
      <c r="C73" s="216"/>
      <c r="D73" s="257"/>
      <c r="E73" s="265"/>
      <c r="F73" s="266"/>
      <c r="G73" s="222"/>
      <c r="H73" s="209"/>
      <c r="I73" s="223"/>
      <c r="J73" s="214"/>
      <c r="K73"/>
      <c r="L73"/>
      <c r="M73"/>
      <c r="N73"/>
      <c r="O73"/>
      <c r="P73"/>
      <c r="Q73"/>
      <c r="R73"/>
      <c r="S73"/>
      <c r="T73"/>
      <c r="U73"/>
      <c r="V73"/>
      <c r="W73"/>
      <c r="X73"/>
      <c r="Y73"/>
      <c r="Z73"/>
      <c r="AA73"/>
      <c r="AB73"/>
      <c r="AC73"/>
      <c r="AD73"/>
      <c r="AE73"/>
      <c r="AF73"/>
      <c r="AG73"/>
      <c r="AH73"/>
      <c r="AI73"/>
      <c r="AJ73"/>
      <c r="AK73"/>
      <c r="AL73"/>
      <c r="AM73"/>
      <c r="AN73"/>
      <c r="AO73"/>
      <c r="AP73" s="268"/>
      <c r="AQ73" s="268"/>
    </row>
    <row r="74" spans="2:43" s="235" customFormat="1" ht="39" customHeight="1" thickBot="1" x14ac:dyDescent="0.35">
      <c r="B74" s="231"/>
      <c r="C74" s="216"/>
      <c r="D74" s="391">
        <v>980</v>
      </c>
      <c r="E74" s="1196" t="s">
        <v>1070</v>
      </c>
      <c r="F74" s="1196"/>
      <c r="G74" s="390"/>
      <c r="H74" s="305" t="str">
        <f>IF(G74="","This Question must be answered before uploading, the report will not be processed if left blank","")</f>
        <v>This Question must be answered before uploading, the report will not be processed if left blank</v>
      </c>
      <c r="I74" s="223"/>
      <c r="J74" s="214"/>
      <c r="K74"/>
      <c r="L74"/>
      <c r="M74"/>
      <c r="N74"/>
      <c r="O74"/>
      <c r="P74"/>
      <c r="Q74"/>
      <c r="R74"/>
      <c r="S74"/>
      <c r="T74"/>
      <c r="U74"/>
      <c r="V74"/>
      <c r="W74"/>
      <c r="X74"/>
      <c r="Y74"/>
      <c r="Z74"/>
      <c r="AA74"/>
      <c r="AB74"/>
      <c r="AC74"/>
      <c r="AD74"/>
      <c r="AE74"/>
      <c r="AF74"/>
      <c r="AG74"/>
      <c r="AH74"/>
      <c r="AI74"/>
      <c r="AJ74"/>
      <c r="AK74"/>
      <c r="AL74"/>
      <c r="AM74"/>
      <c r="AN74"/>
      <c r="AO74"/>
      <c r="AP74" s="225"/>
      <c r="AQ74" s="225"/>
    </row>
    <row r="75" spans="2:43" s="235" customFormat="1" ht="8.25" customHeight="1" thickBot="1" x14ac:dyDescent="0.35">
      <c r="B75" s="231"/>
      <c r="C75" s="216"/>
      <c r="D75" s="391"/>
      <c r="E75" s="1133"/>
      <c r="F75" s="266"/>
      <c r="G75" s="222"/>
      <c r="H75" s="1132"/>
      <c r="I75" s="223"/>
      <c r="J75" s="214"/>
      <c r="K75"/>
      <c r="L75"/>
      <c r="M75"/>
      <c r="N75"/>
      <c r="O75"/>
      <c r="P75"/>
      <c r="Q75"/>
      <c r="R75"/>
      <c r="S75"/>
      <c r="T75"/>
      <c r="U75"/>
      <c r="V75"/>
      <c r="W75"/>
      <c r="X75"/>
      <c r="Y75"/>
      <c r="Z75"/>
      <c r="AA75"/>
      <c r="AB75"/>
      <c r="AC75"/>
      <c r="AD75"/>
      <c r="AE75"/>
      <c r="AF75"/>
      <c r="AG75"/>
      <c r="AH75"/>
      <c r="AI75"/>
      <c r="AJ75"/>
      <c r="AK75"/>
      <c r="AL75"/>
      <c r="AM75"/>
      <c r="AN75"/>
      <c r="AO75"/>
      <c r="AP75" s="225"/>
      <c r="AQ75" s="225"/>
    </row>
    <row r="76" spans="2:43" ht="32.25" customHeight="1" thickBot="1" x14ac:dyDescent="0.35">
      <c r="B76" s="212"/>
      <c r="C76" s="229"/>
      <c r="D76" s="257">
        <v>975</v>
      </c>
      <c r="E76" s="1191" t="s">
        <v>1073</v>
      </c>
      <c r="F76" s="1193"/>
      <c r="G76" s="389"/>
      <c r="H76" s="304" t="str">
        <f>IF(G76="","This Question must be answered before uploading, the report will not be processed if left blank","")</f>
        <v>This Question must be answered before uploading, the report will not be processed if left blank</v>
      </c>
      <c r="I76" s="227"/>
      <c r="J76" s="228"/>
    </row>
    <row r="77" spans="2:43" ht="11.25" customHeight="1" thickBot="1" x14ac:dyDescent="0.35">
      <c r="B77" s="212"/>
      <c r="C77" s="229"/>
      <c r="D77" s="260"/>
      <c r="E77" s="1191"/>
      <c r="F77" s="1191"/>
      <c r="G77" s="278"/>
      <c r="H77" s="227"/>
      <c r="I77" s="213"/>
      <c r="J77" s="228"/>
    </row>
    <row r="78" spans="2:43" ht="61.5" customHeight="1" thickBot="1" x14ac:dyDescent="0.35">
      <c r="B78" s="212"/>
      <c r="C78" s="229"/>
      <c r="D78" s="257">
        <v>976</v>
      </c>
      <c r="E78" s="1191" t="s">
        <v>1285</v>
      </c>
      <c r="F78" s="1193"/>
      <c r="G78" s="221"/>
      <c r="H78" s="304" t="str">
        <f>IF(G78="","This Question must be answered before uploading, the report will not be processed if left blank","")</f>
        <v>This Question must be answered before uploading, the report will not be processed if left blank</v>
      </c>
      <c r="I78" s="227"/>
      <c r="J78" s="228"/>
    </row>
    <row r="79" spans="2:43" ht="39" customHeight="1" thickBot="1" x14ac:dyDescent="0.35">
      <c r="B79" s="200"/>
      <c r="C79" s="201"/>
      <c r="D79" s="202"/>
      <c r="E79" s="203"/>
      <c r="F79" s="204"/>
      <c r="G79" s="277"/>
      <c r="H79" s="204"/>
      <c r="I79" s="204"/>
      <c r="J79" s="205"/>
    </row>
    <row r="80" spans="2:43" ht="10.5" customHeight="1" thickBot="1" x14ac:dyDescent="0.35">
      <c r="B80" s="212"/>
      <c r="C80" s="213"/>
      <c r="D80" s="258"/>
      <c r="E80" s="209"/>
      <c r="F80" s="209"/>
      <c r="G80" s="216"/>
      <c r="H80" s="213"/>
      <c r="I80" s="213"/>
      <c r="J80" s="214"/>
    </row>
    <row r="81" spans="1:10" ht="42" customHeight="1" thickBot="1" x14ac:dyDescent="0.35">
      <c r="B81" s="212"/>
      <c r="C81" s="213"/>
      <c r="D81" s="258" t="s">
        <v>1140</v>
      </c>
      <c r="E81" s="1168" t="str">
        <f>IF(G81="","This Question must be answered before uploading, the report will not be processed if left blank","")</f>
        <v>This Question must be answered before uploading, the report will not be processed if left blank</v>
      </c>
      <c r="F81" s="1167" t="s">
        <v>906</v>
      </c>
      <c r="G81" s="1185"/>
      <c r="H81" s="1186"/>
      <c r="I81" s="1187"/>
      <c r="J81" s="214"/>
    </row>
    <row r="82" spans="1:10" ht="6.75" customHeight="1" thickBot="1" x14ac:dyDescent="0.35">
      <c r="B82" s="212"/>
      <c r="C82" s="213"/>
      <c r="D82" s="258"/>
      <c r="E82" s="239"/>
      <c r="F82" s="239"/>
      <c r="G82" s="216"/>
      <c r="H82" s="216"/>
      <c r="I82" s="216"/>
      <c r="J82" s="214"/>
    </row>
    <row r="83" spans="1:10" ht="42.6" customHeight="1" thickBot="1" x14ac:dyDescent="0.35">
      <c r="B83" s="212"/>
      <c r="C83" s="213"/>
      <c r="D83" s="258" t="s">
        <v>1141</v>
      </c>
      <c r="E83" s="1168" t="str">
        <f>IF(G83="","This Question must be answered before uploading, the report will not be processed if left blank","")</f>
        <v>This Question must be answered before uploading, the report will not be processed if left blank</v>
      </c>
      <c r="F83" s="1167" t="s">
        <v>907</v>
      </c>
      <c r="G83" s="1185"/>
      <c r="H83" s="1186"/>
      <c r="I83" s="1187"/>
      <c r="J83" s="214"/>
    </row>
    <row r="84" spans="1:10" ht="6.75" customHeight="1" thickBot="1" x14ac:dyDescent="0.35">
      <c r="B84" s="212"/>
      <c r="C84" s="213"/>
      <c r="D84" s="258"/>
      <c r="E84" s="239"/>
      <c r="F84" s="239"/>
      <c r="G84" s="240"/>
      <c r="H84" s="216"/>
      <c r="I84" s="216"/>
      <c r="J84" s="214"/>
    </row>
    <row r="85" spans="1:10" ht="37.200000000000003" customHeight="1" thickBot="1" x14ac:dyDescent="0.35">
      <c r="B85" s="212"/>
      <c r="C85" s="213"/>
      <c r="D85" s="258" t="s">
        <v>1794</v>
      </c>
      <c r="E85" s="1168" t="str">
        <f>IF(G85="","This Question must be answered before uploading, the report will not be processed if left blank","")</f>
        <v>This Question must be answered before uploading, the report will not be processed if left blank</v>
      </c>
      <c r="F85" s="1167" t="s">
        <v>1336</v>
      </c>
      <c r="G85" s="217"/>
      <c r="H85" s="216"/>
      <c r="I85" s="216"/>
      <c r="J85" s="214"/>
    </row>
    <row r="86" spans="1:10" ht="6.75" customHeight="1" x14ac:dyDescent="0.3">
      <c r="B86" s="212"/>
      <c r="C86" s="213"/>
      <c r="D86" s="258"/>
      <c r="E86" s="239"/>
      <c r="F86" s="239"/>
      <c r="G86" s="216"/>
      <c r="H86" s="216"/>
      <c r="I86" s="216"/>
      <c r="J86" s="214"/>
    </row>
    <row r="87" spans="1:10" ht="30" hidden="1" customHeight="1" x14ac:dyDescent="0.3">
      <c r="B87" s="212"/>
      <c r="C87" s="213"/>
      <c r="D87" s="258"/>
      <c r="E87" s="1188"/>
      <c r="F87" s="1188"/>
      <c r="G87" s="241" t="str">
        <f>CONCATENATE(G10," 2021 TD.xlsx")</f>
        <v xml:space="preserve"> 2021 TD.xlsx</v>
      </c>
      <c r="H87" s="241"/>
      <c r="I87" s="242"/>
      <c r="J87" s="214"/>
    </row>
    <row r="88" spans="1:10" ht="19.2" customHeight="1" x14ac:dyDescent="0.3">
      <c r="B88" s="212"/>
      <c r="C88" s="213"/>
      <c r="D88" s="1189"/>
      <c r="E88" s="1189"/>
      <c r="F88" s="1189"/>
      <c r="G88" s="1190" t="str">
        <f>IF(G11="","","Please review the Transmittal Instructions and your answer to Question 1")</f>
        <v/>
      </c>
      <c r="H88" s="1190"/>
      <c r="I88" s="1190"/>
      <c r="J88" s="214"/>
    </row>
    <row r="89" spans="1:10" ht="1.2" customHeight="1" x14ac:dyDescent="0.3">
      <c r="B89" s="212"/>
      <c r="C89" s="213"/>
      <c r="D89" s="1189"/>
      <c r="E89" s="1189"/>
      <c r="F89" s="1189"/>
      <c r="G89" s="1190" t="str">
        <f>IF(G88="Currently the file name is incorrect, please correct before uploading",CONCATENATE("File current name is ",O89),"")</f>
        <v/>
      </c>
      <c r="H89" s="1190"/>
      <c r="I89" s="243"/>
      <c r="J89" s="244"/>
    </row>
    <row r="90" spans="1:10" ht="6.75" customHeight="1" thickBot="1" x14ac:dyDescent="0.35">
      <c r="B90" s="245"/>
      <c r="C90" s="246"/>
      <c r="D90" s="261"/>
      <c r="E90" s="247"/>
      <c r="F90" s="247"/>
      <c r="G90" s="248"/>
      <c r="H90" s="248"/>
      <c r="I90" s="248"/>
      <c r="J90" s="249"/>
    </row>
    <row r="93" spans="1:10" x14ac:dyDescent="0.3">
      <c r="B93" s="195" t="s">
        <v>908</v>
      </c>
      <c r="D93" s="199"/>
      <c r="E93" s="251">
        <v>1.01</v>
      </c>
      <c r="F93" s="252"/>
    </row>
    <row r="94" spans="1:10" x14ac:dyDescent="0.3">
      <c r="A94" s="199"/>
      <c r="B94" s="195" t="s">
        <v>909</v>
      </c>
      <c r="D94" s="199"/>
      <c r="E94" s="253">
        <v>44427</v>
      </c>
      <c r="F94" s="254"/>
    </row>
    <row r="95" spans="1:10" x14ac:dyDescent="0.3">
      <c r="E95" s="252"/>
      <c r="F95" s="252"/>
    </row>
    <row r="96" spans="1:10" x14ac:dyDescent="0.3">
      <c r="E96" s="262">
        <f>SUBTOTAL(109,D41:D85)</f>
        <v>14400</v>
      </c>
    </row>
  </sheetData>
  <sheetProtection algorithmName="SHA-512" hashValue="rg/5Vlr3TtMfPckLKrxB6+5FTXUyMLTh0UTjR8o7rxIBXHmOuyCYxTsrjFHqu5+XJcdcr/5uposqSdymIHiHWA==" saltValue="t+nScNEQ+Hl5e50Jy0VJZA==" spinCount="100000" sheet="1" selectLockedCells="1"/>
  <mergeCells count="55">
    <mergeCell ref="G34:I34"/>
    <mergeCell ref="E36:F36"/>
    <mergeCell ref="G36:I36"/>
    <mergeCell ref="E37:H37"/>
    <mergeCell ref="B38:J38"/>
    <mergeCell ref="B1:J1"/>
    <mergeCell ref="B2:J2"/>
    <mergeCell ref="B3:J3"/>
    <mergeCell ref="E12:F12"/>
    <mergeCell ref="E14:F14"/>
    <mergeCell ref="B5:J5"/>
    <mergeCell ref="E27:H27"/>
    <mergeCell ref="E28:F28"/>
    <mergeCell ref="H28:I28"/>
    <mergeCell ref="E30:F30"/>
    <mergeCell ref="H30:I30"/>
    <mergeCell ref="E16:F16"/>
    <mergeCell ref="G16:I16"/>
    <mergeCell ref="E18:F18"/>
    <mergeCell ref="E32:F32"/>
    <mergeCell ref="E10:F10"/>
    <mergeCell ref="G10:I10"/>
    <mergeCell ref="G32:I32"/>
    <mergeCell ref="E22:F22"/>
    <mergeCell ref="G18:I18"/>
    <mergeCell ref="E26:F26"/>
    <mergeCell ref="G26:H26"/>
    <mergeCell ref="E20:F20"/>
    <mergeCell ref="G20:I20"/>
    <mergeCell ref="G22:I22"/>
    <mergeCell ref="E24:F24"/>
    <mergeCell ref="G24:I24"/>
    <mergeCell ref="E41:F41"/>
    <mergeCell ref="E43:F43"/>
    <mergeCell ref="E45:F45"/>
    <mergeCell ref="E47:F47"/>
    <mergeCell ref="E49:F49"/>
    <mergeCell ref="E51:F51"/>
    <mergeCell ref="E53:F53"/>
    <mergeCell ref="G81:I81"/>
    <mergeCell ref="E76:F76"/>
    <mergeCell ref="E78:F78"/>
    <mergeCell ref="E57:F57"/>
    <mergeCell ref="E60:F60"/>
    <mergeCell ref="E68:F68"/>
    <mergeCell ref="E70:F70"/>
    <mergeCell ref="E72:F72"/>
    <mergeCell ref="E77:F77"/>
    <mergeCell ref="E74:F74"/>
    <mergeCell ref="E55:F55"/>
    <mergeCell ref="G83:I83"/>
    <mergeCell ref="E87:F87"/>
    <mergeCell ref="D88:F89"/>
    <mergeCell ref="G88:I88"/>
    <mergeCell ref="G89:H89"/>
  </mergeCells>
  <conditionalFormatting sqref="G10 G41 G43 G45 G47 G49 G57 G66 G60 G51 G77:G78">
    <cfRule type="expression" dxfId="107" priority="43">
      <formula>$T10</formula>
    </cfRule>
  </conditionalFormatting>
  <conditionalFormatting sqref="G10">
    <cfRule type="containsText" priority="42" operator="containsText" text="The, City,Village,of">
      <formula>NOT(ISERROR(SEARCH("The, City,Village,of",G10)))</formula>
    </cfRule>
  </conditionalFormatting>
  <conditionalFormatting sqref="G26">
    <cfRule type="expression" dxfId="106" priority="41">
      <formula>$T26</formula>
    </cfRule>
  </conditionalFormatting>
  <conditionalFormatting sqref="G41 G43 G45 G47 G49 G60 G62 G64 G66 G30 G32 G51:G57 G78">
    <cfRule type="expression" dxfId="105" priority="40">
      <formula>$G$26="Housing Authority"</formula>
    </cfRule>
  </conditionalFormatting>
  <conditionalFormatting sqref="G14">
    <cfRule type="expression" dxfId="104" priority="39">
      <formula>$T14</formula>
    </cfRule>
  </conditionalFormatting>
  <conditionalFormatting sqref="G12">
    <cfRule type="expression" dxfId="103" priority="38">
      <formula>$T12</formula>
    </cfRule>
  </conditionalFormatting>
  <conditionalFormatting sqref="G85">
    <cfRule type="expression" dxfId="102" priority="37">
      <formula>$T85</formula>
    </cfRule>
  </conditionalFormatting>
  <conditionalFormatting sqref="G81">
    <cfRule type="expression" dxfId="101" priority="36">
      <formula>$T81</formula>
    </cfRule>
  </conditionalFormatting>
  <conditionalFormatting sqref="G81">
    <cfRule type="containsText" priority="35" operator="containsText" text="The, City,Village,of">
      <formula>NOT(ISERROR(SEARCH("The, City,Village,of",G81)))</formula>
    </cfRule>
  </conditionalFormatting>
  <conditionalFormatting sqref="G83">
    <cfRule type="expression" dxfId="100" priority="34">
      <formula>$T83</formula>
    </cfRule>
  </conditionalFormatting>
  <conditionalFormatting sqref="G83">
    <cfRule type="containsText" priority="33" operator="containsText" text="The, City,Village,of">
      <formula>NOT(ISERROR(SEARCH("The, City,Village,of",G83)))</formula>
    </cfRule>
  </conditionalFormatting>
  <conditionalFormatting sqref="G18">
    <cfRule type="expression" dxfId="99" priority="32">
      <formula>$T18</formula>
    </cfRule>
  </conditionalFormatting>
  <conditionalFormatting sqref="G18">
    <cfRule type="containsText" priority="31" operator="containsText" text="The, City,Village,of">
      <formula>NOT(ISERROR(SEARCH("The, City,Village,of",G18)))</formula>
    </cfRule>
  </conditionalFormatting>
  <conditionalFormatting sqref="G60">
    <cfRule type="expression" dxfId="98" priority="25">
      <formula>$G$26="Housing Authority"</formula>
    </cfRule>
  </conditionalFormatting>
  <conditionalFormatting sqref="G64">
    <cfRule type="expression" dxfId="97" priority="30">
      <formula>$T64</formula>
    </cfRule>
  </conditionalFormatting>
  <conditionalFormatting sqref="G64">
    <cfRule type="expression" dxfId="96" priority="29">
      <formula>$G$26="Housing Authority"</formula>
    </cfRule>
  </conditionalFormatting>
  <conditionalFormatting sqref="G66">
    <cfRule type="expression" dxfId="95" priority="28">
      <formula>$G$26="Housing Authority"</formula>
    </cfRule>
  </conditionalFormatting>
  <conditionalFormatting sqref="G62">
    <cfRule type="expression" dxfId="94" priority="27">
      <formula>$T62</formula>
    </cfRule>
  </conditionalFormatting>
  <conditionalFormatting sqref="G62">
    <cfRule type="expression" dxfId="93" priority="26">
      <formula>$G$26="Housing Authority"</formula>
    </cfRule>
  </conditionalFormatting>
  <conditionalFormatting sqref="G31">
    <cfRule type="expression" dxfId="92" priority="24">
      <formula>$T31</formula>
    </cfRule>
  </conditionalFormatting>
  <conditionalFormatting sqref="G28">
    <cfRule type="expression" dxfId="91" priority="23">
      <formula>$T28</formula>
    </cfRule>
  </conditionalFormatting>
  <conditionalFormatting sqref="G28">
    <cfRule type="expression" dxfId="90" priority="22">
      <formula>$G$26="Housing Authority"</formula>
    </cfRule>
  </conditionalFormatting>
  <conditionalFormatting sqref="G30">
    <cfRule type="expression" dxfId="89" priority="21">
      <formula>$T30</formula>
    </cfRule>
  </conditionalFormatting>
  <conditionalFormatting sqref="G16">
    <cfRule type="expression" dxfId="88" priority="19">
      <formula>$T16</formula>
    </cfRule>
  </conditionalFormatting>
  <conditionalFormatting sqref="G16">
    <cfRule type="containsText" priority="18" operator="containsText" text="The, City,Village,of">
      <formula>NOT(ISERROR(SEARCH("The, City,Village,of",G16)))</formula>
    </cfRule>
  </conditionalFormatting>
  <conditionalFormatting sqref="G20">
    <cfRule type="expression" dxfId="87" priority="17">
      <formula>$T20</formula>
    </cfRule>
  </conditionalFormatting>
  <conditionalFormatting sqref="G20">
    <cfRule type="containsText" priority="16" operator="containsText" text="The, City,Village,of">
      <formula>NOT(ISERROR(SEARCH("The, City,Village,of",G20)))</formula>
    </cfRule>
  </conditionalFormatting>
  <conditionalFormatting sqref="G22">
    <cfRule type="expression" dxfId="86" priority="15">
      <formula>$T22</formula>
    </cfRule>
  </conditionalFormatting>
  <conditionalFormatting sqref="G22">
    <cfRule type="containsText" priority="14" operator="containsText" text="The, City,Village,of">
      <formula>NOT(ISERROR(SEARCH("The, City,Village,of",G22)))</formula>
    </cfRule>
  </conditionalFormatting>
  <conditionalFormatting sqref="G28">
    <cfRule type="expression" dxfId="85" priority="12">
      <formula>$G$26="Housing Authority"</formula>
    </cfRule>
  </conditionalFormatting>
  <conditionalFormatting sqref="G32">
    <cfRule type="expression" dxfId="84" priority="13">
      <formula>$P$32</formula>
    </cfRule>
    <cfRule type="expression" dxfId="83" priority="20">
      <formula>$T32</formula>
    </cfRule>
  </conditionalFormatting>
  <conditionalFormatting sqref="G36">
    <cfRule type="expression" dxfId="82" priority="9">
      <formula>$G$26="Housing Authority"</formula>
    </cfRule>
  </conditionalFormatting>
  <conditionalFormatting sqref="G36">
    <cfRule type="expression" dxfId="81" priority="10">
      <formula>$P$32</formula>
    </cfRule>
    <cfRule type="expression" dxfId="80" priority="11">
      <formula>$T36</formula>
    </cfRule>
  </conditionalFormatting>
  <conditionalFormatting sqref="G34">
    <cfRule type="expression" dxfId="79" priority="6">
      <formula>$G$26="Housing Authority"</formula>
    </cfRule>
  </conditionalFormatting>
  <conditionalFormatting sqref="G34">
    <cfRule type="expression" dxfId="78" priority="7">
      <formula>$P$32</formula>
    </cfRule>
    <cfRule type="expression" dxfId="77" priority="8">
      <formula>$T34</formula>
    </cfRule>
  </conditionalFormatting>
  <conditionalFormatting sqref="G24">
    <cfRule type="expression" dxfId="76" priority="5">
      <formula>$T24</formula>
    </cfRule>
  </conditionalFormatting>
  <conditionalFormatting sqref="G24">
    <cfRule type="containsText" priority="4" operator="containsText" text="The, City,Village,of">
      <formula>NOT(ISERROR(SEARCH("The, City,Village,of",G24)))</formula>
    </cfRule>
  </conditionalFormatting>
  <conditionalFormatting sqref="G53">
    <cfRule type="expression" dxfId="75" priority="3">
      <formula>$T53</formula>
    </cfRule>
  </conditionalFormatting>
  <conditionalFormatting sqref="G77">
    <cfRule type="expression" dxfId="74" priority="1">
      <formula>$G$26="Housing Authority"</formula>
    </cfRule>
  </conditionalFormatting>
  <dataValidations xWindow="873" yWindow="799" count="27">
    <dataValidation type="list" allowBlank="1" showInputMessage="1" showErrorMessage="1" prompt="Chose Unit Type" sqref="G26:H26" xr:uid="{0F10F559-8F23-44EB-987B-C924C826D337}">
      <formula1>"Municipality, County, Charter School, Tourism Development Authority, Housing Authority, Other"</formula1>
    </dataValidation>
    <dataValidation type="date" operator="greaterThan" allowBlank="1" showInputMessage="1" showErrorMessage="1" sqref="G63 G71 G89:G90 G65 G79:G80 G85:G86 G67 G69 G73 G77" xr:uid="{4BF7E2BE-68E4-4EDC-9705-A6DBFAEB7B90}">
      <formula1>44012</formula1>
    </dataValidation>
    <dataValidation type="list" allowBlank="1" showInputMessage="1" showErrorMessage="1" prompt="Please select Yes or No from the drop down list" sqref="G30" xr:uid="{53DB461E-98F8-470D-9081-CDE7B5E62384}">
      <formula1>"Financial Only, Yellow Book, Single Audit"</formula1>
    </dataValidation>
    <dataValidation allowBlank="1" showInputMessage="1" showErrorMessage="1" error="Cannot be blank" sqref="G24:I24 G20:I20 G22:I22" xr:uid="{4F77B4D1-7320-4937-BC6C-3C85879203C8}"/>
    <dataValidation type="list" operator="greaterThan" showInputMessage="1" showErrorMessage="1" promptTitle="Cannot be blank" prompt="This cannot be blank - please complete before uploading to the portal" sqref="G69 G80 G71 G67 G73 G77" xr:uid="{D198A47C-CDFA-4D46-B722-9DA3FB2EB984}">
      <formula1>"N/A, 1,2,3,4"</formula1>
    </dataValidation>
    <dataValidation type="list" allowBlank="1" showInputMessage="1" showErrorMessage="1" prompt="Chose Unit Type" sqref="G31:H31 H33" xr:uid="{75E505E4-60F6-4743-B472-20907ABD52A6}">
      <formula1>"Municipality, County, Tourism Development Authority, Housing Authority, Other"</formula1>
    </dataValidation>
    <dataValidation type="textLength" operator="greaterThan" showInputMessage="1" showErrorMessage="1" errorTitle="Blank Field" error="Check the name entered for length" promptTitle="Cannot be blank" prompt="This cannot be blank - please complete before uploading to the portal" sqref="G10 G18 G16" xr:uid="{7C48D2AE-CF0B-4E23-BD0B-A4168116C962}">
      <formula1>3</formula1>
    </dataValidation>
    <dataValidation type="date" showDropDown="1" showInputMessage="1" showErrorMessage="1" errorTitle="FYE date error" error="FYE must be 06/30/21 or after to use this form." prompt="For Fiscal Year ends prior to 06/30/21, please use the  2020 Transmittal Document_x000a_" sqref="G12" xr:uid="{BCAA93FC-8B8A-41A3-AB91-C0CDA25B87BA}">
      <formula1>44287</formula1>
      <formula2>44712</formula2>
    </dataValidation>
    <dataValidation type="list" allowBlank="1" showInputMessage="1" showErrorMessage="1" prompt="Please select Yes, No or N/A from the drop down list" sqref="G57" xr:uid="{740F9C53-B8A7-483C-B384-B0DCDA2D2BCB}">
      <formula1>"Yes, No, N/A"</formula1>
    </dataValidation>
    <dataValidation type="whole" operator="greaterThan" allowBlank="1" showInputMessage="1" showErrorMessage="1" prompt="Please enter a whole number.  If there are no findings please enter 0" sqref="G49 G51:G52 G54:G56" xr:uid="{1A2CB230-B6DB-4036-94B3-6FD2E784AB33}">
      <formula1>-1</formula1>
    </dataValidation>
    <dataValidation type="textLength" operator="greaterThan" allowBlank="1" showInputMessage="1" showErrorMessage="1" errorTitle="File Name Error" error="Check that you have not left the Primary Government Name blank...see Question 1" sqref="G87" xr:uid="{653B8F25-9FF3-4457-86FF-093169F7B39F}">
      <formula1>10</formula1>
    </dataValidation>
    <dataValidation type="textLength" operator="greaterThan" showInputMessage="1" showErrorMessage="1" errorTitle="Blank Field" error="Check the name entered for length" promptTitle="Cannot be blank" prompt="This cannot be blank - please complete before uploading to the portal" sqref="H11" xr:uid="{D1874534-B18B-445D-9D56-8708CFB0B431}">
      <formula1>4</formula1>
    </dataValidation>
    <dataValidation type="list" showInputMessage="1" showErrorMessage="1" errorTitle="Cannot be blank" error="This cell cannot be left blank" prompt="Please select Yes or No from the drop down list" sqref="G14" xr:uid="{FA0A92A0-CFAB-49D4-8608-8D1DB740CB36}">
      <formula1>"Yes, No"</formula1>
    </dataValidation>
    <dataValidation type="textLength" operator="greaterThan" showInputMessage="1" showErrorMessage="1" promptTitle="Cannot be blank" prompt="This cannot be blank - please complete before uploading to the portal" sqref="H89:I90 H79:H80 I63 H85:I87 H65:I65 H69 H71 G81 H76:H77 H73 I68:I80" xr:uid="{970B9B41-3DA6-49D9-8538-915E33C95C98}">
      <formula1>5</formula1>
    </dataValidation>
    <dataValidation type="list" allowBlank="1" showInputMessage="1" showErrorMessage="1" prompt="Please select Yes or No from the drop down list" sqref="G47 G60 G43 G45 G66 G62 G64 G28 G41" xr:uid="{F8DAA637-067A-4445-87D8-12A58F77F0A2}">
      <formula1>"Yes, No"</formula1>
    </dataValidation>
    <dataValidation type="date" operator="greaterThan" showInputMessage="1" showErrorMessage="1" promptTitle="MM/DD/YYYY" prompt="This cannot be blank" sqref="G74:G75 G77" xr:uid="{FA296981-A236-46B7-9FFE-5DC3167CFD46}">
      <formula1>44377</formula1>
    </dataValidation>
    <dataValidation type="date" operator="greaterThan" allowBlank="1" showInputMessage="1" showErrorMessage="1" prompt="MM/DD/YYYY" sqref="G74:G75 G77" xr:uid="{362B854A-1333-435D-A562-CD0AC3D0CBDC}">
      <formula1>44012</formula1>
    </dataValidation>
    <dataValidation type="list" operator="greaterThan" allowBlank="1" showInputMessage="1" showErrorMessage="1" sqref="G70" xr:uid="{05F2F645-3F7B-4EB6-A09F-034934497E3E}">
      <formula1>"Yes, No"</formula1>
    </dataValidation>
    <dataValidation type="list" operator="greaterThan" allowBlank="1" showInputMessage="1" showErrorMessage="1" prompt="Please select Yes or No from drop down list" sqref="G68" xr:uid="{E971EE97-C595-4AA1-9573-23EDB218A969}">
      <formula1>"yes, No"</formula1>
    </dataValidation>
    <dataValidation type="list" allowBlank="1" showInputMessage="1" showErrorMessage="1" prompt="Please select Yes, No or N/A from drop down list" sqref="G78 G53" xr:uid="{AD8CBEC4-23F6-4F06-B268-46366C73CF32}">
      <formula1>"Yes, No,N/A"</formula1>
    </dataValidation>
    <dataValidation type="list" allowBlank="1" showInputMessage="1" showErrorMessage="1" prompt="Please select Yes or No from the drop down list" sqref="G76:G77" xr:uid="{0BEC721E-0D27-4077-8790-03D91092BB64}">
      <formula1>"Yes,No"</formula1>
    </dataValidation>
    <dataValidation type="list" operator="greaterThan" allowBlank="1" showInputMessage="1" showErrorMessage="1" prompt="Please select Yes or No from drop down list" sqref="G72" xr:uid="{80B217B5-9DCE-4043-A1B7-D1BB209B176F}">
      <formula1>"Yes, No"</formula1>
    </dataValidation>
    <dataValidation type="date" operator="greaterThan" allowBlank="1" showInputMessage="1" showErrorMessage="1" sqref="G87" xr:uid="{1CB4710E-81E8-4DA8-BB55-72CEC5ACBD8A}">
      <formula1>44377</formula1>
    </dataValidation>
    <dataValidation type="list" operator="greaterThan" allowBlank="1" showInputMessage="1" showErrorMessage="1" sqref="G76" xr:uid="{CD8BE177-CB6A-490B-8896-A2DA074EFAD1}">
      <formula1>"6/30/2020"</formula1>
    </dataValidation>
    <dataValidation type="list" showInputMessage="1" showErrorMessage="1" sqref="G76" xr:uid="{5FF887DA-CE67-435E-9638-03A56B6F75A2}">
      <formula1>"Yes,No"</formula1>
    </dataValidation>
    <dataValidation type="list" operator="greaterThan" showInputMessage="1" showErrorMessage="1" promptTitle="MM/DD/YYYY" prompt="This cannot be blank" sqref="G76 G78" xr:uid="{1E7A3285-472C-469F-9464-501DAC9F1580}">
      <formula1>"6/30/2021"</formula1>
    </dataValidation>
    <dataValidation type="list" allowBlank="1" showInputMessage="1" showErrorMessage="1" sqref="G76 G78" xr:uid="{7C2AB2BB-2419-4126-B00D-92F0C1A5DD33}">
      <formula1>"Yes,No"</formula1>
    </dataValidation>
  </dataValidations>
  <printOptions horizontalCentered="1" verticalCentered="1"/>
  <pageMargins left="0" right="0" top="0" bottom="1" header="0.3" footer="0.3"/>
  <pageSetup scale="50"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A744"/>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E111" sqref="E111"/>
    </sheetView>
  </sheetViews>
  <sheetFormatPr defaultColWidth="9.109375" defaultRowHeight="14.4" x14ac:dyDescent="0.3"/>
  <cols>
    <col min="1" max="1" width="8.88671875" style="3" customWidth="1"/>
    <col min="2" max="2" width="17.5546875" style="52" bestFit="1" customWidth="1"/>
    <col min="3" max="3" width="36.6640625" style="676" customWidth="1"/>
    <col min="4" max="4" width="20.88671875" style="3" bestFit="1" customWidth="1"/>
    <col min="5" max="5" width="17.5546875" style="3" customWidth="1"/>
    <col min="6" max="6" width="22.6640625" style="3" customWidth="1"/>
    <col min="7" max="7" width="17.44140625" style="573" bestFit="1" customWidth="1"/>
    <col min="8" max="8" width="9.6640625" style="3" bestFit="1" customWidth="1"/>
    <col min="9" max="9" width="1" style="607" customWidth="1"/>
    <col min="10" max="10" width="18.109375" style="5" customWidth="1"/>
    <col min="11" max="11" width="36.88671875" style="9" customWidth="1"/>
    <col min="12" max="12" width="15.44140625" style="684" bestFit="1" customWidth="1"/>
    <col min="13" max="13" width="1.44140625" style="3" customWidth="1"/>
    <col min="14" max="14" width="18.109375" style="3" customWidth="1"/>
    <col min="15" max="15" width="17.88671875" style="3" customWidth="1"/>
    <col min="16" max="16" width="8.6640625" style="300"/>
    <col min="17" max="17" width="10.33203125" style="576" hidden="1" customWidth="1"/>
    <col min="18" max="18" width="7.109375" style="3" hidden="1" customWidth="1"/>
    <col min="19" max="19" width="6" style="3" hidden="1" customWidth="1"/>
    <col min="20" max="20" width="6.6640625" style="3" hidden="1" customWidth="1"/>
    <col min="21" max="21" width="7.5546875" style="3" hidden="1" customWidth="1"/>
    <col min="22" max="22" width="3.44140625" style="3" hidden="1" customWidth="1"/>
    <col min="23" max="23" width="7.33203125" style="3" hidden="1" customWidth="1"/>
    <col min="24" max="24" width="10.5546875" style="3" hidden="1" customWidth="1"/>
    <col min="25" max="25" width="9.88671875" style="3" hidden="1" customWidth="1"/>
    <col min="26" max="26" width="0" style="3" hidden="1" customWidth="1"/>
    <col min="27" max="16384" width="9.109375" style="3"/>
  </cols>
  <sheetData>
    <row r="1" spans="1:25" ht="36" x14ac:dyDescent="0.3">
      <c r="C1" s="49" t="s">
        <v>812</v>
      </c>
      <c r="D1" s="13">
        <f>L65-(L52+L53-L57-L58-L233)-L61</f>
        <v>0</v>
      </c>
      <c r="I1" s="574"/>
      <c r="J1" s="48"/>
      <c r="K1" s="14" t="s">
        <v>47</v>
      </c>
      <c r="L1" s="63"/>
      <c r="M1" s="575"/>
      <c r="S1" s="3">
        <v>100</v>
      </c>
      <c r="T1" s="3">
        <v>1</v>
      </c>
    </row>
    <row r="2" spans="1:25" ht="36" x14ac:dyDescent="0.4">
      <c r="C2" s="74" t="str">
        <f>'Unit Data from Audit Worksheet'!D2</f>
        <v>Select Unit Name from Drop Down List</v>
      </c>
      <c r="D2" s="145">
        <v>2021</v>
      </c>
      <c r="E2" s="12">
        <v>2021</v>
      </c>
      <c r="F2" s="12"/>
      <c r="G2" s="70"/>
      <c r="H2" s="12"/>
      <c r="I2" s="574"/>
      <c r="J2" s="43" t="s">
        <v>43</v>
      </c>
      <c r="K2" s="8" t="s">
        <v>42</v>
      </c>
      <c r="L2" s="68" t="s">
        <v>30</v>
      </c>
      <c r="S2" s="3">
        <v>200</v>
      </c>
      <c r="T2" s="3">
        <v>2</v>
      </c>
    </row>
    <row r="3" spans="1:25" ht="31.2" x14ac:dyDescent="0.3">
      <c r="A3" s="577" t="s">
        <v>43</v>
      </c>
      <c r="B3" s="578"/>
      <c r="C3" s="46" t="s">
        <v>1</v>
      </c>
      <c r="D3" s="15" t="s">
        <v>44</v>
      </c>
      <c r="E3" s="15" t="s">
        <v>45</v>
      </c>
      <c r="F3" s="16" t="s">
        <v>49</v>
      </c>
      <c r="G3" s="75" t="s">
        <v>557</v>
      </c>
      <c r="H3" s="16" t="s">
        <v>697</v>
      </c>
      <c r="I3" s="574"/>
      <c r="J3" s="579"/>
      <c r="K3" s="146"/>
      <c r="L3" s="580"/>
      <c r="O3" s="3" t="s">
        <v>296</v>
      </c>
      <c r="Q3" s="86" t="s">
        <v>558</v>
      </c>
      <c r="S3" s="3">
        <v>300</v>
      </c>
      <c r="T3" s="3">
        <v>3</v>
      </c>
    </row>
    <row r="4" spans="1:25" ht="18" x14ac:dyDescent="0.35">
      <c r="A4" s="581"/>
      <c r="B4" s="582"/>
      <c r="C4" s="50"/>
      <c r="D4" s="7"/>
      <c r="E4" s="7"/>
      <c r="F4" s="7"/>
      <c r="G4" s="71"/>
      <c r="H4" s="7"/>
      <c r="I4" s="574"/>
      <c r="J4" s="45">
        <v>999</v>
      </c>
      <c r="K4" s="11" t="s">
        <v>293</v>
      </c>
      <c r="L4" s="134" t="e">
        <f>'Unit Data from Audit Worksheet'!D3</f>
        <v>#N/A</v>
      </c>
      <c r="S4" s="3">
        <v>400</v>
      </c>
      <c r="T4" s="3">
        <v>4</v>
      </c>
      <c r="W4" s="3" t="b">
        <f t="shared" ref="W4:W35" si="0">EXACT(A4,J4)</f>
        <v>0</v>
      </c>
      <c r="X4" s="583" t="e">
        <f>E4-L4</f>
        <v>#N/A</v>
      </c>
      <c r="Y4" s="583" t="e">
        <f>D4-L4</f>
        <v>#N/A</v>
      </c>
    </row>
    <row r="5" spans="1:25" ht="57" customHeight="1" x14ac:dyDescent="0.3">
      <c r="A5" s="584">
        <f>'Unit Data from Audit Worksheet'!A7</f>
        <v>333</v>
      </c>
      <c r="B5" s="54" t="str">
        <f>'Unit Data from Audit Worksheet'!C7</f>
        <v>Net Position-Governmental Activities</v>
      </c>
      <c r="C5" s="585" t="str">
        <f>'Unit Data from Audit Worksheet'!D7</f>
        <v xml:space="preserve"> All unrestricted Cash and investments.  
Exclude: restricted cash 
                   cash held by a third party. </v>
      </c>
      <c r="D5" s="144"/>
      <c r="E5" s="152">
        <f>'Unit Data from Audit Worksheet'!F7</f>
        <v>0</v>
      </c>
      <c r="F5" s="351">
        <f>IF(L5&lt;0,"Error: Number is normally positive.",)</f>
        <v>0</v>
      </c>
      <c r="G5" s="72"/>
      <c r="H5" s="350">
        <f>'Unit Data from Audit Worksheet'!I7</f>
        <v>0</v>
      </c>
      <c r="I5" s="38"/>
      <c r="J5" s="42">
        <v>333</v>
      </c>
      <c r="K5" s="51" t="s">
        <v>184</v>
      </c>
      <c r="L5" s="586">
        <f>IF(D5="",E5,D5)</f>
        <v>0</v>
      </c>
      <c r="P5" s="319"/>
      <c r="S5" s="3">
        <v>500</v>
      </c>
      <c r="T5" s="3">
        <v>5</v>
      </c>
      <c r="W5" s="3" t="b">
        <f t="shared" si="0"/>
        <v>1</v>
      </c>
      <c r="X5" s="583">
        <f t="shared" ref="X5:X116" si="1">E5-L5</f>
        <v>0</v>
      </c>
      <c r="Y5" s="583">
        <f t="shared" ref="Y5:Y116" si="2">D5-L5</f>
        <v>0</v>
      </c>
    </row>
    <row r="6" spans="1:25" ht="39.75" customHeight="1" x14ac:dyDescent="0.3">
      <c r="A6" s="338">
        <f>'Unit Data from Audit Worksheet'!A8</f>
        <v>500</v>
      </c>
      <c r="B6" s="352" t="str">
        <f>'Unit Data from Audit Worksheet'!C8</f>
        <v>Net Position-Governmental Activities</v>
      </c>
      <c r="C6" s="337" t="str">
        <f>'Unit Data from Audit Worksheet'!D8</f>
        <v xml:space="preserve"> All restricted Cash and investments</v>
      </c>
      <c r="D6" s="144"/>
      <c r="E6" s="358">
        <f>'Unit Data from Audit Worksheet'!F8</f>
        <v>0</v>
      </c>
      <c r="F6" s="351">
        <f>IF(L6&lt;0,"Error: Number is normally positive.",)</f>
        <v>0</v>
      </c>
      <c r="G6" s="353"/>
      <c r="H6" s="350">
        <f>'Unit Data from Audit Worksheet'!I8</f>
        <v>0</v>
      </c>
      <c r="I6" s="38"/>
      <c r="J6" s="349">
        <v>500</v>
      </c>
      <c r="K6" s="348" t="s">
        <v>183</v>
      </c>
      <c r="L6" s="586">
        <f>IF(D6="",E6,D6)</f>
        <v>0</v>
      </c>
      <c r="P6" s="320"/>
      <c r="T6" s="3">
        <v>6</v>
      </c>
      <c r="W6" s="3" t="b">
        <f t="shared" si="0"/>
        <v>1</v>
      </c>
      <c r="X6" s="583">
        <f t="shared" si="1"/>
        <v>0</v>
      </c>
      <c r="Y6" s="583">
        <f t="shared" si="2"/>
        <v>0</v>
      </c>
    </row>
    <row r="7" spans="1:25" ht="43.5" customHeight="1" x14ac:dyDescent="0.3">
      <c r="A7" s="338">
        <f>'Unit Data from Audit Worksheet'!A9</f>
        <v>385</v>
      </c>
      <c r="B7" s="352" t="str">
        <f>'Unit Data from Audit Worksheet'!C9</f>
        <v>Net Position-Governmental Activities</v>
      </c>
      <c r="C7" s="337" t="str">
        <f>'Unit Data from Audit Worksheet'!D9</f>
        <v>Total Assets and deferred outflows</v>
      </c>
      <c r="D7" s="144"/>
      <c r="E7" s="358">
        <f>'Unit Data from Audit Worksheet'!F9</f>
        <v>0</v>
      </c>
      <c r="F7" s="135">
        <f>IF((L5+L6)&gt;L7,"Error: Please review accts (333 + 500) &gt; 385",)</f>
        <v>0</v>
      </c>
      <c r="G7" s="353" t="str">
        <f>IF(Q7=1," Included in error count"," ")</f>
        <v xml:space="preserve"> </v>
      </c>
      <c r="H7" s="350">
        <f>'Unit Data from Audit Worksheet'!I9</f>
        <v>0</v>
      </c>
      <c r="I7" s="38"/>
      <c r="J7" s="76">
        <v>385</v>
      </c>
      <c r="K7" s="77" t="s">
        <v>115</v>
      </c>
      <c r="L7" s="587">
        <f>IF(D7="",E7,D7)+IF(D9="",E9,D9)</f>
        <v>0</v>
      </c>
      <c r="N7" s="78" t="s">
        <v>544</v>
      </c>
      <c r="P7" s="320"/>
      <c r="T7" s="3">
        <v>7</v>
      </c>
      <c r="W7" s="3" t="b">
        <f t="shared" si="0"/>
        <v>1</v>
      </c>
      <c r="X7" s="583">
        <f t="shared" si="1"/>
        <v>0</v>
      </c>
      <c r="Y7" s="583">
        <f t="shared" si="2"/>
        <v>0</v>
      </c>
    </row>
    <row r="8" spans="1:25" ht="90.75" customHeight="1" x14ac:dyDescent="0.3">
      <c r="A8" s="338">
        <f>'Unit Data from Audit Worksheet'!A10</f>
        <v>575</v>
      </c>
      <c r="B8" s="352" t="str">
        <f>'Unit Data from Audit Worksheet'!C10</f>
        <v>Net Position-Governmental Activities</v>
      </c>
      <c r="C8" s="337" t="str">
        <f>'Unit Data from Audit Worksheet'!D10</f>
        <v>Record any positive Internal balances on the net position statements that appear in the Asset Section of the Net Position Statement</v>
      </c>
      <c r="D8" s="144"/>
      <c r="E8" s="358">
        <f>'Unit Data from Audit Worksheet'!F10</f>
        <v>0</v>
      </c>
      <c r="F8" s="351">
        <f>IF(L8&lt;0,"Error: Number is normally positive.",)</f>
        <v>0</v>
      </c>
      <c r="G8" s="353"/>
      <c r="H8" s="350">
        <f>'Unit Data from Audit Worksheet'!I10</f>
        <v>0</v>
      </c>
      <c r="I8" s="38"/>
      <c r="J8" s="349">
        <v>575</v>
      </c>
      <c r="K8" s="355" t="s">
        <v>547</v>
      </c>
      <c r="L8" s="586">
        <f>IF(D8="",E8,D8)</f>
        <v>0</v>
      </c>
      <c r="N8" s="64"/>
      <c r="P8" s="320"/>
      <c r="W8" s="3" t="b">
        <f t="shared" si="0"/>
        <v>1</v>
      </c>
      <c r="X8" s="583">
        <f t="shared" si="1"/>
        <v>0</v>
      </c>
      <c r="Y8" s="583">
        <f t="shared" si="2"/>
        <v>0</v>
      </c>
    </row>
    <row r="9" spans="1:25" ht="103.5" customHeight="1" x14ac:dyDescent="0.3">
      <c r="A9" s="338">
        <f>'Unit Data from Audit Worksheet'!A11</f>
        <v>576</v>
      </c>
      <c r="B9" s="352" t="str">
        <f>'Unit Data from Audit Worksheet'!C11</f>
        <v>Net Position-Governmental Activities</v>
      </c>
      <c r="C9" s="588" t="str">
        <f>'Unit Data from Audit Worksheet'!D11</f>
        <v>Record any negative Internal balances on the net position statements that appear in the Asset Section of the Net Position Statement.
Enter as a positive</v>
      </c>
      <c r="D9" s="110"/>
      <c r="E9" s="155">
        <f>'Unit Data from Audit Worksheet'!F11</f>
        <v>0</v>
      </c>
      <c r="F9" s="347">
        <f>IF(E9&lt;0,"Error: Enter as positive.",)</f>
        <v>0</v>
      </c>
      <c r="G9" s="112"/>
      <c r="H9" s="113">
        <f>'Unit Data from Audit Worksheet'!I11</f>
        <v>0</v>
      </c>
      <c r="I9" s="38"/>
      <c r="J9" s="105">
        <v>576</v>
      </c>
      <c r="K9" s="355" t="s">
        <v>548</v>
      </c>
      <c r="L9" s="586">
        <f>IF(D9="",E9,D9)</f>
        <v>0</v>
      </c>
      <c r="N9" s="64"/>
      <c r="P9" s="321"/>
      <c r="W9" s="3" t="b">
        <f t="shared" si="0"/>
        <v>1</v>
      </c>
      <c r="X9" s="583">
        <f t="shared" si="1"/>
        <v>0</v>
      </c>
      <c r="Y9" s="583">
        <f t="shared" si="2"/>
        <v>0</v>
      </c>
    </row>
    <row r="10" spans="1:25" s="18" customFormat="1" ht="100.5" customHeight="1" x14ac:dyDescent="0.3">
      <c r="A10" s="338">
        <f>'Unit Data from Audit Worksheet'!A12</f>
        <v>626</v>
      </c>
      <c r="B10" s="343" t="str">
        <f>'Unit Data from Audit Worksheet'!C12</f>
        <v>Net Position-Governmental Activities</v>
      </c>
      <c r="C10" s="342" t="str">
        <f>'Unit Data from Audit Worksheet'!D12</f>
        <v xml:space="preserve">Total Current liabilities (as reported on Statement of Net Position)
Include:   Current liabilities including current portion of long-term debt.  Deferred inflows should not be included in Current Liabilities  </v>
      </c>
      <c r="D10" s="110"/>
      <c r="E10" s="364">
        <f>'Unit Data from Audit Worksheet'!F12</f>
        <v>0</v>
      </c>
      <c r="F10" s="346">
        <f>IF(L10&lt;0,"Error: Enter as a positive.",)</f>
        <v>0</v>
      </c>
      <c r="G10" s="331"/>
      <c r="H10" s="346">
        <f>'Unit Data from Audit Worksheet'!I12</f>
        <v>0</v>
      </c>
      <c r="I10" s="38"/>
      <c r="J10" s="345">
        <v>626</v>
      </c>
      <c r="K10" s="312" t="s">
        <v>740</v>
      </c>
      <c r="L10" s="589">
        <f>IF(D10="",E10,D10)+IF(D9="",E9,D9)</f>
        <v>0</v>
      </c>
      <c r="M10" s="590"/>
      <c r="N10" s="183" t="s">
        <v>544</v>
      </c>
      <c r="O10" s="590"/>
      <c r="P10" s="322"/>
      <c r="Q10" s="591"/>
      <c r="R10" s="3"/>
      <c r="W10" s="18" t="b">
        <f t="shared" si="0"/>
        <v>1</v>
      </c>
      <c r="X10" s="592">
        <f t="shared" si="1"/>
        <v>0</v>
      </c>
      <c r="Y10" s="592">
        <f t="shared" si="2"/>
        <v>0</v>
      </c>
    </row>
    <row r="11" spans="1:25" s="18" customFormat="1" ht="86.25" customHeight="1" x14ac:dyDescent="0.3">
      <c r="A11" s="338">
        <f>'Unit Data from Audit Worksheet'!A13</f>
        <v>627</v>
      </c>
      <c r="B11" s="343" t="str">
        <f>'Unit Data from Audit Worksheet'!C13</f>
        <v>Net Position-Governmental Activities</v>
      </c>
      <c r="C11" s="342" t="str">
        <f>'Unit Data from Audit Worksheet'!D13</f>
        <v>Please enter any bond anticipation notes that are classified as current liabilities and included in account 626 above (amounts entered should agree to the current amount included in the changes to long-term debt note)</v>
      </c>
      <c r="D11" s="110"/>
      <c r="E11" s="364">
        <f>'Unit Data from Audit Worksheet'!F13</f>
        <v>0</v>
      </c>
      <c r="F11" s="346"/>
      <c r="G11" s="331"/>
      <c r="H11" s="346"/>
      <c r="I11" s="38"/>
      <c r="J11" s="345">
        <v>627</v>
      </c>
      <c r="K11" s="312" t="s">
        <v>732</v>
      </c>
      <c r="L11" s="593">
        <f t="shared" ref="L11:L16" si="3">IF(D11="",E11,D11)</f>
        <v>0</v>
      </c>
      <c r="M11" s="590"/>
      <c r="N11" s="182"/>
      <c r="O11" s="590"/>
      <c r="P11" s="322"/>
      <c r="Q11" s="591"/>
      <c r="R11" s="3"/>
      <c r="W11" s="18" t="b">
        <f t="shared" si="0"/>
        <v>1</v>
      </c>
      <c r="X11" s="592">
        <f t="shared" si="1"/>
        <v>0</v>
      </c>
      <c r="Y11" s="592">
        <f t="shared" si="2"/>
        <v>0</v>
      </c>
    </row>
    <row r="12" spans="1:25" s="18" customFormat="1" ht="86.25" customHeight="1" x14ac:dyDescent="0.3">
      <c r="A12" s="338">
        <f>'Unit Data from Audit Worksheet'!A14</f>
        <v>628</v>
      </c>
      <c r="B12" s="343" t="str">
        <f>'Unit Data from Audit Worksheet'!C14</f>
        <v>Net Position-Governmental Activities</v>
      </c>
      <c r="C12" s="342" t="str">
        <f>'Unit Data from Audit Worksheet'!D14</f>
        <v>Please enter any compensated absences that are classified as current liabilities and included in account 626 above (amounts entered should agree to the current amount included in the changes to long-term debt note)</v>
      </c>
      <c r="D12" s="110"/>
      <c r="E12" s="364">
        <f>'Unit Data from Audit Worksheet'!F14</f>
        <v>0</v>
      </c>
      <c r="F12" s="346"/>
      <c r="G12" s="331"/>
      <c r="H12" s="346"/>
      <c r="I12" s="38"/>
      <c r="J12" s="345">
        <v>628</v>
      </c>
      <c r="K12" s="312" t="s">
        <v>737</v>
      </c>
      <c r="L12" s="593">
        <f t="shared" si="3"/>
        <v>0</v>
      </c>
      <c r="M12" s="590"/>
      <c r="N12" s="182"/>
      <c r="O12" s="590"/>
      <c r="P12" s="322"/>
      <c r="Q12" s="591"/>
      <c r="R12" s="3"/>
      <c r="W12" s="18" t="b">
        <f t="shared" si="0"/>
        <v>1</v>
      </c>
      <c r="X12" s="592">
        <f t="shared" si="1"/>
        <v>0</v>
      </c>
      <c r="Y12" s="592">
        <f t="shared" si="2"/>
        <v>0</v>
      </c>
    </row>
    <row r="13" spans="1:25" s="18" customFormat="1" ht="93" customHeight="1" x14ac:dyDescent="0.3">
      <c r="A13" s="338">
        <f>'Unit Data from Audit Worksheet'!A15</f>
        <v>629</v>
      </c>
      <c r="B13" s="343" t="str">
        <f>'Unit Data from Audit Worksheet'!C15</f>
        <v>Net Position-Governmental Activities</v>
      </c>
      <c r="C13" s="342" t="str">
        <f>'Unit Data from Audit Worksheet'!D15</f>
        <v>Please enter any pension liabilities that are classified as current liabilities and included in account 626 above (amounts entered should agree to the current amount included in the changes to long-term debt note)</v>
      </c>
      <c r="D13" s="110"/>
      <c r="E13" s="364">
        <f>'Unit Data from Audit Worksheet'!F15</f>
        <v>0</v>
      </c>
      <c r="F13" s="346"/>
      <c r="G13" s="331"/>
      <c r="H13" s="346"/>
      <c r="I13" s="38"/>
      <c r="J13" s="345">
        <v>629</v>
      </c>
      <c r="K13" s="312" t="s">
        <v>736</v>
      </c>
      <c r="L13" s="593">
        <f t="shared" si="3"/>
        <v>0</v>
      </c>
      <c r="M13" s="590"/>
      <c r="N13" s="182"/>
      <c r="O13" s="590"/>
      <c r="P13" s="322"/>
      <c r="Q13" s="591"/>
      <c r="R13" s="3"/>
      <c r="W13" s="18" t="b">
        <f t="shared" si="0"/>
        <v>1</v>
      </c>
      <c r="X13" s="592">
        <f t="shared" si="1"/>
        <v>0</v>
      </c>
      <c r="Y13" s="592">
        <f t="shared" si="2"/>
        <v>0</v>
      </c>
    </row>
    <row r="14" spans="1:25" s="18" customFormat="1" ht="67.5" customHeight="1" x14ac:dyDescent="0.3">
      <c r="A14" s="338">
        <f>'Unit Data from Audit Worksheet'!A16</f>
        <v>630</v>
      </c>
      <c r="B14" s="343" t="str">
        <f>'Unit Data from Audit Worksheet'!C16</f>
        <v>Net Position-Governmental Activities</v>
      </c>
      <c r="C14" s="342" t="str">
        <f>'Unit Data from Audit Worksheet'!D16</f>
        <v>Please enter any current liabilities that are payable from restricted assets and included in account 626 above</v>
      </c>
      <c r="D14" s="110"/>
      <c r="E14" s="364">
        <f>'Unit Data from Audit Worksheet'!F16</f>
        <v>0</v>
      </c>
      <c r="F14" s="346"/>
      <c r="G14" s="331"/>
      <c r="H14" s="346"/>
      <c r="I14" s="38"/>
      <c r="J14" s="345">
        <v>630</v>
      </c>
      <c r="K14" s="312" t="s">
        <v>735</v>
      </c>
      <c r="L14" s="593">
        <f t="shared" si="3"/>
        <v>0</v>
      </c>
      <c r="M14" s="590"/>
      <c r="N14" s="182"/>
      <c r="O14" s="590"/>
      <c r="P14" s="322"/>
      <c r="Q14" s="591"/>
      <c r="R14" s="3"/>
      <c r="W14" s="18" t="b">
        <f t="shared" si="0"/>
        <v>1</v>
      </c>
      <c r="X14" s="592">
        <f t="shared" si="1"/>
        <v>0</v>
      </c>
      <c r="Y14" s="592">
        <f t="shared" si="2"/>
        <v>0</v>
      </c>
    </row>
    <row r="15" spans="1:25" s="18" customFormat="1" ht="102.75" customHeight="1" x14ac:dyDescent="0.3">
      <c r="A15" s="338">
        <f>'Unit Data from Audit Worksheet'!A17</f>
        <v>631</v>
      </c>
      <c r="B15" s="352" t="str">
        <f>'Unit Data from Audit Worksheet'!C17</f>
        <v>Net Position-Governmental Activities</v>
      </c>
      <c r="C15" s="332" t="str">
        <f>'Unit Data from Audit Worksheet'!D17</f>
        <v>Please enter any OPEB liabilities that are classified as current liabilities and included in account 626 above (amounts entered should agree to the current amount included in the changes to long-term debt note)</v>
      </c>
      <c r="D15" s="110"/>
      <c r="E15" s="364">
        <f>'Unit Data from Audit Worksheet'!F17</f>
        <v>0</v>
      </c>
      <c r="F15" s="346"/>
      <c r="G15" s="331"/>
      <c r="H15" s="346"/>
      <c r="I15" s="38"/>
      <c r="J15" s="345">
        <v>631</v>
      </c>
      <c r="K15" s="312" t="s">
        <v>734</v>
      </c>
      <c r="L15" s="593">
        <f t="shared" si="3"/>
        <v>0</v>
      </c>
      <c r="M15" s="590"/>
      <c r="N15" s="182"/>
      <c r="O15" s="590"/>
      <c r="P15" s="322"/>
      <c r="Q15" s="591"/>
      <c r="R15" s="3"/>
      <c r="W15" s="18" t="b">
        <f t="shared" si="0"/>
        <v>1</v>
      </c>
      <c r="X15" s="592">
        <f t="shared" si="1"/>
        <v>0</v>
      </c>
      <c r="Y15" s="592">
        <f t="shared" si="2"/>
        <v>0</v>
      </c>
    </row>
    <row r="16" spans="1:25" s="18" customFormat="1" ht="119.25" customHeight="1" x14ac:dyDescent="0.3">
      <c r="A16" s="338">
        <f>'Unit Data from Audit Worksheet'!A18</f>
        <v>632</v>
      </c>
      <c r="B16" s="352" t="str">
        <f>'Unit Data from Audit Worksheet'!C18</f>
        <v>Net Position-Governmental Activities</v>
      </c>
      <c r="C16" s="332"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10"/>
      <c r="E16" s="364">
        <f>'Unit Data from Audit Worksheet'!F18</f>
        <v>0</v>
      </c>
      <c r="F16" s="346"/>
      <c r="G16" s="331"/>
      <c r="H16" s="346"/>
      <c r="I16" s="38"/>
      <c r="J16" s="345">
        <v>632</v>
      </c>
      <c r="K16" s="312" t="s">
        <v>733</v>
      </c>
      <c r="L16" s="593">
        <f t="shared" si="3"/>
        <v>0</v>
      </c>
      <c r="M16" s="590"/>
      <c r="N16" s="182"/>
      <c r="O16" s="590"/>
      <c r="P16" s="322"/>
      <c r="Q16" s="591"/>
      <c r="R16" s="3"/>
      <c r="W16" s="18" t="b">
        <f t="shared" si="0"/>
        <v>1</v>
      </c>
      <c r="X16" s="592">
        <f t="shared" si="1"/>
        <v>0</v>
      </c>
      <c r="Y16" s="592">
        <f t="shared" si="2"/>
        <v>0</v>
      </c>
    </row>
    <row r="17" spans="1:25" ht="30.6" x14ac:dyDescent="0.3">
      <c r="A17" s="338">
        <f>'Unit Data from Audit Worksheet'!A19</f>
        <v>338</v>
      </c>
      <c r="B17" s="352" t="str">
        <f>'Unit Data from Audit Worksheet'!C19</f>
        <v>Net Position-Governmental Activities</v>
      </c>
      <c r="C17" s="337" t="str">
        <f>'Unit Data from Audit Worksheet'!D19</f>
        <v>Total Liabilities and total deferred inflows</v>
      </c>
      <c r="D17" s="110"/>
      <c r="E17" s="152">
        <f>'Unit Data from Audit Worksheet'!F19</f>
        <v>0</v>
      </c>
      <c r="F17" s="135" t="str">
        <f>IF(L10&gt;L17,"Please review accounts 626 greater than 338","")</f>
        <v/>
      </c>
      <c r="G17" s="72"/>
      <c r="H17" s="350">
        <f>'Unit Data from Audit Worksheet'!I19</f>
        <v>0</v>
      </c>
      <c r="I17" s="38"/>
      <c r="J17" s="114">
        <v>338</v>
      </c>
      <c r="K17" s="115" t="s">
        <v>116</v>
      </c>
      <c r="L17" s="587">
        <f>IF(D17="",E17,D17)+IF(D9="",E9,D9)</f>
        <v>0</v>
      </c>
      <c r="N17" s="78" t="s">
        <v>544</v>
      </c>
      <c r="P17" s="319"/>
      <c r="W17" s="3" t="b">
        <f t="shared" si="0"/>
        <v>1</v>
      </c>
      <c r="X17" s="583">
        <f t="shared" si="1"/>
        <v>0</v>
      </c>
      <c r="Y17" s="583">
        <f t="shared" si="2"/>
        <v>0</v>
      </c>
    </row>
    <row r="18" spans="1:25" ht="100.5" customHeight="1" x14ac:dyDescent="0.3">
      <c r="A18" s="338">
        <f>'Unit Data from Audit Worksheet'!A20</f>
        <v>335</v>
      </c>
      <c r="B18" s="352" t="str">
        <f>'Unit Data from Audit Worksheet'!C20</f>
        <v>Net Position-Governmental Activities</v>
      </c>
      <c r="C18" s="337" t="str">
        <f>'Unit Data from Audit Worksheet'!D20</f>
        <v>Unearned revenues that were included in current liabilities in your audit report or entered in acct # 626 above. 
Exclude - unearned revenues that are listed in deferred inflows.</v>
      </c>
      <c r="D18" s="110"/>
      <c r="E18" s="358">
        <f>'Unit Data from Audit Worksheet'!F20</f>
        <v>0</v>
      </c>
      <c r="F18" s="351">
        <f>IF(L18&lt;0,"Error: Enter as a positive.",)</f>
        <v>0</v>
      </c>
      <c r="G18" s="353"/>
      <c r="H18" s="350">
        <f>'Unit Data from Audit Worksheet'!I20</f>
        <v>0</v>
      </c>
      <c r="I18" s="38"/>
      <c r="J18" s="349">
        <v>335</v>
      </c>
      <c r="K18" s="348" t="s">
        <v>117</v>
      </c>
      <c r="L18" s="586">
        <f>IF(D18="",E18,D18)</f>
        <v>0</v>
      </c>
      <c r="P18" s="320"/>
      <c r="W18" s="3" t="b">
        <f t="shared" si="0"/>
        <v>1</v>
      </c>
      <c r="X18" s="583">
        <f t="shared" si="1"/>
        <v>0</v>
      </c>
      <c r="Y18" s="583">
        <f t="shared" si="2"/>
        <v>0</v>
      </c>
    </row>
    <row r="19" spans="1:25" ht="20.399999999999999" x14ac:dyDescent="0.3">
      <c r="A19" s="338">
        <f>'Unit Data from Audit Worksheet'!A21</f>
        <v>252</v>
      </c>
      <c r="B19" s="352" t="str">
        <f>'Unit Data from Audit Worksheet'!C21</f>
        <v>Net Position-Governmental Activities</v>
      </c>
      <c r="C19" s="337" t="str">
        <f>'Unit Data from Audit Worksheet'!D21</f>
        <v xml:space="preserve"> Total Net investment in capital assets</v>
      </c>
      <c r="D19" s="110"/>
      <c r="E19" s="358">
        <f>'Unit Data from Audit Worksheet'!F21</f>
        <v>0</v>
      </c>
      <c r="F19" s="351"/>
      <c r="G19" s="353"/>
      <c r="H19" s="350">
        <f>'Unit Data from Audit Worksheet'!I21</f>
        <v>0</v>
      </c>
      <c r="I19" s="38"/>
      <c r="J19" s="349">
        <v>252</v>
      </c>
      <c r="K19" s="348" t="s">
        <v>103</v>
      </c>
      <c r="L19" s="586">
        <f t="shared" ref="L19:L51" si="4">IF(D19="",E19,D19)</f>
        <v>0</v>
      </c>
      <c r="O19" s="594" t="e">
        <f>'Unit Data from Audit Worksheet'!E21</f>
        <v>#N/A</v>
      </c>
      <c r="P19" s="320"/>
      <c r="W19" s="3" t="b">
        <f t="shared" si="0"/>
        <v>1</v>
      </c>
      <c r="X19" s="583">
        <f t="shared" si="1"/>
        <v>0</v>
      </c>
      <c r="Y19" s="583">
        <f t="shared" si="2"/>
        <v>0</v>
      </c>
    </row>
    <row r="20" spans="1:25" ht="20.399999999999999" x14ac:dyDescent="0.3">
      <c r="A20" s="338">
        <f>'Unit Data from Audit Worksheet'!A22</f>
        <v>253</v>
      </c>
      <c r="B20" s="352" t="str">
        <f>'Unit Data from Audit Worksheet'!C22</f>
        <v>Net Position-Governmental Activities</v>
      </c>
      <c r="C20" s="337" t="str">
        <f>'Unit Data from Audit Worksheet'!D22</f>
        <v xml:space="preserve"> Total Net Position, Restricted</v>
      </c>
      <c r="D20" s="110"/>
      <c r="E20" s="358">
        <f>'Unit Data from Audit Worksheet'!F22</f>
        <v>0</v>
      </c>
      <c r="F20" s="351"/>
      <c r="G20" s="353"/>
      <c r="H20" s="350">
        <f>'Unit Data from Audit Worksheet'!I22</f>
        <v>0</v>
      </c>
      <c r="I20" s="38"/>
      <c r="J20" s="349">
        <v>253</v>
      </c>
      <c r="K20" s="348" t="s">
        <v>104</v>
      </c>
      <c r="L20" s="586">
        <f t="shared" si="4"/>
        <v>0</v>
      </c>
      <c r="O20" s="594" t="e">
        <f>'Unit Data from Audit Worksheet'!E22</f>
        <v>#N/A</v>
      </c>
      <c r="P20" s="320"/>
      <c r="W20" s="3" t="b">
        <f t="shared" si="0"/>
        <v>1</v>
      </c>
      <c r="X20" s="583">
        <f t="shared" si="1"/>
        <v>0</v>
      </c>
      <c r="Y20" s="583">
        <f t="shared" si="2"/>
        <v>0</v>
      </c>
    </row>
    <row r="21" spans="1:25" ht="73.5" customHeight="1" x14ac:dyDescent="0.3">
      <c r="A21" s="338">
        <f>'Unit Data from Audit Worksheet'!A23</f>
        <v>254</v>
      </c>
      <c r="B21" s="352" t="str">
        <f>'Unit Data from Audit Worksheet'!C23</f>
        <v>Net Position-Governmental Activities</v>
      </c>
      <c r="C21" s="337" t="str">
        <f>'Unit Data from Audit Worksheet'!D23</f>
        <v>Total Net Position, Unrestricted - enter negative unrestricted net position as a negative)</v>
      </c>
      <c r="D21" s="110"/>
      <c r="E21" s="358">
        <f>'Unit Data from Audit Worksheet'!F23</f>
        <v>0</v>
      </c>
      <c r="F21" s="351">
        <f>IF((L7-L17-L19-L20-L21)=0,,"Error: Total assets and deferred outflows less total liabilities and deferred inflows do not equal total net position accts 385-338-252-253-254")</f>
        <v>0</v>
      </c>
      <c r="G21" s="90">
        <f>+L7-L17-L19-L20-L21</f>
        <v>0</v>
      </c>
      <c r="H21" s="350">
        <f>'Unit Data from Audit Worksheet'!I23</f>
        <v>0</v>
      </c>
      <c r="I21" s="38"/>
      <c r="J21" s="349">
        <v>254</v>
      </c>
      <c r="K21" s="348" t="s">
        <v>105</v>
      </c>
      <c r="L21" s="586">
        <f t="shared" si="4"/>
        <v>0</v>
      </c>
      <c r="O21" s="594" t="e">
        <f>'Unit Data from Audit Worksheet'!E23</f>
        <v>#N/A</v>
      </c>
      <c r="P21" s="320"/>
      <c r="Q21" s="576">
        <f>IF(G21&lt;&gt;0,1,0)</f>
        <v>0</v>
      </c>
      <c r="W21" s="3" t="b">
        <f t="shared" si="0"/>
        <v>1</v>
      </c>
      <c r="X21" s="583">
        <f t="shared" si="1"/>
        <v>0</v>
      </c>
      <c r="Y21" s="583">
        <f t="shared" si="2"/>
        <v>0</v>
      </c>
    </row>
    <row r="22" spans="1:25" ht="51.75" customHeight="1" x14ac:dyDescent="0.3">
      <c r="A22" s="338">
        <f>'Unit Data from Audit Worksheet'!A25</f>
        <v>502</v>
      </c>
      <c r="B22" s="352" t="str">
        <f>'Unit Data from Audit Worksheet'!C25</f>
        <v>Net Position-Business Activities</v>
      </c>
      <c r="C22" s="337" t="str">
        <f>'Unit Data from Audit Worksheet'!D25</f>
        <v xml:space="preserve">All unrestricted Cash and investments. 
Exclude restricted cash and cash held by a third party. </v>
      </c>
      <c r="D22" s="110"/>
      <c r="E22" s="358">
        <f>'Unit Data from Audit Worksheet'!F25</f>
        <v>0</v>
      </c>
      <c r="F22" s="351">
        <f>IF(L22&lt;0,"Error: Number is normally positive.",)</f>
        <v>0</v>
      </c>
      <c r="G22" s="353"/>
      <c r="H22" s="350">
        <f>'Unit Data from Audit Worksheet'!I25</f>
        <v>0</v>
      </c>
      <c r="I22" s="38"/>
      <c r="J22" s="349">
        <v>502</v>
      </c>
      <c r="K22" s="348" t="s">
        <v>186</v>
      </c>
      <c r="L22" s="586">
        <f t="shared" si="4"/>
        <v>0</v>
      </c>
      <c r="P22" s="320"/>
      <c r="W22" s="3" t="b">
        <f t="shared" si="0"/>
        <v>1</v>
      </c>
      <c r="X22" s="583">
        <f t="shared" si="1"/>
        <v>0</v>
      </c>
      <c r="Y22" s="583">
        <f t="shared" si="2"/>
        <v>0</v>
      </c>
    </row>
    <row r="23" spans="1:25" ht="40.5" customHeight="1" x14ac:dyDescent="0.3">
      <c r="A23" s="338">
        <f>'Unit Data from Audit Worksheet'!A26</f>
        <v>503</v>
      </c>
      <c r="B23" s="352" t="str">
        <f>'Unit Data from Audit Worksheet'!C26</f>
        <v>Net Position-Business Activities</v>
      </c>
      <c r="C23" s="337" t="str">
        <f>'Unit Data from Audit Worksheet'!D26</f>
        <v>All restricted Cash and investments</v>
      </c>
      <c r="D23" s="110"/>
      <c r="E23" s="358">
        <f>'Unit Data from Audit Worksheet'!F26</f>
        <v>0</v>
      </c>
      <c r="F23" s="351">
        <f>IF(L23&lt;0,"Error: Number is normally positive.",)</f>
        <v>0</v>
      </c>
      <c r="G23" s="353"/>
      <c r="H23" s="350">
        <f>'Unit Data from Audit Worksheet'!I26</f>
        <v>0</v>
      </c>
      <c r="I23" s="38"/>
      <c r="J23" s="349">
        <v>503</v>
      </c>
      <c r="K23" s="348" t="s">
        <v>187</v>
      </c>
      <c r="L23" s="586">
        <f t="shared" si="4"/>
        <v>0</v>
      </c>
      <c r="P23" s="320"/>
      <c r="W23" s="3" t="b">
        <f t="shared" si="0"/>
        <v>1</v>
      </c>
      <c r="X23" s="583">
        <f t="shared" si="1"/>
        <v>0</v>
      </c>
      <c r="Y23" s="583">
        <f t="shared" si="2"/>
        <v>0</v>
      </c>
    </row>
    <row r="24" spans="1:25" ht="39" customHeight="1" x14ac:dyDescent="0.3">
      <c r="A24" s="338">
        <f>'Unit Data from Audit Worksheet'!A28</f>
        <v>344</v>
      </c>
      <c r="B24" s="352" t="str">
        <f>'Unit Data from Audit Worksheet'!C28</f>
        <v>Statement of Activities - Governmental</v>
      </c>
      <c r="C24" s="337" t="str">
        <f>'Unit Data from Audit Worksheet'!D28</f>
        <v xml:space="preserve">Total Interest expense on Long-Term Debt </v>
      </c>
      <c r="D24" s="110"/>
      <c r="E24" s="358">
        <f>'Unit Data from Audit Worksheet'!F28</f>
        <v>0</v>
      </c>
      <c r="F24" s="351">
        <f>IF(L24&lt;0,"Error: Enter as a positive.",)</f>
        <v>0</v>
      </c>
      <c r="G24" s="353"/>
      <c r="H24" s="350">
        <f>'Unit Data from Audit Worksheet'!I28</f>
        <v>0</v>
      </c>
      <c r="I24" s="38"/>
      <c r="J24" s="349">
        <v>344</v>
      </c>
      <c r="K24" s="348" t="s">
        <v>188</v>
      </c>
      <c r="L24" s="586">
        <f t="shared" si="4"/>
        <v>0</v>
      </c>
      <c r="P24" s="320"/>
      <c r="W24" s="3" t="b">
        <f t="shared" si="0"/>
        <v>1</v>
      </c>
      <c r="X24" s="583">
        <f t="shared" si="1"/>
        <v>0</v>
      </c>
      <c r="Y24" s="583">
        <f t="shared" si="2"/>
        <v>0</v>
      </c>
    </row>
    <row r="25" spans="1:25" ht="39" customHeight="1" x14ac:dyDescent="0.3">
      <c r="A25" s="338">
        <f>'Unit Data from Audit Worksheet'!A29</f>
        <v>388</v>
      </c>
      <c r="B25" s="352" t="str">
        <f>'Unit Data from Audit Worksheet'!C29</f>
        <v>Statement of Activities - Governmental</v>
      </c>
      <c r="C25" s="337" t="str">
        <f>'Unit Data from Audit Worksheet'!D29</f>
        <v>Total Expenses</v>
      </c>
      <c r="D25" s="110"/>
      <c r="E25" s="358">
        <f>'Unit Data from Audit Worksheet'!F29</f>
        <v>0</v>
      </c>
      <c r="F25" s="351">
        <f t="shared" ref="F25:F30" si="5">IF(L25&lt;0,"Error: Number is normally positive.",)</f>
        <v>0</v>
      </c>
      <c r="G25" s="353"/>
      <c r="H25" s="350">
        <f>'Unit Data from Audit Worksheet'!I29</f>
        <v>0</v>
      </c>
      <c r="I25" s="38"/>
      <c r="J25" s="349">
        <v>388</v>
      </c>
      <c r="K25" s="348" t="s">
        <v>189</v>
      </c>
      <c r="L25" s="586">
        <f t="shared" si="4"/>
        <v>0</v>
      </c>
      <c r="P25" s="320"/>
      <c r="W25" s="3" t="b">
        <f t="shared" si="0"/>
        <v>1</v>
      </c>
      <c r="X25" s="583">
        <f t="shared" si="1"/>
        <v>0</v>
      </c>
      <c r="Y25" s="583">
        <f t="shared" si="2"/>
        <v>0</v>
      </c>
    </row>
    <row r="26" spans="1:25" ht="39" customHeight="1" x14ac:dyDescent="0.3">
      <c r="A26" s="338">
        <f>'Unit Data from Audit Worksheet'!A30</f>
        <v>339</v>
      </c>
      <c r="B26" s="352" t="str">
        <f>'Unit Data from Audit Worksheet'!C30</f>
        <v>Statement of Activities - Governmental</v>
      </c>
      <c r="C26" s="337" t="str">
        <f>'Unit Data from Audit Worksheet'!D30</f>
        <v xml:space="preserve">Charges for services </v>
      </c>
      <c r="D26" s="110"/>
      <c r="E26" s="358">
        <f>'Unit Data from Audit Worksheet'!F30</f>
        <v>0</v>
      </c>
      <c r="F26" s="351">
        <f t="shared" si="5"/>
        <v>0</v>
      </c>
      <c r="G26" s="353"/>
      <c r="H26" s="350">
        <f>'Unit Data from Audit Worksheet'!I30</f>
        <v>0</v>
      </c>
      <c r="I26" s="38"/>
      <c r="J26" s="349">
        <v>339</v>
      </c>
      <c r="K26" s="348" t="s">
        <v>190</v>
      </c>
      <c r="L26" s="586">
        <f t="shared" si="4"/>
        <v>0</v>
      </c>
      <c r="P26" s="320"/>
      <c r="W26" s="3" t="b">
        <f t="shared" si="0"/>
        <v>1</v>
      </c>
      <c r="X26" s="583">
        <f t="shared" si="1"/>
        <v>0</v>
      </c>
      <c r="Y26" s="583">
        <f t="shared" si="2"/>
        <v>0</v>
      </c>
    </row>
    <row r="27" spans="1:25" ht="39" customHeight="1" x14ac:dyDescent="0.3">
      <c r="A27" s="338">
        <f>'Unit Data from Audit Worksheet'!A31</f>
        <v>504</v>
      </c>
      <c r="B27" s="352" t="str">
        <f>'Unit Data from Audit Worksheet'!C31</f>
        <v>Statement of Activities - Governmental</v>
      </c>
      <c r="C27" s="337" t="str">
        <f>'Unit Data from Audit Worksheet'!D31</f>
        <v>Operating grants and contributions</v>
      </c>
      <c r="D27" s="110"/>
      <c r="E27" s="358">
        <f>'Unit Data from Audit Worksheet'!F31</f>
        <v>0</v>
      </c>
      <c r="F27" s="351">
        <f t="shared" si="5"/>
        <v>0</v>
      </c>
      <c r="G27" s="353"/>
      <c r="H27" s="350">
        <f>'Unit Data from Audit Worksheet'!I31</f>
        <v>0</v>
      </c>
      <c r="I27" s="38"/>
      <c r="J27" s="349">
        <v>504</v>
      </c>
      <c r="K27" s="348" t="s">
        <v>191</v>
      </c>
      <c r="L27" s="586">
        <f t="shared" si="4"/>
        <v>0</v>
      </c>
      <c r="P27" s="320"/>
      <c r="W27" s="3" t="b">
        <f t="shared" si="0"/>
        <v>1</v>
      </c>
      <c r="X27" s="583">
        <f t="shared" si="1"/>
        <v>0</v>
      </c>
      <c r="Y27" s="583">
        <f t="shared" si="2"/>
        <v>0</v>
      </c>
    </row>
    <row r="28" spans="1:25" ht="39" customHeight="1" x14ac:dyDescent="0.3">
      <c r="A28" s="338">
        <f>'Unit Data from Audit Worksheet'!A32</f>
        <v>505</v>
      </c>
      <c r="B28" s="352" t="str">
        <f>'Unit Data from Audit Worksheet'!C32</f>
        <v>Statement of Activities - Governmental</v>
      </c>
      <c r="C28" s="337" t="str">
        <f>'Unit Data from Audit Worksheet'!D32</f>
        <v>Capital grants and contributions</v>
      </c>
      <c r="D28" s="110"/>
      <c r="E28" s="358">
        <f>'Unit Data from Audit Worksheet'!F32</f>
        <v>0</v>
      </c>
      <c r="F28" s="351">
        <f t="shared" si="5"/>
        <v>0</v>
      </c>
      <c r="G28" s="353"/>
      <c r="H28" s="350">
        <f>'Unit Data from Audit Worksheet'!I32</f>
        <v>0</v>
      </c>
      <c r="I28" s="38"/>
      <c r="J28" s="349">
        <v>505</v>
      </c>
      <c r="K28" s="348" t="s">
        <v>192</v>
      </c>
      <c r="L28" s="586">
        <f t="shared" si="4"/>
        <v>0</v>
      </c>
      <c r="P28" s="320"/>
      <c r="W28" s="3" t="b">
        <f t="shared" si="0"/>
        <v>1</v>
      </c>
      <c r="X28" s="583">
        <f t="shared" si="1"/>
        <v>0</v>
      </c>
      <c r="Y28" s="583">
        <f t="shared" si="2"/>
        <v>0</v>
      </c>
    </row>
    <row r="29" spans="1:25" ht="82.5" customHeight="1" x14ac:dyDescent="0.3">
      <c r="A29" s="338">
        <f>'Unit Data from Audit Worksheet'!A33</f>
        <v>341</v>
      </c>
      <c r="B29" s="352" t="str">
        <f>'Unit Data from Audit Worksheet'!C33</f>
        <v>Statement of Activities - Governmental</v>
      </c>
      <c r="C29" s="337" t="str">
        <f>'Unit Data from Audit Worksheet'!D33</f>
        <v>Total General revenues
Exclude: transfers-in or out,
                 special items,
                 extraordinary amounts</v>
      </c>
      <c r="D29" s="110"/>
      <c r="E29" s="358">
        <f>'Unit Data from Audit Worksheet'!F33</f>
        <v>0</v>
      </c>
      <c r="F29" s="351">
        <f t="shared" si="5"/>
        <v>0</v>
      </c>
      <c r="G29" s="353"/>
      <c r="H29" s="350">
        <f>'Unit Data from Audit Worksheet'!I33</f>
        <v>0</v>
      </c>
      <c r="I29" s="38"/>
      <c r="J29" s="349">
        <v>341</v>
      </c>
      <c r="K29" s="348" t="s">
        <v>193</v>
      </c>
      <c r="L29" s="586">
        <f t="shared" si="4"/>
        <v>0</v>
      </c>
      <c r="P29" s="320"/>
      <c r="W29" s="3" t="b">
        <f t="shared" si="0"/>
        <v>1</v>
      </c>
      <c r="X29" s="583">
        <f t="shared" si="1"/>
        <v>0</v>
      </c>
      <c r="Y29" s="583">
        <f t="shared" si="2"/>
        <v>0</v>
      </c>
    </row>
    <row r="30" spans="1:25" ht="82.5" customHeight="1" x14ac:dyDescent="0.3">
      <c r="A30" s="338">
        <f>'Unit Data from Audit Worksheet'!A34</f>
        <v>386</v>
      </c>
      <c r="B30" s="352" t="str">
        <f>'Unit Data from Audit Worksheet'!C34</f>
        <v>Statement of Activities - Governmental</v>
      </c>
      <c r="C30" s="337" t="str">
        <f>'Unit Data from Audit Worksheet'!D34</f>
        <v>Total Transfers in    (Preference is that transfers-in  are not netted against transfers-out)</v>
      </c>
      <c r="D30" s="110"/>
      <c r="E30" s="358">
        <f>'Unit Data from Audit Worksheet'!F34</f>
        <v>0</v>
      </c>
      <c r="F30" s="351">
        <f t="shared" si="5"/>
        <v>0</v>
      </c>
      <c r="G30" s="353"/>
      <c r="H30" s="350">
        <f>'Unit Data from Audit Worksheet'!I34</f>
        <v>0</v>
      </c>
      <c r="I30" s="38"/>
      <c r="J30" s="349">
        <v>386</v>
      </c>
      <c r="K30" s="348" t="s">
        <v>194</v>
      </c>
      <c r="L30" s="586">
        <f t="shared" si="4"/>
        <v>0</v>
      </c>
      <c r="P30" s="320"/>
      <c r="W30" s="3" t="b">
        <f t="shared" si="0"/>
        <v>1</v>
      </c>
      <c r="X30" s="583">
        <f t="shared" si="1"/>
        <v>0</v>
      </c>
      <c r="Y30" s="583">
        <f t="shared" si="2"/>
        <v>0</v>
      </c>
    </row>
    <row r="31" spans="1:25" ht="82.5" customHeight="1" x14ac:dyDescent="0.3">
      <c r="A31" s="338">
        <f>'Unit Data from Audit Worksheet'!A35</f>
        <v>387</v>
      </c>
      <c r="B31" s="352" t="str">
        <f>'Unit Data from Audit Worksheet'!C35</f>
        <v>Statement of Activities - Governmental</v>
      </c>
      <c r="C31" s="337" t="str">
        <f>'Unit Data from Audit Worksheet'!D35</f>
        <v>Total Transfers out    (Preference is that transfers-in  are not netted against transfers-out)</v>
      </c>
      <c r="D31" s="110"/>
      <c r="E31" s="358">
        <f>'Unit Data from Audit Worksheet'!F35</f>
        <v>0</v>
      </c>
      <c r="F31" s="351">
        <f>IF(L31&lt;0,"Error: Enter as a positive.",)</f>
        <v>0</v>
      </c>
      <c r="G31" s="353"/>
      <c r="H31" s="350">
        <f>'Unit Data from Audit Worksheet'!I35</f>
        <v>0</v>
      </c>
      <c r="I31" s="38"/>
      <c r="J31" s="349">
        <v>387</v>
      </c>
      <c r="K31" s="348" t="s">
        <v>195</v>
      </c>
      <c r="L31" s="586">
        <f t="shared" si="4"/>
        <v>0</v>
      </c>
      <c r="P31" s="320"/>
      <c r="W31" s="3" t="b">
        <f t="shared" si="0"/>
        <v>1</v>
      </c>
      <c r="X31" s="583">
        <f t="shared" si="1"/>
        <v>0</v>
      </c>
      <c r="Y31" s="583">
        <f t="shared" si="2"/>
        <v>0</v>
      </c>
    </row>
    <row r="32" spans="1:25" ht="82.5" customHeight="1" x14ac:dyDescent="0.3">
      <c r="A32" s="338">
        <f>'Unit Data from Audit Worksheet'!A36</f>
        <v>389</v>
      </c>
      <c r="B32" s="352" t="str">
        <f>'Unit Data from Audit Worksheet'!C36</f>
        <v>Statement of Activities - Governmental</v>
      </c>
      <c r="C32" s="337" t="str">
        <f>'Unit Data from Audit Worksheet'!D36</f>
        <v>Total Special and Extraordinary items.    (Amounts that increase net position are recorded as positive and amounts that decrease net position are recorded as negative)</v>
      </c>
      <c r="D32" s="110"/>
      <c r="E32" s="358">
        <f>'Unit Data from Audit Worksheet'!F36</f>
        <v>0</v>
      </c>
      <c r="F32" s="351"/>
      <c r="G32" s="353"/>
      <c r="H32" s="350">
        <f>'Unit Data from Audit Worksheet'!I36</f>
        <v>0</v>
      </c>
      <c r="I32" s="38"/>
      <c r="J32" s="349">
        <v>389</v>
      </c>
      <c r="K32" s="348" t="s">
        <v>196</v>
      </c>
      <c r="L32" s="586">
        <f t="shared" si="4"/>
        <v>0</v>
      </c>
      <c r="N32" s="595"/>
      <c r="P32" s="320"/>
      <c r="W32" s="3" t="b">
        <f t="shared" si="0"/>
        <v>1</v>
      </c>
      <c r="X32" s="583">
        <f t="shared" si="1"/>
        <v>0</v>
      </c>
      <c r="Y32" s="583">
        <f t="shared" si="2"/>
        <v>0</v>
      </c>
    </row>
    <row r="33" spans="1:25" ht="79.5" customHeight="1" x14ac:dyDescent="0.3">
      <c r="A33" s="338">
        <f>'Unit Data from Audit Worksheet'!A37</f>
        <v>255</v>
      </c>
      <c r="B33" s="352" t="str">
        <f>'Unit Data from Audit Worksheet'!C37</f>
        <v>Statement of Activities - Governmental</v>
      </c>
      <c r="C33" s="337" t="str">
        <f>'Unit Data from Audit Worksheet'!D37</f>
        <v>Total Change in net position - (Increase in net position is recorded as a positive and a decrease in net position is recorded as a negative)</v>
      </c>
      <c r="D33" s="110"/>
      <c r="E33" s="358">
        <f>'Unit Data from Audit Worksheet'!F37</f>
        <v>0</v>
      </c>
      <c r="F33" s="351">
        <f>IF((L26+L27+L28+L29+L30-L31+L32-L25-L33)=0,,"Total revenues less total expenses do not equal total change in net position. Acct 339+504+505+341+386-387+389-388-255=0")</f>
        <v>0</v>
      </c>
      <c r="G33" s="91">
        <f>L26+L27+L28+L29+L30-L31+L32-L25-L33</f>
        <v>0</v>
      </c>
      <c r="H33" s="350">
        <f>'Unit Data from Audit Worksheet'!I37</f>
        <v>0</v>
      </c>
      <c r="I33" s="38"/>
      <c r="J33" s="349">
        <v>255</v>
      </c>
      <c r="K33" s="348" t="s">
        <v>197</v>
      </c>
      <c r="L33" s="586">
        <f t="shared" si="4"/>
        <v>0</v>
      </c>
      <c r="O33" s="594" t="e">
        <f>'Unit Data from Audit Worksheet'!E37</f>
        <v>#N/A</v>
      </c>
      <c r="P33" s="320"/>
      <c r="Q33" s="576">
        <f>IF(G33&lt;&gt;0,1,0)</f>
        <v>0</v>
      </c>
      <c r="W33" s="3" t="b">
        <f t="shared" si="0"/>
        <v>1</v>
      </c>
      <c r="X33" s="583">
        <f t="shared" si="1"/>
        <v>0</v>
      </c>
      <c r="Y33" s="583">
        <f t="shared" si="2"/>
        <v>0</v>
      </c>
    </row>
    <row r="34" spans="1:25" ht="89.25" customHeight="1" x14ac:dyDescent="0.3">
      <c r="A34" s="338">
        <f>'Unit Data from Audit Worksheet'!A38</f>
        <v>376</v>
      </c>
      <c r="B34" s="352" t="str">
        <f>'Unit Data from Audit Worksheet'!C38</f>
        <v>Statement of Activities - Governmental</v>
      </c>
      <c r="C34" s="337" t="str">
        <f>'Unit Data from Audit Worksheet'!D38</f>
        <v>Any adjustment to beginning net position including rounding, prior period adjustments and restatements.   (Increases to net position are positive; decreases to net position are negative)</v>
      </c>
      <c r="D34" s="110"/>
      <c r="E34" s="358">
        <f>'Unit Data from Audit Worksheet'!F38</f>
        <v>0</v>
      </c>
      <c r="F34" s="87" t="e">
        <f>IF(L19+L20+L21-L33-L34=O19+O20+O21,,"Beginning Balance does not agree with our records acct (252+253+254-255-376=PY252+PY253+PY254)")</f>
        <v>#N/A</v>
      </c>
      <c r="G34" s="92" t="e">
        <f>L19+L20+L21-L33-L34-(O19+O20+O21)</f>
        <v>#N/A</v>
      </c>
      <c r="H34" s="350" t="str">
        <f>'Unit Data from Audit Worksheet'!I38</f>
        <v>Please do not enter prior's years beginning balance as an adjustment in column F.</v>
      </c>
      <c r="I34" s="38"/>
      <c r="J34" s="349">
        <v>376</v>
      </c>
      <c r="K34" s="348" t="s">
        <v>108</v>
      </c>
      <c r="L34" s="586">
        <f t="shared" si="4"/>
        <v>0</v>
      </c>
      <c r="O34" s="594" t="e">
        <f>'Unit Data from Audit Worksheet'!E38</f>
        <v>#N/A</v>
      </c>
      <c r="P34" s="320"/>
      <c r="Q34" s="576" t="e">
        <f>IF(G34&lt;&gt;0,1,0)</f>
        <v>#N/A</v>
      </c>
      <c r="W34" s="3" t="b">
        <f t="shared" si="0"/>
        <v>1</v>
      </c>
      <c r="X34" s="583">
        <f t="shared" si="1"/>
        <v>0</v>
      </c>
      <c r="Y34" s="583">
        <f t="shared" si="2"/>
        <v>0</v>
      </c>
    </row>
    <row r="35" spans="1:25" ht="157.5" customHeight="1" x14ac:dyDescent="0.3">
      <c r="A35" s="338">
        <f>'Unit Data from Audit Worksheet'!A39</f>
        <v>597</v>
      </c>
      <c r="B35" s="352" t="str">
        <f>'Unit Data from Audit Worksheet'!C39</f>
        <v>Statement of Activities                               (all governmental and business funds)</v>
      </c>
      <c r="C35" s="337"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10"/>
      <c r="E35" s="358">
        <f>'Unit Data from Audit Worksheet'!F39</f>
        <v>0</v>
      </c>
      <c r="F35" s="351">
        <f>IF(L35&lt;0,"Error: Number is normally positive.",)</f>
        <v>0</v>
      </c>
      <c r="G35" s="353"/>
      <c r="H35" s="350">
        <f>'Unit Data from Audit Worksheet'!I39</f>
        <v>0</v>
      </c>
      <c r="I35" s="38"/>
      <c r="J35" s="349">
        <v>597</v>
      </c>
      <c r="K35" s="348" t="s">
        <v>675</v>
      </c>
      <c r="L35" s="586">
        <f t="shared" si="4"/>
        <v>0</v>
      </c>
      <c r="O35" s="594"/>
      <c r="P35" s="320"/>
      <c r="W35" s="3" t="b">
        <f t="shared" si="0"/>
        <v>1</v>
      </c>
      <c r="X35" s="583">
        <f t="shared" si="1"/>
        <v>0</v>
      </c>
      <c r="Y35" s="583">
        <f t="shared" si="2"/>
        <v>0</v>
      </c>
    </row>
    <row r="36" spans="1:25" ht="90" customHeight="1" x14ac:dyDescent="0.3">
      <c r="A36" s="338">
        <f>'Unit Data from Audit Worksheet'!A41</f>
        <v>592</v>
      </c>
      <c r="B36" s="352" t="str">
        <f>'Unit Data from Audit Worksheet'!C41</f>
        <v>Statement of Activities - Business Activities</v>
      </c>
      <c r="C36" s="337" t="str">
        <f>'Unit Data from Audit Worksheet'!D41</f>
        <v>Total Change in net position Business Type 
(Increase in net position is recorded as a positive and a decrease in net position is recorded as a negative)</v>
      </c>
      <c r="D36" s="110"/>
      <c r="E36" s="358">
        <f>'Unit Data from Audit Worksheet'!F41</f>
        <v>0</v>
      </c>
      <c r="F36" s="351"/>
      <c r="G36" s="353"/>
      <c r="H36" s="350">
        <f>'Unit Data from Audit Worksheet'!I41</f>
        <v>0</v>
      </c>
      <c r="I36" s="38"/>
      <c r="J36" s="349">
        <v>592</v>
      </c>
      <c r="K36" s="348" t="s">
        <v>610</v>
      </c>
      <c r="L36" s="586">
        <f t="shared" si="4"/>
        <v>0</v>
      </c>
      <c r="O36" s="594"/>
      <c r="P36" s="320"/>
      <c r="W36" s="3" t="b">
        <f t="shared" ref="W36:W66" si="6">EXACT(A36,J36)</f>
        <v>1</v>
      </c>
      <c r="X36" s="583">
        <f t="shared" si="1"/>
        <v>0</v>
      </c>
      <c r="Y36" s="583">
        <f t="shared" si="2"/>
        <v>0</v>
      </c>
    </row>
    <row r="37" spans="1:25" ht="66" customHeight="1" x14ac:dyDescent="0.3">
      <c r="A37" s="338">
        <f>'Unit Data from Audit Worksheet'!A42</f>
        <v>591</v>
      </c>
      <c r="B37" s="352" t="str">
        <f>'Unit Data from Audit Worksheet'!C42</f>
        <v>Statement of Activities - Business Activities</v>
      </c>
      <c r="C37" s="337" t="str">
        <f>'Unit Data from Audit Worksheet'!D42</f>
        <v>Total Expenses - Exclude Transfers</v>
      </c>
      <c r="D37" s="110"/>
      <c r="E37" s="358">
        <f>'Unit Data from Audit Worksheet'!F42</f>
        <v>0</v>
      </c>
      <c r="F37" s="351">
        <f>IF(L37&lt;0,"Error: Enter as a positive.",)</f>
        <v>0</v>
      </c>
      <c r="G37" s="353"/>
      <c r="H37" s="350">
        <f>'Unit Data from Audit Worksheet'!I42</f>
        <v>0</v>
      </c>
      <c r="I37" s="38"/>
      <c r="J37" s="349">
        <v>591</v>
      </c>
      <c r="K37" s="348" t="s">
        <v>609</v>
      </c>
      <c r="L37" s="586">
        <f t="shared" si="4"/>
        <v>0</v>
      </c>
      <c r="O37" s="594"/>
      <c r="P37" s="320"/>
      <c r="W37" s="3" t="b">
        <f t="shared" si="6"/>
        <v>1</v>
      </c>
      <c r="X37" s="583">
        <f t="shared" si="1"/>
        <v>0</v>
      </c>
      <c r="Y37" s="583">
        <f t="shared" si="2"/>
        <v>0</v>
      </c>
    </row>
    <row r="38" spans="1:25" s="722" customFormat="1" ht="66" customHeight="1" x14ac:dyDescent="0.3">
      <c r="A38" s="338">
        <f>'Unit Data from Audit Worksheet'!A43</f>
        <v>593</v>
      </c>
      <c r="B38" s="352" t="str">
        <f>'Unit Data from Audit Worksheet'!C43</f>
        <v>Statement of Activities - Business Activities</v>
      </c>
      <c r="C38" s="337" t="str">
        <f>'Unit Data from Audit Worksheet'!D43</f>
        <v>Total Transfers in    (Preference is that transfers-in  are not netted against transfers-out)</v>
      </c>
      <c r="D38" s="110"/>
      <c r="E38" s="358">
        <f>'Unit Data from Audit Worksheet'!F43</f>
        <v>0</v>
      </c>
      <c r="F38" s="351"/>
      <c r="G38" s="353"/>
      <c r="H38" s="350"/>
      <c r="I38" s="724"/>
      <c r="J38" s="349">
        <v>593</v>
      </c>
      <c r="K38" s="727" t="s">
        <v>1404</v>
      </c>
      <c r="L38" s="586">
        <f t="shared" si="4"/>
        <v>0</v>
      </c>
      <c r="O38" s="594"/>
      <c r="P38" s="320"/>
      <c r="Q38" s="576"/>
      <c r="X38" s="583"/>
      <c r="Y38" s="583"/>
    </row>
    <row r="39" spans="1:25" s="722" customFormat="1" ht="66" customHeight="1" x14ac:dyDescent="0.3">
      <c r="A39" s="338">
        <f>'Unit Data from Audit Worksheet'!A44</f>
        <v>594</v>
      </c>
      <c r="B39" s="352" t="str">
        <f>'Unit Data from Audit Worksheet'!C44</f>
        <v>Statement of Activities - Business Activities</v>
      </c>
      <c r="C39" s="337" t="str">
        <f>'Unit Data from Audit Worksheet'!D44</f>
        <v>Total Transfers out    (Preference is that transfers-in  are not netted against transfers-out)</v>
      </c>
      <c r="D39" s="110"/>
      <c r="E39" s="358">
        <f>'Unit Data from Audit Worksheet'!F44</f>
        <v>0</v>
      </c>
      <c r="F39" s="351"/>
      <c r="G39" s="353"/>
      <c r="H39" s="350"/>
      <c r="I39" s="724"/>
      <c r="J39" s="349">
        <v>594</v>
      </c>
      <c r="K39" s="727" t="s">
        <v>1405</v>
      </c>
      <c r="L39" s="586">
        <f t="shared" si="4"/>
        <v>0</v>
      </c>
      <c r="O39" s="594"/>
      <c r="P39" s="320"/>
      <c r="Q39" s="576"/>
      <c r="X39" s="583"/>
      <c r="Y39" s="583"/>
    </row>
    <row r="40" spans="1:25" s="722" customFormat="1" ht="66" customHeight="1" x14ac:dyDescent="0.3">
      <c r="A40" s="338">
        <f>'Unit Data from Audit Worksheet'!A46</f>
        <v>558</v>
      </c>
      <c r="B40" s="352" t="str">
        <f>'Unit Data from Audit Worksheet'!C46</f>
        <v>Mental Health-Balance Sheet - Non GAAP</v>
      </c>
      <c r="C40" s="337" t="str">
        <f>'Unit Data from Audit Worksheet'!D46</f>
        <v xml:space="preserve">All unrestricted cash and investments.  
Exclude restricted cash and cash held by a third party. </v>
      </c>
      <c r="D40" s="110"/>
      <c r="E40" s="358">
        <f>'Unit Data from Audit Worksheet'!F46</f>
        <v>0</v>
      </c>
      <c r="F40" s="351"/>
      <c r="G40" s="353"/>
      <c r="H40" s="350"/>
      <c r="I40" s="724"/>
      <c r="J40" s="349">
        <v>558</v>
      </c>
      <c r="K40" s="723" t="s">
        <v>1406</v>
      </c>
      <c r="L40" s="586">
        <f t="shared" si="4"/>
        <v>0</v>
      </c>
      <c r="O40" s="594"/>
      <c r="P40" s="320"/>
      <c r="Q40" s="576"/>
      <c r="X40" s="583"/>
      <c r="Y40" s="583"/>
    </row>
    <row r="41" spans="1:25" s="722" customFormat="1" ht="66" customHeight="1" x14ac:dyDescent="0.3">
      <c r="A41" s="338">
        <f>'Unit Data from Audit Worksheet'!A47</f>
        <v>559</v>
      </c>
      <c r="B41" s="352" t="str">
        <f>'Unit Data from Audit Worksheet'!C47</f>
        <v>Mental Health-Balance Sheet - Non GAAP</v>
      </c>
      <c r="C41" s="337" t="str">
        <f>'Unit Data from Audit Worksheet'!D47</f>
        <v>All restricted cash and investments</v>
      </c>
      <c r="D41" s="110"/>
      <c r="E41" s="358">
        <f>'Unit Data from Audit Worksheet'!F47</f>
        <v>0</v>
      </c>
      <c r="F41" s="351"/>
      <c r="G41" s="353"/>
      <c r="H41" s="350"/>
      <c r="I41" s="724"/>
      <c r="J41" s="349">
        <v>559</v>
      </c>
      <c r="K41" s="723" t="s">
        <v>1407</v>
      </c>
      <c r="L41" s="586">
        <f t="shared" si="4"/>
        <v>0</v>
      </c>
      <c r="O41" s="594"/>
      <c r="P41" s="320"/>
      <c r="Q41" s="576"/>
      <c r="X41" s="583"/>
      <c r="Y41" s="583"/>
    </row>
    <row r="42" spans="1:25" s="722" customFormat="1" ht="124.5" customHeight="1" x14ac:dyDescent="0.3">
      <c r="A42" s="338">
        <f>'Unit Data from Audit Worksheet'!A48</f>
        <v>560</v>
      </c>
      <c r="B42" s="352" t="str">
        <f>'Unit Data from Audit Worksheet'!C48</f>
        <v>Mental Health-Balance Sheet - Non GAAP</v>
      </c>
      <c r="C42" s="337" t="str">
        <f>'Unit Data from Audit Worksheet'!D48</f>
        <v>Current Liabilities 
Exclude: all deferred inflows
                 current debt service payments
Include: Liabilities payable from restricted assets.</v>
      </c>
      <c r="D42" s="110"/>
      <c r="E42" s="358">
        <f>'Unit Data from Audit Worksheet'!F48</f>
        <v>0</v>
      </c>
      <c r="F42" s="351"/>
      <c r="G42" s="353"/>
      <c r="H42" s="350"/>
      <c r="I42" s="724"/>
      <c r="J42" s="349">
        <v>560</v>
      </c>
      <c r="K42" s="723" t="s">
        <v>1408</v>
      </c>
      <c r="L42" s="586">
        <f t="shared" si="4"/>
        <v>0</v>
      </c>
      <c r="O42" s="594"/>
      <c r="P42" s="320"/>
      <c r="Q42" s="576"/>
      <c r="X42" s="583"/>
      <c r="Y42" s="583"/>
    </row>
    <row r="43" spans="1:25" s="722" customFormat="1" ht="66" customHeight="1" x14ac:dyDescent="0.3">
      <c r="A43" s="338">
        <f>'Unit Data from Audit Worksheet'!A49</f>
        <v>561</v>
      </c>
      <c r="B43" s="352" t="str">
        <f>'Unit Data from Audit Worksheet'!C49</f>
        <v>Mental Health-Balance Sheet - Non GAAP</v>
      </c>
      <c r="C43" s="337" t="str">
        <f>'Unit Data from Audit Worksheet'!D49</f>
        <v xml:space="preserve">Mental Health Enterprise Fund Non GAAP deferred inflows or liabilities derived from cash receipts.   </v>
      </c>
      <c r="D43" s="110"/>
      <c r="E43" s="358">
        <f>'Unit Data from Audit Worksheet'!F49</f>
        <v>0</v>
      </c>
      <c r="F43" s="351"/>
      <c r="G43" s="353"/>
      <c r="H43" s="350"/>
      <c r="I43" s="724"/>
      <c r="J43" s="349">
        <v>561</v>
      </c>
      <c r="K43" s="723" t="s">
        <v>1409</v>
      </c>
      <c r="L43" s="586">
        <f t="shared" si="4"/>
        <v>0</v>
      </c>
      <c r="O43" s="594"/>
      <c r="P43" s="320"/>
      <c r="Q43" s="576"/>
      <c r="X43" s="583"/>
      <c r="Y43" s="583"/>
    </row>
    <row r="44" spans="1:25" s="722" customFormat="1" ht="137.25" customHeight="1" x14ac:dyDescent="0.3">
      <c r="A44" s="338">
        <f>'Unit Data from Audit Worksheet'!A50</f>
        <v>563</v>
      </c>
      <c r="B44" s="352" t="str">
        <f>'Unit Data from Audit Worksheet'!C50</f>
        <v>Mental Health-Balance Sheet - Non GAAP</v>
      </c>
      <c r="C44" s="337" t="str">
        <f>'Unit Data from Audit Worksheet'!D50</f>
        <v>Total Liabilities payable from restricted assets (only complete if this if unit has listed this account in their financial statements for the Mental Health Enterprise Fund Non GAAP and the auditor has listed the cash to be used to pay the liabilities as restricted)</v>
      </c>
      <c r="D44" s="110"/>
      <c r="E44" s="358">
        <f>'Unit Data from Audit Worksheet'!F50</f>
        <v>0</v>
      </c>
      <c r="F44" s="351"/>
      <c r="G44" s="353"/>
      <c r="H44" s="350"/>
      <c r="I44" s="724"/>
      <c r="J44" s="349">
        <v>563</v>
      </c>
      <c r="K44" s="723" t="s">
        <v>1410</v>
      </c>
      <c r="L44" s="586">
        <f t="shared" si="4"/>
        <v>0</v>
      </c>
      <c r="O44" s="594"/>
      <c r="P44" s="320"/>
      <c r="Q44" s="576"/>
      <c r="X44" s="583"/>
      <c r="Y44" s="583"/>
    </row>
    <row r="45" spans="1:25" s="722" customFormat="1" ht="66" customHeight="1" x14ac:dyDescent="0.3">
      <c r="A45" s="338">
        <f>'Unit Data from Audit Worksheet'!A51</f>
        <v>564</v>
      </c>
      <c r="B45" s="352" t="str">
        <f>'Unit Data from Audit Worksheet'!C51</f>
        <v>Mental Health Enterprise Fund Non GAAP-Rev, Exp. Change in Fund Balance</v>
      </c>
      <c r="C45" s="337" t="str">
        <f>'Unit Data from Audit Worksheet'!D51</f>
        <v>Total expenditures  
Exclude: expenditures in the ""other financing sources (uses)"" section.</v>
      </c>
      <c r="D45" s="110"/>
      <c r="E45" s="358">
        <f>'Unit Data from Audit Worksheet'!F51</f>
        <v>0</v>
      </c>
      <c r="F45" s="351"/>
      <c r="G45" s="353"/>
      <c r="H45" s="350"/>
      <c r="I45" s="724"/>
      <c r="J45" s="349">
        <v>564</v>
      </c>
      <c r="K45" s="723" t="s">
        <v>1411</v>
      </c>
      <c r="L45" s="586">
        <f t="shared" si="4"/>
        <v>0</v>
      </c>
      <c r="O45" s="594"/>
      <c r="P45" s="320"/>
      <c r="Q45" s="576"/>
      <c r="X45" s="583"/>
      <c r="Y45" s="583"/>
    </row>
    <row r="46" spans="1:25" s="722" customFormat="1" ht="66" customHeight="1" x14ac:dyDescent="0.3">
      <c r="A46" s="338">
        <f>'Unit Data from Audit Worksheet'!A52</f>
        <v>568</v>
      </c>
      <c r="B46" s="352" t="str">
        <f>'Unit Data from Audit Worksheet'!C52</f>
        <v>Mental Health Enterprise Fund Non GAAP-Rev, Exp. Change in Fund Balance</v>
      </c>
      <c r="C46" s="337" t="str">
        <f>'Unit Data from Audit Worksheet'!D52</f>
        <v>Total Proceeds from all long-term debt issuances 
Exclude: proceeds from refundings</v>
      </c>
      <c r="D46" s="110"/>
      <c r="E46" s="358">
        <f>'Unit Data from Audit Worksheet'!F52</f>
        <v>0</v>
      </c>
      <c r="F46" s="351"/>
      <c r="G46" s="353"/>
      <c r="H46" s="350"/>
      <c r="I46" s="724"/>
      <c r="J46" s="349">
        <v>568</v>
      </c>
      <c r="K46" s="723" t="s">
        <v>1412</v>
      </c>
      <c r="L46" s="586">
        <f t="shared" si="4"/>
        <v>0</v>
      </c>
      <c r="O46" s="594"/>
      <c r="P46" s="320"/>
      <c r="Q46" s="576"/>
      <c r="X46" s="583"/>
      <c r="Y46" s="583"/>
    </row>
    <row r="47" spans="1:25" s="726" customFormat="1" ht="66" customHeight="1" x14ac:dyDescent="0.3">
      <c r="A47" s="338">
        <f>'Unit Data from Audit Worksheet'!A53</f>
        <v>565</v>
      </c>
      <c r="B47" s="352" t="str">
        <f>'Unit Data from Audit Worksheet'!C53</f>
        <v>Mental Health Enterprise Fund Non GAAP-Rev, Exp. Change in Fund Balance</v>
      </c>
      <c r="C47" s="337" t="str">
        <f>'Unit Data from Audit Worksheet'!D53</f>
        <v>Debt Refunding - Net refunding proceeds against debt payoff and if negative place results on this line.</v>
      </c>
      <c r="D47" s="110"/>
      <c r="E47" s="358">
        <f>'Unit Data from Audit Worksheet'!F53</f>
        <v>0</v>
      </c>
      <c r="F47" s="351"/>
      <c r="G47" s="353"/>
      <c r="H47" s="350"/>
      <c r="I47" s="728"/>
      <c r="J47" s="349">
        <v>565</v>
      </c>
      <c r="K47" s="723" t="s">
        <v>1546</v>
      </c>
      <c r="L47" s="586">
        <f t="shared" si="4"/>
        <v>0</v>
      </c>
      <c r="O47" s="594"/>
      <c r="P47" s="320"/>
      <c r="Q47" s="576"/>
      <c r="X47" s="583"/>
      <c r="Y47" s="583"/>
    </row>
    <row r="48" spans="1:25" s="722" customFormat="1" ht="66" customHeight="1" x14ac:dyDescent="0.3">
      <c r="A48" s="338">
        <f>'Unit Data from Audit Worksheet'!A54</f>
        <v>566</v>
      </c>
      <c r="B48" s="352" t="str">
        <f>'Unit Data from Audit Worksheet'!C54</f>
        <v>Mental Health Enterprise Fund Non GAAP-Rev, Exp. Change in Fund Balance</v>
      </c>
      <c r="C48" s="337" t="str">
        <f>'Unit Data from Audit Worksheet'!D54</f>
        <v>Debt Refunding - Net refunding proceeds against debt payoff and if positive place results on this line.</v>
      </c>
      <c r="D48" s="110"/>
      <c r="E48" s="358">
        <f>'Unit Data from Audit Worksheet'!F54</f>
        <v>0</v>
      </c>
      <c r="F48" s="351"/>
      <c r="G48" s="353"/>
      <c r="H48" s="350"/>
      <c r="I48" s="724"/>
      <c r="J48" s="349">
        <v>566</v>
      </c>
      <c r="K48" s="723" t="s">
        <v>1413</v>
      </c>
      <c r="L48" s="586">
        <f t="shared" si="4"/>
        <v>0</v>
      </c>
      <c r="O48" s="594"/>
      <c r="P48" s="320"/>
      <c r="Q48" s="576"/>
      <c r="X48" s="583"/>
      <c r="Y48" s="583"/>
    </row>
    <row r="49" spans="1:25" s="722" customFormat="1" ht="66" customHeight="1" x14ac:dyDescent="0.3">
      <c r="A49" s="338">
        <f>'Unit Data from Audit Worksheet'!A55</f>
        <v>567</v>
      </c>
      <c r="B49" s="352" t="str">
        <f>'Unit Data from Audit Worksheet'!C55</f>
        <v>Mental Health Enterprise Fund Non GAAP-Rev, Exp. Change in Fund Balance</v>
      </c>
      <c r="C49" s="337" t="str">
        <f>'Unit Data from Audit Worksheet'!D55</f>
        <v>Total Transfers out    (Preference is that transfers-in  are not netted against transfers-out)</v>
      </c>
      <c r="D49" s="110"/>
      <c r="E49" s="358">
        <f>'Unit Data from Audit Worksheet'!F55</f>
        <v>0</v>
      </c>
      <c r="F49" s="351"/>
      <c r="G49" s="353"/>
      <c r="H49" s="350"/>
      <c r="I49" s="724"/>
      <c r="J49" s="349">
        <v>567</v>
      </c>
      <c r="K49" s="723" t="s">
        <v>1414</v>
      </c>
      <c r="L49" s="586">
        <f t="shared" si="4"/>
        <v>0</v>
      </c>
      <c r="O49" s="594"/>
      <c r="P49" s="320"/>
      <c r="Q49" s="576"/>
      <c r="X49" s="583"/>
      <c r="Y49" s="583"/>
    </row>
    <row r="50" spans="1:25" s="722" customFormat="1" ht="66" customHeight="1" x14ac:dyDescent="0.3">
      <c r="A50" s="338">
        <f>'Unit Data from Audit Worksheet'!A56</f>
        <v>562</v>
      </c>
      <c r="B50" s="352" t="str">
        <f>'Unit Data from Audit Worksheet'!C56</f>
        <v>Notes</v>
      </c>
      <c r="C50" s="337" t="str">
        <f>'Unit Data from Audit Worksheet'!D56</f>
        <v>Mental Health Enterprise Fund Non GAAP -  Total Encumbrances.  You will have to refer to the note disclosure where the amount of encumbrances is listed.</v>
      </c>
      <c r="D50" s="110"/>
      <c r="E50" s="358">
        <f>'Unit Data from Audit Worksheet'!F56</f>
        <v>0</v>
      </c>
      <c r="F50" s="351"/>
      <c r="G50" s="353"/>
      <c r="H50" s="350"/>
      <c r="I50" s="724"/>
      <c r="J50" s="349">
        <v>562</v>
      </c>
      <c r="K50" s="723" t="s">
        <v>1415</v>
      </c>
      <c r="L50" s="586">
        <f t="shared" si="4"/>
        <v>0</v>
      </c>
      <c r="O50" s="594"/>
      <c r="P50" s="320"/>
      <c r="Q50" s="576"/>
      <c r="X50" s="583"/>
      <c r="Y50" s="583"/>
    </row>
    <row r="51" spans="1:25" s="722" customFormat="1" ht="66" customHeight="1" x14ac:dyDescent="0.3">
      <c r="A51" s="338">
        <f>'Unit Data from Audit Worksheet'!A57</f>
        <v>569</v>
      </c>
      <c r="B51" s="352" t="str">
        <f>'Unit Data from Audit Worksheet'!C57</f>
        <v>Notes</v>
      </c>
      <c r="C51" s="337" t="str">
        <f>'Unit Data from Audit Worksheet'!D57</f>
        <v>Please enter the principal and interest due next fiscal year on existing borrowings.</v>
      </c>
      <c r="D51" s="110"/>
      <c r="E51" s="358">
        <f>'Unit Data from Audit Worksheet'!F57</f>
        <v>0</v>
      </c>
      <c r="F51" s="351"/>
      <c r="G51" s="353"/>
      <c r="H51" s="350"/>
      <c r="I51" s="724"/>
      <c r="J51" s="349">
        <v>569</v>
      </c>
      <c r="K51" s="723" t="s">
        <v>1416</v>
      </c>
      <c r="L51" s="586">
        <f t="shared" si="4"/>
        <v>0</v>
      </c>
      <c r="O51" s="594"/>
      <c r="P51" s="320"/>
      <c r="Q51" s="576"/>
      <c r="X51" s="583"/>
      <c r="Y51" s="583"/>
    </row>
    <row r="52" spans="1:25" ht="54" customHeight="1" x14ac:dyDescent="0.3">
      <c r="A52" s="338">
        <f>'Unit Data from Audit Worksheet'!A59</f>
        <v>506</v>
      </c>
      <c r="B52" s="53" t="str">
        <f>'Unit Data from Audit Worksheet'!C59</f>
        <v>General Fund-Balance Sheet</v>
      </c>
      <c r="C52" s="596" t="str">
        <f>'Unit Data from Audit Worksheet'!D59</f>
        <v xml:space="preserve">All unrestricted cash and investments.  
Exclude restricted cash and cash held by a third party. </v>
      </c>
      <c r="D52" s="110"/>
      <c r="E52" s="154">
        <f>'Unit Data from Audit Worksheet'!F59</f>
        <v>0</v>
      </c>
      <c r="F52" s="37">
        <f>IF(L52&lt;0,"Error: Number is normally positive.",)</f>
        <v>0</v>
      </c>
      <c r="G52" s="73"/>
      <c r="H52" s="350">
        <f>'Unit Data from Audit Worksheet'!I59</f>
        <v>0</v>
      </c>
      <c r="I52" s="38"/>
      <c r="J52" s="41">
        <v>506</v>
      </c>
      <c r="K52" s="348" t="s">
        <v>198</v>
      </c>
      <c r="L52" s="597">
        <f t="shared" ref="L52:L65" si="7">IF(D52="",E52,D52)</f>
        <v>0</v>
      </c>
      <c r="P52" s="320"/>
      <c r="W52" s="3" t="b">
        <f t="shared" si="6"/>
        <v>1</v>
      </c>
      <c r="X52" s="583">
        <f t="shared" si="1"/>
        <v>0</v>
      </c>
      <c r="Y52" s="583">
        <f t="shared" si="2"/>
        <v>0</v>
      </c>
    </row>
    <row r="53" spans="1:25" ht="45.75" customHeight="1" x14ac:dyDescent="0.3">
      <c r="A53" s="338">
        <f>'Unit Data from Audit Worksheet'!A60</f>
        <v>536</v>
      </c>
      <c r="B53" s="53" t="str">
        <f>'Unit Data from Audit Worksheet'!C60</f>
        <v>General Fund-Balance Sheet</v>
      </c>
      <c r="C53" s="596" t="str">
        <f>'Unit Data from Audit Worksheet'!D60</f>
        <v>All restricted cash and investments</v>
      </c>
      <c r="D53" s="110"/>
      <c r="E53" s="154">
        <f>'Unit Data from Audit Worksheet'!F60</f>
        <v>0</v>
      </c>
      <c r="F53" s="37">
        <f>IF(L53&lt;0,"Error: Number is normally positive.",)</f>
        <v>0</v>
      </c>
      <c r="G53" s="73"/>
      <c r="H53" s="350">
        <f>'Unit Data from Audit Worksheet'!I60</f>
        <v>0</v>
      </c>
      <c r="I53" s="38"/>
      <c r="J53" s="41">
        <v>536</v>
      </c>
      <c r="K53" s="348" t="s">
        <v>199</v>
      </c>
      <c r="L53" s="597">
        <f t="shared" si="7"/>
        <v>0</v>
      </c>
      <c r="P53" s="320"/>
      <c r="W53" s="3" t="b">
        <f t="shared" si="6"/>
        <v>1</v>
      </c>
      <c r="X53" s="583">
        <f t="shared" si="1"/>
        <v>0</v>
      </c>
      <c r="Y53" s="583">
        <f t="shared" si="2"/>
        <v>0</v>
      </c>
    </row>
    <row r="54" spans="1:25" ht="56.25" customHeight="1" x14ac:dyDescent="0.3">
      <c r="A54" s="338">
        <f>'Unit Data from Audit Worksheet'!A61</f>
        <v>586</v>
      </c>
      <c r="B54" s="352" t="str">
        <f>'Unit Data from Audit Worksheet'!C61</f>
        <v>General Fund-Balance Sheet</v>
      </c>
      <c r="C54" s="337" t="str">
        <f>'Unit Data from Audit Worksheet'!D61</f>
        <v>Advance To: Interfund loan receivable-portion of repayment plan longer than 12 months</v>
      </c>
      <c r="D54" s="144"/>
      <c r="E54" s="358">
        <f>'Unit Data from Audit Worksheet'!F61</f>
        <v>0</v>
      </c>
      <c r="F54" s="351"/>
      <c r="G54" s="353"/>
      <c r="H54" s="350"/>
      <c r="I54" s="38"/>
      <c r="J54" s="349">
        <v>586</v>
      </c>
      <c r="K54" s="337" t="s">
        <v>562</v>
      </c>
      <c r="L54" s="586">
        <f t="shared" si="7"/>
        <v>0</v>
      </c>
      <c r="P54" s="320"/>
      <c r="W54" s="3" t="b">
        <f t="shared" si="6"/>
        <v>1</v>
      </c>
      <c r="X54" s="583">
        <f t="shared" si="1"/>
        <v>0</v>
      </c>
      <c r="Y54" s="583">
        <f t="shared" si="2"/>
        <v>0</v>
      </c>
    </row>
    <row r="55" spans="1:25" ht="28.8" x14ac:dyDescent="0.3">
      <c r="A55" s="338">
        <f>'Unit Data from Audit Worksheet'!A62</f>
        <v>379</v>
      </c>
      <c r="B55" s="352" t="str">
        <f>'Unit Data from Audit Worksheet'!C62</f>
        <v>General Fund-Balance Sheet</v>
      </c>
      <c r="C55" s="337" t="str">
        <f>'Unit Data from Audit Worksheet'!D62</f>
        <v>Total Assets and deferred outflows</v>
      </c>
      <c r="D55" s="144"/>
      <c r="E55" s="358">
        <f>'Unit Data from Audit Worksheet'!F62</f>
        <v>0</v>
      </c>
      <c r="F55" s="84">
        <f>IF((L52+L53)&gt;L55,"Error: Please review accts (506+536)&gt;379",)</f>
        <v>0</v>
      </c>
      <c r="G55" s="353" t="str">
        <f>IF(Q55=1," Included in error count"," ")</f>
        <v xml:space="preserve"> </v>
      </c>
      <c r="H55" s="350">
        <f>'Unit Data from Audit Worksheet'!I62</f>
        <v>0</v>
      </c>
      <c r="I55" s="38"/>
      <c r="J55" s="349">
        <v>379</v>
      </c>
      <c r="K55" s="348" t="s">
        <v>118</v>
      </c>
      <c r="L55" s="586">
        <f t="shared" si="7"/>
        <v>0</v>
      </c>
      <c r="P55" s="320"/>
      <c r="Q55" s="576">
        <f>IF(L52+L53&gt;L55,1,0)</f>
        <v>0</v>
      </c>
      <c r="W55" s="3" t="b">
        <f t="shared" si="6"/>
        <v>1</v>
      </c>
      <c r="X55" s="583">
        <f t="shared" si="1"/>
        <v>0</v>
      </c>
      <c r="Y55" s="583">
        <f t="shared" si="2"/>
        <v>0</v>
      </c>
    </row>
    <row r="56" spans="1:25" ht="106.5" customHeight="1" x14ac:dyDescent="0.3">
      <c r="A56" s="338">
        <f>'Unit Data from Audit Worksheet'!A63</f>
        <v>368</v>
      </c>
      <c r="B56" s="352" t="str">
        <f>'Unit Data from Audit Worksheet'!C63</f>
        <v>General Fund-Balance Sheet</v>
      </c>
      <c r="C56" s="337" t="str">
        <f>'Unit Data from Audit Worksheet'!D63</f>
        <v>Total Liabilities payable from restricted assets (only complete if this is listed in your financial statements for the general fund and the auditor has listed the cash to be used to pay the liabilities as restricted)</v>
      </c>
      <c r="D56" s="144"/>
      <c r="E56" s="358">
        <f>'Unit Data from Audit Worksheet'!F63</f>
        <v>0</v>
      </c>
      <c r="F56" s="351">
        <f>IF(L56&lt;0,"Error: Enter as a positive.",)</f>
        <v>0</v>
      </c>
      <c r="G56" s="353"/>
      <c r="H56" s="350">
        <f>'Unit Data from Audit Worksheet'!I63</f>
        <v>0</v>
      </c>
      <c r="I56" s="38"/>
      <c r="J56" s="349">
        <v>368</v>
      </c>
      <c r="K56" s="348" t="s">
        <v>200</v>
      </c>
      <c r="L56" s="586">
        <f t="shared" si="7"/>
        <v>0</v>
      </c>
      <c r="P56" s="320"/>
      <c r="W56" s="3" t="b">
        <f t="shared" si="6"/>
        <v>1</v>
      </c>
      <c r="X56" s="583">
        <f t="shared" si="1"/>
        <v>0</v>
      </c>
      <c r="Y56" s="583">
        <f t="shared" si="2"/>
        <v>0</v>
      </c>
    </row>
    <row r="57" spans="1:25" ht="90.75" customHeight="1" x14ac:dyDescent="0.3">
      <c r="A57" s="338">
        <f>'Unit Data from Audit Worksheet'!A64</f>
        <v>4</v>
      </c>
      <c r="B57" s="53" t="str">
        <f>'Unit Data from Audit Worksheet'!C64</f>
        <v>General Fund-Balance Sheet</v>
      </c>
      <c r="C57" s="596" t="str">
        <f>'Unit Data from Audit Worksheet'!D64</f>
        <v>Current Liabilities (as reported on the Balance Sheet)
Exclude all deferred inflows. 
Include advance from(long-term portion of interfund loans)</v>
      </c>
      <c r="D57" s="144"/>
      <c r="E57" s="154">
        <f>'Unit Data from Audit Worksheet'!F64</f>
        <v>0</v>
      </c>
      <c r="F57" s="37">
        <f t="shared" ref="F57:F66" si="8">IF(L57&lt;0,"Error: Enter as a positive.",)</f>
        <v>0</v>
      </c>
      <c r="G57" s="73"/>
      <c r="H57" s="350">
        <f>'Unit Data from Audit Worksheet'!I64</f>
        <v>0</v>
      </c>
      <c r="I57" s="38"/>
      <c r="J57" s="41">
        <v>4</v>
      </c>
      <c r="K57" s="348" t="s">
        <v>119</v>
      </c>
      <c r="L57" s="597">
        <f t="shared" si="7"/>
        <v>0</v>
      </c>
      <c r="P57" s="320"/>
      <c r="W57" s="3" t="b">
        <f t="shared" si="6"/>
        <v>1</v>
      </c>
      <c r="X57" s="583">
        <f t="shared" si="1"/>
        <v>0</v>
      </c>
      <c r="Y57" s="583">
        <f t="shared" si="2"/>
        <v>0</v>
      </c>
    </row>
    <row r="58" spans="1:25" ht="131.25" customHeight="1" x14ac:dyDescent="0.3">
      <c r="A58" s="338">
        <f>'Unit Data from Audit Worksheet'!A65</f>
        <v>5</v>
      </c>
      <c r="B58" s="53" t="str">
        <f>'Unit Data from Audit Worksheet'!C65</f>
        <v>General Fund-Balance Sheet</v>
      </c>
      <c r="C58" s="596" t="str">
        <f>'Unit Data from Audit Worksheet'!D65</f>
        <v>General fund deferred inflows derived from cash receipts. 
 Prepaid taxes is a common item listed.  Deferred inflows on the face of the statements can include cash and non-cash.  You may have to refer to the note disclosure where the cash and non-cash is broken out.</v>
      </c>
      <c r="D58" s="144"/>
      <c r="E58" s="154">
        <f>'Unit Data from Audit Worksheet'!F65</f>
        <v>0</v>
      </c>
      <c r="F58" s="37">
        <f t="shared" si="8"/>
        <v>0</v>
      </c>
      <c r="G58" s="73"/>
      <c r="H58" s="350">
        <f>'Unit Data from Audit Worksheet'!I65</f>
        <v>0</v>
      </c>
      <c r="I58" s="38"/>
      <c r="J58" s="41">
        <v>5</v>
      </c>
      <c r="K58" s="348" t="s">
        <v>120</v>
      </c>
      <c r="L58" s="597">
        <f t="shared" si="7"/>
        <v>0</v>
      </c>
      <c r="P58" s="320"/>
      <c r="W58" s="3" t="b">
        <f t="shared" si="6"/>
        <v>1</v>
      </c>
      <c r="X58" s="583">
        <f t="shared" si="1"/>
        <v>0</v>
      </c>
      <c r="Y58" s="583">
        <f t="shared" si="2"/>
        <v>0</v>
      </c>
    </row>
    <row r="59" spans="1:25" ht="104.25" customHeight="1" x14ac:dyDescent="0.3">
      <c r="A59" s="338">
        <f>'Unit Data from Audit Worksheet'!A66</f>
        <v>380</v>
      </c>
      <c r="B59" s="352" t="str">
        <f>'Unit Data from Audit Worksheet'!C66</f>
        <v>General Fund-Balance Sheet</v>
      </c>
      <c r="C59" s="337" t="str">
        <f>'Unit Data from Audit Worksheet'!D66</f>
        <v>Total Deferred inflows not derived from cash receipts.  Deferred inflows on the face of the statements can include cash and non-cash.  You may have to refer to the note disclosure where the cash and non-cash is broken out.</v>
      </c>
      <c r="D59" s="144"/>
      <c r="E59" s="358">
        <f>'Unit Data from Audit Worksheet'!F66</f>
        <v>0</v>
      </c>
      <c r="F59" s="351">
        <f t="shared" si="8"/>
        <v>0</v>
      </c>
      <c r="G59" s="353"/>
      <c r="H59" s="350">
        <f>'Unit Data from Audit Worksheet'!I66</f>
        <v>0</v>
      </c>
      <c r="I59" s="38"/>
      <c r="J59" s="349">
        <v>380</v>
      </c>
      <c r="K59" s="348" t="s">
        <v>121</v>
      </c>
      <c r="L59" s="586">
        <f t="shared" si="7"/>
        <v>0</v>
      </c>
      <c r="P59" s="320"/>
      <c r="W59" s="3" t="b">
        <f t="shared" si="6"/>
        <v>1</v>
      </c>
      <c r="X59" s="583">
        <f t="shared" si="1"/>
        <v>0</v>
      </c>
      <c r="Y59" s="583">
        <f t="shared" si="2"/>
        <v>0</v>
      </c>
    </row>
    <row r="60" spans="1:25" ht="41.25" customHeight="1" x14ac:dyDescent="0.3">
      <c r="A60" s="338">
        <f>'Unit Data from Audit Worksheet'!A67</f>
        <v>391</v>
      </c>
      <c r="B60" s="352" t="str">
        <f>'Unit Data from Audit Worksheet'!C67</f>
        <v>General Fund-Balance Sheet</v>
      </c>
      <c r="C60" s="337" t="str">
        <f>'Unit Data from Audit Worksheet'!D67</f>
        <v xml:space="preserve">Fund balance, Restricted for Stabilization by State Statute </v>
      </c>
      <c r="D60" s="144"/>
      <c r="E60" s="358">
        <f>'Unit Data from Audit Worksheet'!F67</f>
        <v>0</v>
      </c>
      <c r="F60" s="351">
        <f t="shared" si="8"/>
        <v>0</v>
      </c>
      <c r="G60" s="353"/>
      <c r="H60" s="350">
        <f>'Unit Data from Audit Worksheet'!I67</f>
        <v>0</v>
      </c>
      <c r="I60" s="38"/>
      <c r="J60" s="349">
        <v>391</v>
      </c>
      <c r="K60" s="348" t="s">
        <v>201</v>
      </c>
      <c r="L60" s="586">
        <f t="shared" si="7"/>
        <v>0</v>
      </c>
      <c r="P60" s="320"/>
      <c r="W60" s="3" t="b">
        <f t="shared" si="6"/>
        <v>1</v>
      </c>
      <c r="X60" s="583">
        <f t="shared" si="1"/>
        <v>0</v>
      </c>
      <c r="Y60" s="583">
        <f t="shared" si="2"/>
        <v>0</v>
      </c>
    </row>
    <row r="61" spans="1:25" ht="28.8" x14ac:dyDescent="0.3">
      <c r="A61" s="338">
        <f>'Unit Data from Audit Worksheet'!A68</f>
        <v>7</v>
      </c>
      <c r="B61" s="53" t="str">
        <f>'Unit Data from Audit Worksheet'!C68</f>
        <v>General Fund-Balance Sheet</v>
      </c>
      <c r="C61" s="596" t="str">
        <f>'Unit Data from Audit Worksheet'!D68</f>
        <v>Fund balance, Nonspendable-  inventory/prepaids/etc.</v>
      </c>
      <c r="D61" s="144"/>
      <c r="E61" s="154">
        <f>'Unit Data from Audit Worksheet'!F68</f>
        <v>0</v>
      </c>
      <c r="F61" s="37">
        <f t="shared" si="8"/>
        <v>0</v>
      </c>
      <c r="G61" s="73"/>
      <c r="H61" s="350">
        <f>'Unit Data from Audit Worksheet'!I68</f>
        <v>0</v>
      </c>
      <c r="I61" s="38"/>
      <c r="J61" s="41">
        <v>7</v>
      </c>
      <c r="K61" s="348" t="s">
        <v>202</v>
      </c>
      <c r="L61" s="597">
        <f t="shared" si="7"/>
        <v>0</v>
      </c>
      <c r="P61" s="320"/>
      <c r="W61" s="3" t="b">
        <f t="shared" si="6"/>
        <v>1</v>
      </c>
      <c r="X61" s="583">
        <f t="shared" si="1"/>
        <v>0</v>
      </c>
      <c r="Y61" s="583">
        <f t="shared" si="2"/>
        <v>0</v>
      </c>
    </row>
    <row r="62" spans="1:25" ht="89.25" customHeight="1" x14ac:dyDescent="0.3">
      <c r="A62" s="598">
        <f>'Unit Data from Audit Worksheet'!A69</f>
        <v>11</v>
      </c>
      <c r="B62" s="117" t="str">
        <f>'Unit Data from Audit Worksheet'!C69</f>
        <v>General Fund-Balance Sheet</v>
      </c>
      <c r="C62" s="588" t="str">
        <f>'Unit Data from Audit Worksheet'!D69</f>
        <v>Fund balance, Restricted for Streets (unspent Powell Bill balance).  You may have to refer to the note disclosure where restricted fund balance is described.</v>
      </c>
      <c r="D62" s="110"/>
      <c r="E62" s="155">
        <f>'Unit Data from Audit Worksheet'!F69</f>
        <v>0</v>
      </c>
      <c r="F62" s="111">
        <f t="shared" si="8"/>
        <v>0</v>
      </c>
      <c r="G62" s="112"/>
      <c r="H62" s="113">
        <f>'Unit Data from Audit Worksheet'!I69</f>
        <v>0</v>
      </c>
      <c r="I62" s="38"/>
      <c r="J62" s="105">
        <v>11</v>
      </c>
      <c r="K62" s="44" t="s">
        <v>203</v>
      </c>
      <c r="L62" s="586">
        <f t="shared" si="7"/>
        <v>0</v>
      </c>
      <c r="P62" s="321"/>
      <c r="W62" s="3" t="b">
        <f t="shared" si="6"/>
        <v>1</v>
      </c>
      <c r="X62" s="583">
        <f t="shared" si="1"/>
        <v>0</v>
      </c>
      <c r="Y62" s="583">
        <f t="shared" si="2"/>
        <v>0</v>
      </c>
    </row>
    <row r="63" spans="1:25" s="18" customFormat="1" ht="48.75" customHeight="1" x14ac:dyDescent="0.3">
      <c r="A63" s="309">
        <f>'Unit Data from Audit Worksheet'!A70</f>
        <v>645</v>
      </c>
      <c r="B63" s="365" t="str">
        <f>'Unit Data from Audit Worksheet'!C70</f>
        <v>General Fund-Balance Sheet</v>
      </c>
      <c r="C63" s="309" t="str">
        <f>'Unit Data from Audit Worksheet'!D70</f>
        <v>Fund balance, Assigned (total of all assigned components)</v>
      </c>
      <c r="D63" s="116"/>
      <c r="E63" s="364">
        <f>'Unit Data from Audit Worksheet'!F70</f>
        <v>0</v>
      </c>
      <c r="F63" s="346">
        <f>IF(L63&lt;0,"Error: Enter as a positive.",)</f>
        <v>0</v>
      </c>
      <c r="G63" s="331"/>
      <c r="H63" s="346">
        <f>'Unit Data from Audit Worksheet'!I70</f>
        <v>0</v>
      </c>
      <c r="I63" s="599"/>
      <c r="J63" s="345">
        <v>645</v>
      </c>
      <c r="K63" s="309" t="s">
        <v>751</v>
      </c>
      <c r="L63" s="600">
        <f t="shared" si="7"/>
        <v>0</v>
      </c>
      <c r="M63" s="590"/>
      <c r="N63" s="590"/>
      <c r="O63" s="590"/>
      <c r="P63" s="322"/>
      <c r="Q63" s="591"/>
      <c r="R63" s="3"/>
      <c r="S63" s="590"/>
      <c r="T63" s="590"/>
      <c r="U63" s="590"/>
      <c r="V63" s="590"/>
      <c r="W63" s="18" t="b">
        <f t="shared" si="6"/>
        <v>1</v>
      </c>
      <c r="X63" s="592">
        <f t="shared" si="1"/>
        <v>0</v>
      </c>
      <c r="Y63" s="592">
        <f t="shared" si="2"/>
        <v>0</v>
      </c>
    </row>
    <row r="64" spans="1:25" s="18" customFormat="1" ht="45.75" customHeight="1" x14ac:dyDescent="0.3">
      <c r="A64" s="309">
        <f>'Unit Data from Audit Worksheet'!A71</f>
        <v>646</v>
      </c>
      <c r="B64" s="365" t="str">
        <f>'Unit Data from Audit Worksheet'!C71</f>
        <v>General Fund-Balance Sheet</v>
      </c>
      <c r="C64" s="309" t="str">
        <f>'Unit Data from Audit Worksheet'!D71</f>
        <v>Fund Balance, Unassigned</v>
      </c>
      <c r="D64" s="116"/>
      <c r="E64" s="364">
        <f>'Unit Data from Audit Worksheet'!F71</f>
        <v>0</v>
      </c>
      <c r="F64" s="346">
        <f>IF(L64&lt;0,"Error: Enter as a positive.",)</f>
        <v>0</v>
      </c>
      <c r="G64" s="331"/>
      <c r="H64" s="346">
        <f>'Unit Data from Audit Worksheet'!I71</f>
        <v>0</v>
      </c>
      <c r="I64" s="599"/>
      <c r="J64" s="345">
        <v>646</v>
      </c>
      <c r="K64" s="309" t="s">
        <v>752</v>
      </c>
      <c r="L64" s="600">
        <f t="shared" si="7"/>
        <v>0</v>
      </c>
      <c r="M64" s="590"/>
      <c r="N64" s="590"/>
      <c r="O64" s="590"/>
      <c r="P64" s="322"/>
      <c r="Q64" s="591"/>
      <c r="R64" s="3"/>
      <c r="S64" s="590"/>
      <c r="T64" s="590"/>
      <c r="U64" s="590"/>
      <c r="V64" s="590"/>
      <c r="W64" s="18" t="b">
        <f t="shared" si="6"/>
        <v>1</v>
      </c>
      <c r="X64" s="592">
        <f t="shared" si="1"/>
        <v>0</v>
      </c>
      <c r="Y64" s="592">
        <f t="shared" si="2"/>
        <v>0</v>
      </c>
    </row>
    <row r="65" spans="1:27" ht="55.5" customHeight="1" x14ac:dyDescent="0.3">
      <c r="A65" s="584">
        <f>'Unit Data from Audit Worksheet'!A72</f>
        <v>9</v>
      </c>
      <c r="B65" s="118" t="str">
        <f>'Unit Data from Audit Worksheet'!C72</f>
        <v>General Fund-Balance Sheet</v>
      </c>
      <c r="C65" s="601" t="str">
        <f>'Unit Data from Audit Worksheet'!D72</f>
        <v>Total Fund balance (enter fund deficits as negative)</v>
      </c>
      <c r="D65" s="144"/>
      <c r="E65" s="153">
        <f>'Unit Data from Audit Worksheet'!F72</f>
        <v>0</v>
      </c>
      <c r="F65" s="119">
        <f>IF(L55-L57-L58-L59-L65=0,,"Error: Total assets less total liabilities do not equal Acct +379-4-5-380-9=0")</f>
        <v>0</v>
      </c>
      <c r="G65" s="120">
        <f>L55-L57-L58-L59-L65</f>
        <v>0</v>
      </c>
      <c r="H65" s="350">
        <f>'Unit Data from Audit Worksheet'!I72</f>
        <v>0</v>
      </c>
      <c r="I65" s="38"/>
      <c r="J65" s="121">
        <v>9</v>
      </c>
      <c r="K65" s="51" t="s">
        <v>204</v>
      </c>
      <c r="L65" s="597">
        <f t="shared" si="7"/>
        <v>0</v>
      </c>
      <c r="O65" s="594" t="e">
        <f>'Unit Data from Audit Worksheet'!E72</f>
        <v>#N/A</v>
      </c>
      <c r="P65" s="319"/>
      <c r="Q65" s="576">
        <f>IF(G65&lt;&gt;0,1,0)</f>
        <v>0</v>
      </c>
      <c r="W65" s="3" t="b">
        <f t="shared" si="6"/>
        <v>1</v>
      </c>
      <c r="X65" s="583">
        <f t="shared" si="1"/>
        <v>0</v>
      </c>
      <c r="Y65" s="583">
        <f t="shared" si="2"/>
        <v>0</v>
      </c>
    </row>
    <row r="66" spans="1:27" s="18" customFormat="1" ht="73.5" customHeight="1" x14ac:dyDescent="0.3">
      <c r="A66" s="338">
        <f>'Unit Data from Audit Worksheet'!A73</f>
        <v>540</v>
      </c>
      <c r="B66" s="352" t="str">
        <f>'Unit Data from Audit Worksheet'!C73</f>
        <v>General Fund - Budget Actual Statement</v>
      </c>
      <c r="C66" s="337" t="str">
        <f>'Unit Data from Audit Worksheet'!D73</f>
        <v>Amount of the General Fund Balance appropriated in next year's budget. As reported on the General Fund Balance Sheet.</v>
      </c>
      <c r="D66" s="144"/>
      <c r="E66" s="358">
        <f>'Unit Data from Audit Worksheet'!F73</f>
        <v>0</v>
      </c>
      <c r="F66" s="351">
        <f t="shared" si="8"/>
        <v>0</v>
      </c>
      <c r="G66" s="353"/>
      <c r="H66" s="350">
        <f>'Unit Data from Audit Worksheet'!I73</f>
        <v>0</v>
      </c>
      <c r="I66" s="38"/>
      <c r="J66" s="349">
        <v>540</v>
      </c>
      <c r="K66" s="348" t="s">
        <v>267</v>
      </c>
      <c r="L66" s="586">
        <f t="shared" ref="L66:L123" si="9">IF(D66="",E66,D66)</f>
        <v>0</v>
      </c>
      <c r="P66" s="320"/>
      <c r="Q66" s="576"/>
      <c r="R66" s="3"/>
      <c r="W66" s="3" t="b">
        <f t="shared" si="6"/>
        <v>1</v>
      </c>
      <c r="X66" s="583">
        <f t="shared" si="1"/>
        <v>0</v>
      </c>
      <c r="Y66" s="583">
        <f t="shared" si="2"/>
        <v>0</v>
      </c>
      <c r="AA66" s="3"/>
    </row>
    <row r="67" spans="1:27" s="18" customFormat="1" ht="73.5" customHeight="1" x14ac:dyDescent="0.3">
      <c r="A67" s="602">
        <f>'Unit Data from Audit Worksheet'!A75</f>
        <v>984</v>
      </c>
      <c r="B67" s="356" t="str">
        <f>'Unit Data from Audit Worksheet'!C75</f>
        <v>General Fund - Budget Actual Statement</v>
      </c>
      <c r="C67" s="603" t="str">
        <f>'Unit Data from Audit Worksheet'!D75</f>
        <v>Amount of Ad valorem tax collected (including motor vehicle and prior years) reported on budget actual statement</v>
      </c>
      <c r="D67" s="144"/>
      <c r="E67" s="359">
        <f>'Unit Data from Audit Worksheet'!F75</f>
        <v>0</v>
      </c>
      <c r="F67" s="351"/>
      <c r="G67" s="353"/>
      <c r="H67" s="350"/>
      <c r="I67" s="38"/>
      <c r="J67" s="367">
        <v>984</v>
      </c>
      <c r="K67" s="126" t="s">
        <v>1114</v>
      </c>
      <c r="L67" s="604">
        <f t="shared" si="9"/>
        <v>0</v>
      </c>
      <c r="P67" s="320"/>
      <c r="Q67" s="576"/>
      <c r="R67" s="3"/>
      <c r="W67" s="3"/>
      <c r="X67" s="583"/>
      <c r="Y67" s="583"/>
      <c r="AA67" s="3"/>
    </row>
    <row r="68" spans="1:27" s="18" customFormat="1" ht="73.5" customHeight="1" x14ac:dyDescent="0.3">
      <c r="A68" s="602">
        <f>'Unit Data from Audit Worksheet'!A76</f>
        <v>985</v>
      </c>
      <c r="B68" s="356" t="str">
        <f>'Unit Data from Audit Worksheet'!C76</f>
        <v>General Fund - Budget Actual Statement</v>
      </c>
      <c r="C68" s="603" t="str">
        <f>'Unit Data from Audit Worksheet'!D76</f>
        <v>Amount of Ad valorem tax budgeted (including motor vehicle and prior years) reported on budget actual statement</v>
      </c>
      <c r="D68" s="144"/>
      <c r="E68" s="359">
        <f>'Unit Data from Audit Worksheet'!F76</f>
        <v>0</v>
      </c>
      <c r="F68" s="351"/>
      <c r="G68" s="353"/>
      <c r="H68" s="350"/>
      <c r="I68" s="38"/>
      <c r="J68" s="367">
        <v>985</v>
      </c>
      <c r="K68" s="126" t="s">
        <v>1115</v>
      </c>
      <c r="L68" s="604">
        <f t="shared" si="9"/>
        <v>0</v>
      </c>
      <c r="P68" s="320"/>
      <c r="Q68" s="576"/>
      <c r="R68" s="3"/>
      <c r="W68" s="3"/>
      <c r="X68" s="583"/>
      <c r="Y68" s="583"/>
      <c r="AA68" s="3"/>
    </row>
    <row r="69" spans="1:27" ht="73.5" customHeight="1" x14ac:dyDescent="0.3">
      <c r="A69" s="338">
        <f>'Unit Data from Audit Worksheet'!A77</f>
        <v>369</v>
      </c>
      <c r="B69" s="352" t="str">
        <f>'Unit Data from Audit Worksheet'!C77</f>
        <v>General Fund-Rev, Exp. Change in Fund Balance</v>
      </c>
      <c r="C69" s="337" t="str">
        <f>'Unit Data from Audit Worksheet'!D77</f>
        <v>Total Intergovernmental revenue 
Include restricted and unrestricted revenues</v>
      </c>
      <c r="D69" s="144"/>
      <c r="E69" s="358">
        <f>'Unit Data from Audit Worksheet'!F77</f>
        <v>0</v>
      </c>
      <c r="F69" s="351"/>
      <c r="G69" s="353"/>
      <c r="H69" s="350">
        <f>'Unit Data from Audit Worksheet'!I77</f>
        <v>0</v>
      </c>
      <c r="I69" s="38"/>
      <c r="J69" s="349">
        <v>369</v>
      </c>
      <c r="K69" s="348" t="s">
        <v>205</v>
      </c>
      <c r="L69" s="586">
        <f t="shared" si="9"/>
        <v>0</v>
      </c>
      <c r="P69" s="320"/>
      <c r="W69" s="3" t="b">
        <f t="shared" ref="W69:W132" si="10">EXACT(A69,J69)</f>
        <v>1</v>
      </c>
      <c r="X69" s="583">
        <f t="shared" si="1"/>
        <v>0</v>
      </c>
      <c r="Y69" s="583">
        <f t="shared" si="2"/>
        <v>0</v>
      </c>
    </row>
    <row r="70" spans="1:27" ht="73.5" customHeight="1" x14ac:dyDescent="0.3">
      <c r="A70" s="338">
        <f>'Unit Data from Audit Worksheet'!A78</f>
        <v>16</v>
      </c>
      <c r="B70" s="352" t="str">
        <f>'Unit Data from Audit Worksheet'!C78</f>
        <v>General Fund-Rev, Exp. Change in Fund Balance</v>
      </c>
      <c r="C70" s="337" t="str">
        <f>'Unit Data from Audit Worksheet'!D78</f>
        <v>Total revenues</v>
      </c>
      <c r="D70" s="144"/>
      <c r="E70" s="358">
        <f>'Unit Data from Audit Worksheet'!F78</f>
        <v>0</v>
      </c>
      <c r="F70" s="351"/>
      <c r="G70" s="353"/>
      <c r="H70" s="350">
        <f>'Unit Data from Audit Worksheet'!I78</f>
        <v>0</v>
      </c>
      <c r="I70" s="38"/>
      <c r="J70" s="349">
        <v>16</v>
      </c>
      <c r="K70" s="348" t="s">
        <v>206</v>
      </c>
      <c r="L70" s="586">
        <f t="shared" si="9"/>
        <v>0</v>
      </c>
      <c r="P70" s="320"/>
      <c r="W70" s="3" t="b">
        <f t="shared" si="10"/>
        <v>1</v>
      </c>
      <c r="X70" s="583">
        <f t="shared" si="1"/>
        <v>0</v>
      </c>
      <c r="Y70" s="583">
        <f t="shared" si="2"/>
        <v>0</v>
      </c>
    </row>
    <row r="71" spans="1:27" ht="73.5" customHeight="1" x14ac:dyDescent="0.3">
      <c r="A71" s="338">
        <f>'Unit Data from Audit Worksheet'!A79</f>
        <v>370</v>
      </c>
      <c r="B71" s="352" t="str">
        <f>'Unit Data from Audit Worksheet'!C79</f>
        <v>General Fund-Rev, Exp. Change in Fund Balance</v>
      </c>
      <c r="C71" s="337" t="str">
        <f>'Unit Data from Audit Worksheet'!D79</f>
        <v>Debt service expenditures. 
Include principal, interest paid, and bond/debt issuance costs on long-term debt</v>
      </c>
      <c r="D71" s="144"/>
      <c r="E71" s="358">
        <f>'Unit Data from Audit Worksheet'!F79</f>
        <v>0</v>
      </c>
      <c r="F71" s="351">
        <f t="shared" ref="F71:F77" si="11">IF(L71&lt;0,"Error: Enter as a positive.",)</f>
        <v>0</v>
      </c>
      <c r="G71" s="353"/>
      <c r="H71" s="350">
        <f>'Unit Data from Audit Worksheet'!I79</f>
        <v>0</v>
      </c>
      <c r="I71" s="38"/>
      <c r="J71" s="349">
        <v>370</v>
      </c>
      <c r="K71" s="348" t="s">
        <v>207</v>
      </c>
      <c r="L71" s="586">
        <f t="shared" si="9"/>
        <v>0</v>
      </c>
      <c r="P71" s="320"/>
      <c r="W71" s="3" t="b">
        <f t="shared" si="10"/>
        <v>1</v>
      </c>
      <c r="X71" s="583">
        <f t="shared" si="1"/>
        <v>0</v>
      </c>
      <c r="Y71" s="583">
        <f t="shared" si="2"/>
        <v>0</v>
      </c>
    </row>
    <row r="72" spans="1:27" ht="73.5" customHeight="1" x14ac:dyDescent="0.3">
      <c r="A72" s="338">
        <f>'Unit Data from Audit Worksheet'!A80</f>
        <v>532</v>
      </c>
      <c r="B72" s="352" t="str">
        <f>'Unit Data from Audit Worksheet'!C80</f>
        <v>General Fund-Rev, Exp. Change in Fund Balance</v>
      </c>
      <c r="C72" s="337" t="str">
        <f>'Unit Data from Audit Worksheet'!D80</f>
        <v xml:space="preserve">Total expenditures  
Exclude expenditures in the "other financing sources (uses)" section.
</v>
      </c>
      <c r="D72" s="144"/>
      <c r="E72" s="358">
        <f>'Unit Data from Audit Worksheet'!F80</f>
        <v>0</v>
      </c>
      <c r="F72" s="351">
        <f t="shared" si="11"/>
        <v>0</v>
      </c>
      <c r="G72" s="353"/>
      <c r="H72" s="350">
        <f>'Unit Data from Audit Worksheet'!I80</f>
        <v>0</v>
      </c>
      <c r="I72" s="38"/>
      <c r="J72" s="349">
        <v>532</v>
      </c>
      <c r="K72" s="605" t="s">
        <v>208</v>
      </c>
      <c r="L72" s="586">
        <f t="shared" si="9"/>
        <v>0</v>
      </c>
      <c r="P72" s="320"/>
      <c r="W72" s="3" t="b">
        <f t="shared" si="10"/>
        <v>1</v>
      </c>
      <c r="X72" s="583">
        <f t="shared" si="1"/>
        <v>0</v>
      </c>
      <c r="Y72" s="583">
        <f t="shared" si="2"/>
        <v>0</v>
      </c>
    </row>
    <row r="73" spans="1:27" ht="73.5" customHeight="1" x14ac:dyDescent="0.3">
      <c r="A73" s="338">
        <f>'Unit Data from Audit Worksheet'!A81</f>
        <v>17</v>
      </c>
      <c r="B73" s="352" t="str">
        <f>'Unit Data from Audit Worksheet'!C81</f>
        <v>General Fund-Rev, Exp. Change in Fund Balance</v>
      </c>
      <c r="C73" s="337" t="str">
        <f>'Unit Data from Audit Worksheet'!D81</f>
        <v>Total Transfers in    (Preference is that transfers-in  are not netted against transfers-out)</v>
      </c>
      <c r="D73" s="144"/>
      <c r="E73" s="358">
        <f>'Unit Data from Audit Worksheet'!F81</f>
        <v>0</v>
      </c>
      <c r="F73" s="351">
        <f t="shared" si="11"/>
        <v>0</v>
      </c>
      <c r="G73" s="353"/>
      <c r="H73" s="350">
        <f>'Unit Data from Audit Worksheet'!I81</f>
        <v>0</v>
      </c>
      <c r="I73" s="38"/>
      <c r="J73" s="349">
        <v>17</v>
      </c>
      <c r="K73" s="348" t="s">
        <v>209</v>
      </c>
      <c r="L73" s="586">
        <f t="shared" si="9"/>
        <v>0</v>
      </c>
      <c r="P73" s="320"/>
      <c r="W73" s="3" t="b">
        <f t="shared" si="10"/>
        <v>1</v>
      </c>
      <c r="X73" s="583">
        <f t="shared" si="1"/>
        <v>0</v>
      </c>
      <c r="Y73" s="583">
        <f t="shared" si="2"/>
        <v>0</v>
      </c>
    </row>
    <row r="74" spans="1:27" ht="54.75" customHeight="1" x14ac:dyDescent="0.3">
      <c r="A74" s="338">
        <f>'Unit Data from Audit Worksheet'!A82</f>
        <v>20</v>
      </c>
      <c r="B74" s="352" t="str">
        <f>'Unit Data from Audit Worksheet'!C82</f>
        <v>General Fund-Rev, Exp. Change in Fund Balance</v>
      </c>
      <c r="C74" s="337" t="str">
        <f>'Unit Data from Audit Worksheet'!D82</f>
        <v>Total Transfers out    (Preference is that transfers-in  are not netted against transfers-out)</v>
      </c>
      <c r="D74" s="144"/>
      <c r="E74" s="358">
        <f>'Unit Data from Audit Worksheet'!F82</f>
        <v>0</v>
      </c>
      <c r="F74" s="351">
        <f t="shared" si="11"/>
        <v>0</v>
      </c>
      <c r="G74" s="353"/>
      <c r="H74" s="350">
        <f>'Unit Data from Audit Worksheet'!I82</f>
        <v>0</v>
      </c>
      <c r="I74" s="38"/>
      <c r="J74" s="349">
        <v>20</v>
      </c>
      <c r="K74" s="348" t="s">
        <v>210</v>
      </c>
      <c r="L74" s="586">
        <f t="shared" si="9"/>
        <v>0</v>
      </c>
      <c r="P74" s="320"/>
      <c r="W74" s="3" t="b">
        <f t="shared" si="10"/>
        <v>1</v>
      </c>
      <c r="X74" s="583">
        <f t="shared" si="1"/>
        <v>0</v>
      </c>
      <c r="Y74" s="583">
        <f t="shared" si="2"/>
        <v>0</v>
      </c>
    </row>
    <row r="75" spans="1:27" ht="54.75" customHeight="1" x14ac:dyDescent="0.3">
      <c r="A75" s="338">
        <f>'Unit Data from Audit Worksheet'!A83</f>
        <v>533</v>
      </c>
      <c r="B75" s="352" t="str">
        <f>'Unit Data from Audit Worksheet'!C83</f>
        <v>General Fund-Rev, Exp. Change in Fund Balance</v>
      </c>
      <c r="C75" s="337" t="str">
        <f>'Unit Data from Audit Worksheet'!D83</f>
        <v>Total Proceeds from all long-term debt issuances 
Exclude proceeds from refundings</v>
      </c>
      <c r="D75" s="144"/>
      <c r="E75" s="358">
        <f>'Unit Data from Audit Worksheet'!F83</f>
        <v>0</v>
      </c>
      <c r="F75" s="351">
        <f t="shared" si="11"/>
        <v>0</v>
      </c>
      <c r="G75" s="353"/>
      <c r="H75" s="350">
        <f>'Unit Data from Audit Worksheet'!I83</f>
        <v>0</v>
      </c>
      <c r="I75" s="38"/>
      <c r="J75" s="349">
        <v>533</v>
      </c>
      <c r="K75" s="605" t="s">
        <v>211</v>
      </c>
      <c r="L75" s="586">
        <f t="shared" si="9"/>
        <v>0</v>
      </c>
      <c r="P75" s="320"/>
      <c r="W75" s="3" t="b">
        <f t="shared" si="10"/>
        <v>1</v>
      </c>
      <c r="X75" s="583">
        <f t="shared" si="1"/>
        <v>0</v>
      </c>
      <c r="Y75" s="583">
        <f t="shared" si="2"/>
        <v>0</v>
      </c>
    </row>
    <row r="76" spans="1:27" ht="54.75" customHeight="1" x14ac:dyDescent="0.3">
      <c r="A76" s="338">
        <f>'Unit Data from Audit Worksheet'!A84</f>
        <v>508</v>
      </c>
      <c r="B76" s="352" t="str">
        <f>'Unit Data from Audit Worksheet'!C84</f>
        <v>General Fund-Rev, Exp. Change in Fund Balance</v>
      </c>
      <c r="C76" s="337" t="str">
        <f>'Unit Data from Audit Worksheet'!D84</f>
        <v>Debt Refunding - Net refunding proceeds against debt payoff and if positive place results on this line.</v>
      </c>
      <c r="D76" s="144"/>
      <c r="E76" s="358">
        <f>'Unit Data from Audit Worksheet'!F84</f>
        <v>0</v>
      </c>
      <c r="F76" s="351">
        <f t="shared" si="11"/>
        <v>0</v>
      </c>
      <c r="G76" s="353"/>
      <c r="H76" s="350">
        <f>'Unit Data from Audit Worksheet'!I84</f>
        <v>0</v>
      </c>
      <c r="I76" s="38"/>
      <c r="J76" s="349">
        <v>508</v>
      </c>
      <c r="K76" s="348" t="s">
        <v>213</v>
      </c>
      <c r="L76" s="586">
        <f t="shared" si="9"/>
        <v>0</v>
      </c>
      <c r="P76" s="320"/>
      <c r="W76" s="3" t="b">
        <f t="shared" si="10"/>
        <v>1</v>
      </c>
      <c r="X76" s="583">
        <f t="shared" si="1"/>
        <v>0</v>
      </c>
      <c r="Y76" s="583">
        <f t="shared" si="2"/>
        <v>0</v>
      </c>
    </row>
    <row r="77" spans="1:27" ht="54.75" customHeight="1" x14ac:dyDescent="0.3">
      <c r="A77" s="338">
        <f>'Unit Data from Audit Worksheet'!A85</f>
        <v>509</v>
      </c>
      <c r="B77" s="352" t="str">
        <f>'Unit Data from Audit Worksheet'!C85</f>
        <v>General Fund-Rev, Exp. Change in Fund Balance</v>
      </c>
      <c r="C77" s="337" t="str">
        <f>'Unit Data from Audit Worksheet'!D85</f>
        <v>Debt Refunding - Net refunding proceeds against debt payoff and if negative place results on this line.</v>
      </c>
      <c r="D77" s="144"/>
      <c r="E77" s="358">
        <f>'Unit Data from Audit Worksheet'!F85</f>
        <v>0</v>
      </c>
      <c r="F77" s="351">
        <f t="shared" si="11"/>
        <v>0</v>
      </c>
      <c r="G77" s="353"/>
      <c r="H77" s="350">
        <f>'Unit Data from Audit Worksheet'!I85</f>
        <v>0</v>
      </c>
      <c r="I77" s="38"/>
      <c r="J77" s="349">
        <v>509</v>
      </c>
      <c r="K77" s="348" t="s">
        <v>214</v>
      </c>
      <c r="L77" s="586">
        <f t="shared" si="9"/>
        <v>0</v>
      </c>
      <c r="P77" s="320"/>
      <c r="W77" s="3" t="b">
        <f t="shared" si="10"/>
        <v>1</v>
      </c>
      <c r="X77" s="583">
        <f t="shared" si="1"/>
        <v>0</v>
      </c>
      <c r="Y77" s="583">
        <f t="shared" si="2"/>
        <v>0</v>
      </c>
    </row>
    <row r="78" spans="1:27" ht="84.75" customHeight="1" x14ac:dyDescent="0.3">
      <c r="A78" s="338">
        <f>'Unit Data from Audit Worksheet'!A86</f>
        <v>22</v>
      </c>
      <c r="B78" s="352" t="str">
        <f>'Unit Data from Audit Worksheet'!C86</f>
        <v>General Fund-Rev, Exp. Change in Fund Balance</v>
      </c>
      <c r="C78" s="337" t="str">
        <f>'Unit Data from Audit Worksheet'!D86</f>
        <v xml:space="preserve">All other items on this statement that were not included in total revenues, total expenditures, transfers in or out, or proceeds from long-term debt above.  </v>
      </c>
      <c r="D78" s="144"/>
      <c r="E78" s="358">
        <f>'Unit Data from Audit Worksheet'!F86</f>
        <v>0</v>
      </c>
      <c r="F78" s="351"/>
      <c r="G78" s="353"/>
      <c r="H78" s="350">
        <f>'Unit Data from Audit Worksheet'!I86</f>
        <v>0</v>
      </c>
      <c r="I78" s="38"/>
      <c r="J78" s="349">
        <v>22</v>
      </c>
      <c r="K78" s="348" t="s">
        <v>212</v>
      </c>
      <c r="L78" s="586">
        <f t="shared" si="9"/>
        <v>0</v>
      </c>
      <c r="P78" s="320"/>
      <c r="W78" s="3" t="b">
        <f t="shared" si="10"/>
        <v>1</v>
      </c>
      <c r="X78" s="583">
        <f t="shared" si="1"/>
        <v>0</v>
      </c>
      <c r="Y78" s="583">
        <f t="shared" si="2"/>
        <v>0</v>
      </c>
    </row>
    <row r="79" spans="1:27" ht="74.25" customHeight="1" x14ac:dyDescent="0.3">
      <c r="A79" s="338">
        <f>'Unit Data from Audit Worksheet'!A87</f>
        <v>23</v>
      </c>
      <c r="B79" s="352" t="str">
        <f>'Unit Data from Audit Worksheet'!C87</f>
        <v>General Fund-Rev, Exp. Change in Fund Balance</v>
      </c>
      <c r="C79" s="337" t="str">
        <f>'Unit Data from Audit Worksheet'!D87</f>
        <v>Change in fund balance - (Increase in Fund balance is recorded as a positive and a decrease in fund balance is recorded as a negative)</v>
      </c>
      <c r="D79" s="144"/>
      <c r="E79" s="358">
        <f>'Unit Data from Audit Worksheet'!F87</f>
        <v>0</v>
      </c>
      <c r="F79" s="351">
        <f>IF(+L70-L72+L73-L74+L75+L76-L77+L78-L79=0,,"Error:Total revenues less toal Expenditures do not equal change in fund balance")</f>
        <v>0</v>
      </c>
      <c r="G79" s="91">
        <f>+L70-L72+L73-L74+L75+L78+L76-L77-L79</f>
        <v>0</v>
      </c>
      <c r="H79" s="350">
        <f>'Unit Data from Audit Worksheet'!I87</f>
        <v>0</v>
      </c>
      <c r="I79" s="38"/>
      <c r="J79" s="349">
        <v>23</v>
      </c>
      <c r="K79" s="348" t="s">
        <v>215</v>
      </c>
      <c r="L79" s="586">
        <f t="shared" si="9"/>
        <v>0</v>
      </c>
      <c r="P79" s="320"/>
      <c r="Q79" s="576">
        <f>IF(G79&lt;&gt;0,1,0)</f>
        <v>0</v>
      </c>
      <c r="W79" s="3" t="b">
        <f t="shared" si="10"/>
        <v>1</v>
      </c>
      <c r="X79" s="583">
        <f t="shared" si="1"/>
        <v>0</v>
      </c>
      <c r="Y79" s="583">
        <f t="shared" si="2"/>
        <v>0</v>
      </c>
    </row>
    <row r="80" spans="1:27" ht="123" customHeight="1" x14ac:dyDescent="0.3">
      <c r="A80" s="598">
        <f>'Unit Data from Audit Worksheet'!A89</f>
        <v>507</v>
      </c>
      <c r="B80" s="117" t="str">
        <f>'Unit Data from Audit Worksheet'!C89</f>
        <v>General Fund-Rev, Exp. Change in Fund Balance</v>
      </c>
      <c r="C80" s="330" t="str">
        <f>'Unit Data from Audit Worksheet'!D89</f>
        <v>Any adjustment to beginning fund balance including rounding, prior period adjustments and restatements.   (Amounts that increase fund balance are recorded as positive and amounts that decrease fund balance are recorded as negative)</v>
      </c>
      <c r="D80" s="110"/>
      <c r="E80" s="155">
        <f>'Unit Data from Audit Worksheet'!F89</f>
        <v>0</v>
      </c>
      <c r="F80" s="111" t="e">
        <f>IF(+L65-L79-L80=O65,,"Error: Beginning Fund Bal does not equal our records Accts 9-23-507= PY9")</f>
        <v>#N/A</v>
      </c>
      <c r="G80" s="122" t="e">
        <f>L65-L79-L80-O65</f>
        <v>#N/A</v>
      </c>
      <c r="H80" s="113" t="str">
        <f>'Unit Data from Audit Worksheet'!I89</f>
        <v>Please do not enter prior's years beginning balance as an adjustment in column F.</v>
      </c>
      <c r="I80" s="38"/>
      <c r="J80" s="105">
        <v>507</v>
      </c>
      <c r="K80" s="44" t="s">
        <v>216</v>
      </c>
      <c r="L80" s="586">
        <f t="shared" si="9"/>
        <v>0</v>
      </c>
      <c r="N80" s="595"/>
      <c r="O80" s="594"/>
      <c r="P80" s="321"/>
      <c r="Q80" s="576" t="e">
        <f>IF(G80&lt;&gt;0,1,0)</f>
        <v>#N/A</v>
      </c>
      <c r="W80" s="3" t="b">
        <f t="shared" si="10"/>
        <v>1</v>
      </c>
      <c r="X80" s="583">
        <f t="shared" si="1"/>
        <v>0</v>
      </c>
      <c r="Y80" s="583">
        <f t="shared" si="2"/>
        <v>0</v>
      </c>
    </row>
    <row r="81" spans="1:26" ht="123" customHeight="1" x14ac:dyDescent="0.3">
      <c r="A81" s="598">
        <f>'Unit Data from Audit Worksheet'!A90</f>
        <v>147</v>
      </c>
      <c r="B81" s="117" t="str">
        <f>'Unit Data from Audit Worksheet'!C90</f>
        <v>General Fund-Rev, Exp. Change in Fund Balance or General Fund Budget Actual</v>
      </c>
      <c r="C81" s="330" t="str">
        <f>'Unit Data from Audit Worksheet'!D90</f>
        <v>Local Current Expense sent to Boards of Education (some units present this information in the detailed general fund statements after the notes)
Exclude: amounts for community colleges and 
                  supplemental taxes
Include: amounts spent on resource officers, 
                  nurses and Timber receipts</v>
      </c>
      <c r="D81" s="361"/>
      <c r="E81" s="155">
        <f>'Unit Data from Audit Worksheet'!F90</f>
        <v>0</v>
      </c>
      <c r="F81" s="354"/>
      <c r="G81" s="362"/>
      <c r="H81" s="354"/>
      <c r="I81" s="38"/>
      <c r="J81" s="363">
        <v>147</v>
      </c>
      <c r="K81" s="355" t="s">
        <v>372</v>
      </c>
      <c r="L81" s="586">
        <f t="shared" si="9"/>
        <v>0</v>
      </c>
      <c r="N81" s="595"/>
      <c r="O81" s="594"/>
      <c r="P81" s="329"/>
      <c r="W81" s="3" t="b">
        <f t="shared" si="10"/>
        <v>1</v>
      </c>
      <c r="X81" s="583"/>
      <c r="Y81" s="583"/>
    </row>
    <row r="82" spans="1:26" ht="123" customHeight="1" x14ac:dyDescent="0.3">
      <c r="A82" s="598">
        <f>'Unit Data from Audit Worksheet'!A91</f>
        <v>585</v>
      </c>
      <c r="B82" s="117" t="str">
        <f>'Unit Data from Audit Worksheet'!C91</f>
        <v>General Fund-Rev, Exp. Change in Fund Balance or General Fund Budget Actual</v>
      </c>
      <c r="C82" s="588" t="str">
        <f>'Unit Data from Audit Worksheet'!D91</f>
        <v xml:space="preserve">How much of the above number in account 147 is from Timber Receipts sent to the schools </v>
      </c>
      <c r="D82" s="361"/>
      <c r="E82" s="155">
        <f>'Unit Data from Audit Worksheet'!F91</f>
        <v>0</v>
      </c>
      <c r="F82" s="354"/>
      <c r="G82" s="362"/>
      <c r="H82" s="354"/>
      <c r="I82" s="38"/>
      <c r="J82" s="363">
        <v>585</v>
      </c>
      <c r="K82" s="366" t="s">
        <v>660</v>
      </c>
      <c r="L82" s="586">
        <f t="shared" si="9"/>
        <v>0</v>
      </c>
      <c r="N82" s="595"/>
      <c r="O82" s="594"/>
      <c r="P82" s="329"/>
      <c r="W82" s="3" t="b">
        <f t="shared" si="10"/>
        <v>1</v>
      </c>
      <c r="X82" s="583"/>
      <c r="Y82" s="583"/>
    </row>
    <row r="83" spans="1:26" ht="123" customHeight="1" x14ac:dyDescent="0.3">
      <c r="A83" s="598">
        <f>'Unit Data from Audit Worksheet'!A92</f>
        <v>546</v>
      </c>
      <c r="B83" s="117" t="str">
        <f>'Unit Data from Audit Worksheet'!C92</f>
        <v>General Fund-Rev, Exp. Change in Fund Balance or General Fund Budget Actual</v>
      </c>
      <c r="C83" s="588" t="str">
        <f>'Unit Data from Audit Worksheet'!D92</f>
        <v>Amount of Supplemental School Tax revenue recorded in the governmental funds.</v>
      </c>
      <c r="D83" s="361"/>
      <c r="E83" s="155">
        <f>'Unit Data from Audit Worksheet'!F92</f>
        <v>0</v>
      </c>
      <c r="F83" s="354"/>
      <c r="G83" s="362"/>
      <c r="H83" s="354"/>
      <c r="I83" s="38"/>
      <c r="J83" s="363">
        <v>546</v>
      </c>
      <c r="K83" s="366" t="s">
        <v>849</v>
      </c>
      <c r="L83" s="586">
        <f t="shared" si="9"/>
        <v>0</v>
      </c>
      <c r="N83" s="595"/>
      <c r="O83" s="594"/>
      <c r="P83" s="329"/>
      <c r="W83" s="3" t="b">
        <f t="shared" si="10"/>
        <v>1</v>
      </c>
      <c r="X83" s="583"/>
      <c r="Y83" s="583"/>
    </row>
    <row r="84" spans="1:26" ht="123" customHeight="1" x14ac:dyDescent="0.3">
      <c r="A84" s="598">
        <f>'Unit Data from Audit Worksheet'!A93</f>
        <v>589</v>
      </c>
      <c r="B84" s="117" t="str">
        <f>'Unit Data from Audit Worksheet'!C93</f>
        <v>General Fund-Rev, Exp. Change in Fund Balance or General Fund Budget Actual</v>
      </c>
      <c r="C84" s="588" t="str">
        <f>'Unit Data from Audit Worksheet'!D93</f>
        <v>Amount of Supplemental School Tax revenue recorded in agency funds.</v>
      </c>
      <c r="D84" s="361"/>
      <c r="E84" s="155">
        <f>'Unit Data from Audit Worksheet'!F93</f>
        <v>0</v>
      </c>
      <c r="F84" s="354"/>
      <c r="G84" s="362"/>
      <c r="H84" s="354"/>
      <c r="I84" s="38"/>
      <c r="J84" s="363">
        <v>589</v>
      </c>
      <c r="K84" s="124" t="s">
        <v>1283</v>
      </c>
      <c r="L84" s="586">
        <f t="shared" si="9"/>
        <v>0</v>
      </c>
      <c r="N84" s="595"/>
      <c r="O84" s="594"/>
      <c r="P84" s="329"/>
      <c r="W84" s="3" t="b">
        <f t="shared" si="10"/>
        <v>1</v>
      </c>
      <c r="X84" s="583"/>
      <c r="Y84" s="583"/>
    </row>
    <row r="85" spans="1:26" ht="123" customHeight="1" x14ac:dyDescent="0.3">
      <c r="A85" s="598">
        <f>'Unit Data from Audit Worksheet'!A94</f>
        <v>149</v>
      </c>
      <c r="B85" s="117" t="str">
        <f>'Unit Data from Audit Worksheet'!C94</f>
        <v>General Fund-Rev, Exp. Change in Fund Balance or General Fund Budget Actual</v>
      </c>
      <c r="C85" s="588" t="str">
        <f>'Unit Data from Audit Worksheet'!D94</f>
        <v>Local Current Expense Revenue from the County (Enter as a positive) 
Exclude: supplemental taxes
Include: Timber Receipts, amounts spent on 
                  resource officers and nurses, etc.  
                  Amount must agree with the amount
                  reported in the County Audit Report</v>
      </c>
      <c r="D85" s="361"/>
      <c r="E85" s="155">
        <f>'Unit Data from Audit Worksheet'!F94</f>
        <v>0</v>
      </c>
      <c r="F85" s="354"/>
      <c r="G85" s="362"/>
      <c r="H85" s="354"/>
      <c r="I85" s="38"/>
      <c r="J85" s="363">
        <v>149</v>
      </c>
      <c r="K85" s="255" t="s">
        <v>376</v>
      </c>
      <c r="L85" s="586">
        <f t="shared" si="9"/>
        <v>0</v>
      </c>
      <c r="N85" s="595"/>
      <c r="O85" s="594"/>
      <c r="P85" s="329"/>
      <c r="W85" s="3" t="b">
        <f t="shared" si="10"/>
        <v>1</v>
      </c>
      <c r="X85" s="583"/>
      <c r="Y85" s="583"/>
      <c r="Z85" s="3" t="s">
        <v>1360</v>
      </c>
    </row>
    <row r="86" spans="1:26" ht="123" customHeight="1" x14ac:dyDescent="0.3">
      <c r="A86" s="598">
        <f>'Unit Data from Audit Worksheet'!A95</f>
        <v>150</v>
      </c>
      <c r="B86" s="117" t="str">
        <f>'Unit Data from Audit Worksheet'!C95</f>
        <v>General Fund-Rev, Exp. Change in Fund Balance or General Fund Budget Actual</v>
      </c>
      <c r="C86" s="588" t="str">
        <f>'Unit Data from Audit Worksheet'!D95</f>
        <v xml:space="preserve">Capital Outlay revenue from the County and budgeted by the County as Capital Outlay reported in the School Capital Outlay fund or the local current expense fund.  (capitalization policies might be different between the Schools and County)
</v>
      </c>
      <c r="D86" s="361"/>
      <c r="E86" s="155">
        <f>'Unit Data from Audit Worksheet'!F95</f>
        <v>0</v>
      </c>
      <c r="F86" s="354"/>
      <c r="G86" s="362"/>
      <c r="H86" s="354"/>
      <c r="I86" s="38"/>
      <c r="J86" s="363">
        <v>150</v>
      </c>
      <c r="K86" s="255" t="s">
        <v>849</v>
      </c>
      <c r="L86" s="586">
        <f t="shared" si="9"/>
        <v>0</v>
      </c>
      <c r="N86" s="595"/>
      <c r="O86" s="594"/>
      <c r="P86" s="329"/>
      <c r="W86" s="3" t="b">
        <f t="shared" si="10"/>
        <v>1</v>
      </c>
      <c r="X86" s="583"/>
      <c r="Y86" s="583"/>
      <c r="Z86" s="3" t="s">
        <v>1360</v>
      </c>
    </row>
    <row r="87" spans="1:26" ht="123" customHeight="1" x14ac:dyDescent="0.3">
      <c r="A87" s="598">
        <f>'Unit Data from Audit Worksheet'!A96</f>
        <v>587</v>
      </c>
      <c r="B87" s="117" t="str">
        <f>'Unit Data from Audit Worksheet'!C96</f>
        <v xml:space="preserve">Fund 8 Rev, Exp. Change in Fund Balance Rpt. </v>
      </c>
      <c r="C87" s="588" t="str">
        <f>'Unit Data from Audit Worksheet'!D96</f>
        <v>Amount of Local Current Expense Funds received from the County transferred to Fund 8 this year.</v>
      </c>
      <c r="D87" s="361"/>
      <c r="E87" s="155">
        <f>'Unit Data from Audit Worksheet'!F96</f>
        <v>0</v>
      </c>
      <c r="F87" s="354"/>
      <c r="G87" s="362"/>
      <c r="H87" s="354"/>
      <c r="I87" s="38"/>
      <c r="J87" s="363">
        <v>587</v>
      </c>
      <c r="K87" s="255" t="s">
        <v>664</v>
      </c>
      <c r="L87" s="586">
        <f t="shared" si="9"/>
        <v>0</v>
      </c>
      <c r="N87" s="595"/>
      <c r="O87" s="594"/>
      <c r="P87" s="329"/>
      <c r="W87" s="3" t="b">
        <f t="shared" si="10"/>
        <v>1</v>
      </c>
      <c r="X87" s="583"/>
      <c r="Y87" s="583"/>
      <c r="Z87" s="3" t="s">
        <v>1360</v>
      </c>
    </row>
    <row r="88" spans="1:26" ht="123" customHeight="1" x14ac:dyDescent="0.3">
      <c r="A88" s="598">
        <f>'Unit Data from Audit Worksheet'!A97</f>
        <v>588</v>
      </c>
      <c r="B88" s="117" t="str">
        <f>'Unit Data from Audit Worksheet'!C97</f>
        <v xml:space="preserve">Fund 8 Rev, Exp. Change in Fund Balance Rpt. </v>
      </c>
      <c r="C88" s="588" t="str">
        <f>'Unit Data from Audit Worksheet'!D97</f>
        <v>Amount of Capital Outlay Funds received from the County transferred to Fund 8 this year.</v>
      </c>
      <c r="D88" s="361"/>
      <c r="E88" s="155">
        <f>'Unit Data from Audit Worksheet'!F97</f>
        <v>0</v>
      </c>
      <c r="F88" s="354"/>
      <c r="G88" s="362"/>
      <c r="H88" s="354"/>
      <c r="I88" s="38"/>
      <c r="J88" s="363">
        <v>588</v>
      </c>
      <c r="K88" s="255" t="s">
        <v>666</v>
      </c>
      <c r="L88" s="586">
        <f t="shared" si="9"/>
        <v>0</v>
      </c>
      <c r="N88" s="595"/>
      <c r="O88" s="594"/>
      <c r="P88" s="329"/>
      <c r="W88" s="3" t="b">
        <f t="shared" si="10"/>
        <v>1</v>
      </c>
      <c r="X88" s="583"/>
      <c r="Y88" s="583"/>
      <c r="Z88" s="3" t="s">
        <v>1360</v>
      </c>
    </row>
    <row r="89" spans="1:26" s="18" customFormat="1" ht="40.5" customHeight="1" x14ac:dyDescent="0.3">
      <c r="A89" s="309">
        <f>'Unit Data from Audit Worksheet'!A98</f>
        <v>647</v>
      </c>
      <c r="B89" s="365" t="str">
        <f>'Unit Data from Audit Worksheet'!C98</f>
        <v>Debt Service Fund</v>
      </c>
      <c r="C89" s="309" t="str">
        <f>'Unit Data from Audit Worksheet'!D98</f>
        <v>Please enter the Total Fund Balance for any Debt Service Funds</v>
      </c>
      <c r="D89" s="116"/>
      <c r="E89" s="364">
        <f>'Unit Data from Audit Worksheet'!F98</f>
        <v>0</v>
      </c>
      <c r="F89" s="346"/>
      <c r="G89" s="341"/>
      <c r="H89" s="346">
        <f>'Unit Data from Audit Worksheet'!I98</f>
        <v>0</v>
      </c>
      <c r="I89" s="599"/>
      <c r="J89" s="345">
        <v>647</v>
      </c>
      <c r="K89" s="312" t="s">
        <v>1572</v>
      </c>
      <c r="L89" s="600">
        <f>IF(D89="",E89,D89)</f>
        <v>0</v>
      </c>
      <c r="M89" s="590"/>
      <c r="N89" s="590"/>
      <c r="O89" s="606"/>
      <c r="P89" s="322"/>
      <c r="Q89" s="591"/>
      <c r="R89" s="3"/>
      <c r="S89" s="590"/>
      <c r="T89" s="590"/>
      <c r="U89" s="590"/>
      <c r="V89" s="590"/>
      <c r="W89" s="18" t="b">
        <f t="shared" si="10"/>
        <v>1</v>
      </c>
      <c r="X89" s="592">
        <f t="shared" si="1"/>
        <v>0</v>
      </c>
      <c r="Y89" s="592">
        <f t="shared" si="2"/>
        <v>0</v>
      </c>
    </row>
    <row r="90" spans="1:26" s="18" customFormat="1" ht="66" customHeight="1" x14ac:dyDescent="0.3">
      <c r="A90" s="309">
        <f>'Unit Data from Audit Worksheet'!A100</f>
        <v>148</v>
      </c>
      <c r="B90" s="365" t="str">
        <f>'Unit Data from Audit Worksheet'!C100</f>
        <v>All Gov. Funds Rev, Exp. Change in Fund Balance</v>
      </c>
      <c r="C90" s="344" t="str">
        <f>'Unit Data from Audit Worksheet'!D100</f>
        <v>Capital Outlay contributions to the BOEs (include amounts from general fund, capital project funds and any other fund sent to the BOE as part of capital outlay)</v>
      </c>
      <c r="D90" s="361"/>
      <c r="E90" s="364">
        <f>'Unit Data from Audit Worksheet'!F100</f>
        <v>0</v>
      </c>
      <c r="F90" s="354"/>
      <c r="G90" s="362"/>
      <c r="H90" s="354"/>
      <c r="I90" s="38"/>
      <c r="J90" s="363">
        <v>148</v>
      </c>
      <c r="K90" s="355" t="s">
        <v>374</v>
      </c>
      <c r="L90" s="586">
        <f t="shared" si="9"/>
        <v>0</v>
      </c>
      <c r="M90" s="607"/>
      <c r="N90" s="607"/>
      <c r="O90" s="608"/>
      <c r="P90" s="329"/>
      <c r="Q90" s="609"/>
      <c r="R90" s="3"/>
      <c r="S90" s="607"/>
      <c r="T90" s="607"/>
      <c r="U90" s="607"/>
      <c r="V90" s="607"/>
      <c r="W90" s="607" t="b">
        <f t="shared" si="10"/>
        <v>1</v>
      </c>
      <c r="X90" s="592"/>
      <c r="Y90" s="592"/>
    </row>
    <row r="91" spans="1:26" ht="60" customHeight="1" x14ac:dyDescent="0.3">
      <c r="A91" s="584">
        <f>'Unit Data from Audit Worksheet'!A101</f>
        <v>171</v>
      </c>
      <c r="B91" s="54" t="str">
        <f>'Unit Data from Audit Worksheet'!C101</f>
        <v>Fund Statements - all Governmental Funds</v>
      </c>
      <c r="C91" s="585" t="str">
        <f>'Unit Data from Audit Worksheet'!D101</f>
        <v>Debt service expenditures from all governmental funds.  Include principal, interest paid, and debt issuance costs on long-term debt.</v>
      </c>
      <c r="D91" s="357"/>
      <c r="E91" s="152">
        <f>'Unit Data from Audit Worksheet'!F101</f>
        <v>0</v>
      </c>
      <c r="F91" s="47">
        <f>IF(L91&lt;0,"Error: Enter as a positive.",)</f>
        <v>0</v>
      </c>
      <c r="G91" s="72"/>
      <c r="H91" s="350">
        <f>'Unit Data from Audit Worksheet'!I101</f>
        <v>0</v>
      </c>
      <c r="I91" s="38"/>
      <c r="J91" s="42">
        <v>171</v>
      </c>
      <c r="K91" s="51" t="s">
        <v>217</v>
      </c>
      <c r="L91" s="586">
        <f t="shared" si="9"/>
        <v>0</v>
      </c>
      <c r="P91" s="319"/>
      <c r="W91" s="3" t="b">
        <f t="shared" si="10"/>
        <v>1</v>
      </c>
      <c r="X91" s="583">
        <f t="shared" si="1"/>
        <v>0</v>
      </c>
      <c r="Y91" s="583">
        <f t="shared" si="2"/>
        <v>0</v>
      </c>
    </row>
    <row r="92" spans="1:26" s="726" customFormat="1" ht="60" customHeight="1" x14ac:dyDescent="0.3">
      <c r="A92" s="584">
        <f>'Unit Data from Audit Worksheet'!A103</f>
        <v>36</v>
      </c>
      <c r="B92" s="54" t="str">
        <f>'Unit Data from Audit Worksheet'!C103</f>
        <v>Net Position</v>
      </c>
      <c r="C92" s="585" t="str">
        <f>'Unit Data from Audit Worksheet'!D103</f>
        <v>Total Gross Capital Assets - without accumulated depreciation</v>
      </c>
      <c r="D92" s="357"/>
      <c r="E92" s="152">
        <f>'Unit Data from Audit Worksheet'!F103</f>
        <v>0</v>
      </c>
      <c r="F92" s="47"/>
      <c r="G92" s="72"/>
      <c r="H92" s="350"/>
      <c r="I92" s="728"/>
      <c r="J92" s="42">
        <v>36</v>
      </c>
      <c r="K92" s="51" t="s">
        <v>1417</v>
      </c>
      <c r="L92" s="586">
        <f t="shared" si="9"/>
        <v>0</v>
      </c>
      <c r="P92" s="319"/>
      <c r="Q92" s="576"/>
      <c r="W92" s="607" t="b">
        <f t="shared" si="10"/>
        <v>1</v>
      </c>
      <c r="X92" s="583"/>
      <c r="Y92" s="583"/>
    </row>
    <row r="93" spans="1:26" s="726" customFormat="1" ht="60" customHeight="1" x14ac:dyDescent="0.3">
      <c r="A93" s="584">
        <f>'Unit Data from Audit Worksheet'!A104</f>
        <v>534</v>
      </c>
      <c r="B93" s="54" t="str">
        <f>'Unit Data from Audit Worksheet'!C104</f>
        <v>Net Position</v>
      </c>
      <c r="C93" s="585" t="str">
        <f>'Unit Data from Audit Worksheet'!D104</f>
        <v>Combined Totals of all Proprietary Funds - Amount of Inventories and Prepaids in current assets</v>
      </c>
      <c r="D93" s="357"/>
      <c r="E93" s="152">
        <f>'Unit Data from Audit Worksheet'!F104</f>
        <v>0</v>
      </c>
      <c r="F93" s="47"/>
      <c r="G93" s="72"/>
      <c r="H93" s="350"/>
      <c r="I93" s="728"/>
      <c r="J93" s="42">
        <v>534</v>
      </c>
      <c r="K93" s="51" t="s">
        <v>275</v>
      </c>
      <c r="L93" s="586">
        <f t="shared" si="9"/>
        <v>0</v>
      </c>
      <c r="P93" s="319"/>
      <c r="Q93" s="576"/>
      <c r="W93" s="607" t="b">
        <f t="shared" si="10"/>
        <v>1</v>
      </c>
      <c r="X93" s="583"/>
      <c r="Y93" s="583"/>
    </row>
    <row r="94" spans="1:26" ht="60" customHeight="1" x14ac:dyDescent="0.3">
      <c r="A94" s="584">
        <f>'Unit Data from Audit Worksheet'!A105</f>
        <v>13</v>
      </c>
      <c r="B94" s="54" t="str">
        <f>'Unit Data from Audit Worksheet'!C105</f>
        <v>Combined Proprietary Funds - Net Position</v>
      </c>
      <c r="C94" s="585" t="str">
        <f>'Unit Data from Audit Worksheet'!D105</f>
        <v>Comb-Proprietary Funds-Current Assets 
Exclude: any restricted assets
                  deferred outflows</v>
      </c>
      <c r="D94" s="357"/>
      <c r="E94" s="152">
        <f>'Unit Data from Audit Worksheet'!F105</f>
        <v>0</v>
      </c>
      <c r="F94" s="47"/>
      <c r="G94" s="72"/>
      <c r="H94" s="350"/>
      <c r="I94" s="38"/>
      <c r="J94" s="42">
        <v>13</v>
      </c>
      <c r="K94" s="51" t="s">
        <v>1350</v>
      </c>
      <c r="L94" s="586">
        <f t="shared" si="9"/>
        <v>0</v>
      </c>
      <c r="P94" s="319"/>
      <c r="X94" s="583"/>
      <c r="Y94" s="583"/>
    </row>
    <row r="95" spans="1:26" ht="60" customHeight="1" x14ac:dyDescent="0.3">
      <c r="A95" s="584">
        <f>'Unit Data from Audit Worksheet'!A106</f>
        <v>14</v>
      </c>
      <c r="B95" s="54" t="str">
        <f>'Unit Data from Audit Worksheet'!C106</f>
        <v>Combined Proprietary Funds - Net Position</v>
      </c>
      <c r="C95" s="585" t="str">
        <f>'Unit Data from Audit Worksheet'!D106</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95" s="357"/>
      <c r="E95" s="152">
        <f>'Unit Data from Audit Worksheet'!F106</f>
        <v>0</v>
      </c>
      <c r="F95" s="47"/>
      <c r="G95" s="72"/>
      <c r="H95" s="350"/>
      <c r="I95" s="38"/>
      <c r="J95" s="42">
        <v>14</v>
      </c>
      <c r="K95" s="51" t="s">
        <v>1351</v>
      </c>
      <c r="L95" s="586">
        <f t="shared" si="9"/>
        <v>0</v>
      </c>
      <c r="P95" s="319"/>
      <c r="X95" s="583"/>
      <c r="Y95" s="583"/>
    </row>
    <row r="96" spans="1:26" s="726" customFormat="1" ht="60" customHeight="1" x14ac:dyDescent="0.3">
      <c r="A96" s="584">
        <f>'Unit Data from Audit Worksheet'!A107</f>
        <v>571</v>
      </c>
      <c r="B96" s="54" t="str">
        <f>'Unit Data from Audit Worksheet'!C107</f>
        <v>Statement of Net Position - combined totals from all Proprietary Funds</v>
      </c>
      <c r="C96" s="585" t="str">
        <f>'Unit Data from Audit Worksheet'!D107</f>
        <v>Mental Health Net Position - Net Investment in Capital Assets</v>
      </c>
      <c r="D96" s="357"/>
      <c r="E96" s="152">
        <f>'Unit Data from Audit Worksheet'!F107</f>
        <v>0</v>
      </c>
      <c r="F96" s="47"/>
      <c r="G96" s="72"/>
      <c r="H96" s="350"/>
      <c r="I96" s="728"/>
      <c r="J96" s="42">
        <v>571</v>
      </c>
      <c r="K96" s="51" t="s">
        <v>1388</v>
      </c>
      <c r="L96" s="586">
        <f t="shared" si="9"/>
        <v>0</v>
      </c>
      <c r="P96" s="319"/>
      <c r="Q96" s="576"/>
      <c r="X96" s="583"/>
      <c r="Y96" s="583"/>
    </row>
    <row r="97" spans="1:26" s="726" customFormat="1" ht="60" customHeight="1" x14ac:dyDescent="0.3">
      <c r="A97" s="584">
        <f>'Unit Data from Audit Worksheet'!A108</f>
        <v>572</v>
      </c>
      <c r="B97" s="54" t="str">
        <f>'Unit Data from Audit Worksheet'!C108</f>
        <v>Statement of Net Position - combined totals from all Proprietary Funds</v>
      </c>
      <c r="C97" s="585" t="str">
        <f>'Unit Data from Audit Worksheet'!D108</f>
        <v>Mental Health Net Position - Restricted Net Position</v>
      </c>
      <c r="D97" s="357"/>
      <c r="E97" s="152">
        <f>'Unit Data from Audit Worksheet'!F108</f>
        <v>0</v>
      </c>
      <c r="F97" s="47"/>
      <c r="G97" s="72"/>
      <c r="H97" s="350"/>
      <c r="I97" s="728"/>
      <c r="J97" s="42">
        <v>572</v>
      </c>
      <c r="K97" s="51" t="s">
        <v>1389</v>
      </c>
      <c r="L97" s="586">
        <f t="shared" si="9"/>
        <v>0</v>
      </c>
      <c r="P97" s="319"/>
      <c r="Q97" s="576"/>
      <c r="X97" s="583"/>
      <c r="Y97" s="583"/>
    </row>
    <row r="98" spans="1:26" s="726" customFormat="1" ht="60" customHeight="1" x14ac:dyDescent="0.3">
      <c r="A98" s="584">
        <f>'Unit Data from Audit Worksheet'!A109</f>
        <v>573</v>
      </c>
      <c r="B98" s="54" t="str">
        <f>'Unit Data from Audit Worksheet'!C109</f>
        <v>Statement of Net Position - combined totals from all Proprietary Funds</v>
      </c>
      <c r="C98" s="585" t="str">
        <f>'Unit Data from Audit Worksheet'!D109</f>
        <v>Mental Health Net Position - Unrestricted Net Position</v>
      </c>
      <c r="D98" s="357"/>
      <c r="E98" s="152">
        <f>'Unit Data from Audit Worksheet'!F109</f>
        <v>0</v>
      </c>
      <c r="F98" s="47"/>
      <c r="G98" s="72"/>
      <c r="H98" s="350"/>
      <c r="I98" s="728"/>
      <c r="J98" s="42">
        <v>573</v>
      </c>
      <c r="K98" s="51" t="s">
        <v>1547</v>
      </c>
      <c r="L98" s="586">
        <f t="shared" si="9"/>
        <v>0</v>
      </c>
      <c r="P98" s="319"/>
      <c r="Q98" s="576"/>
      <c r="X98" s="583"/>
      <c r="Y98" s="583"/>
    </row>
    <row r="99" spans="1:26" ht="60" customHeight="1" x14ac:dyDescent="0.3">
      <c r="A99" s="584">
        <f>'Unit Data from Audit Worksheet'!A110</f>
        <v>34</v>
      </c>
      <c r="B99" s="54" t="str">
        <f>'Unit Data from Audit Worksheet'!C110</f>
        <v>Net Position</v>
      </c>
      <c r="C99" s="585" t="str">
        <f>'Unit Data from Audit Worksheet'!D110</f>
        <v>Hospital-EF- Unrestricted Cash &amp; Invest. [Incl.all but Held by Trustee or 3rd party restricted](BS)</v>
      </c>
      <c r="D99" s="357"/>
      <c r="E99" s="152">
        <f>'Unit Data from Audit Worksheet'!F110</f>
        <v>0</v>
      </c>
      <c r="F99" s="47"/>
      <c r="G99" s="72"/>
      <c r="H99" s="350"/>
      <c r="I99" s="38"/>
      <c r="J99" s="42">
        <v>34</v>
      </c>
      <c r="K99" s="51" t="s">
        <v>1363</v>
      </c>
      <c r="L99" s="586">
        <f t="shared" si="9"/>
        <v>0</v>
      </c>
      <c r="P99" s="319"/>
      <c r="X99" s="583"/>
      <c r="Y99" s="583"/>
      <c r="Z99" s="3" t="s">
        <v>1361</v>
      </c>
    </row>
    <row r="100" spans="1:26" ht="60" customHeight="1" x14ac:dyDescent="0.3">
      <c r="A100" s="584">
        <f>'Unit Data from Audit Worksheet'!A111</f>
        <v>35</v>
      </c>
      <c r="B100" s="54" t="str">
        <f>'Unit Data from Audit Worksheet'!C111</f>
        <v>Net Position</v>
      </c>
      <c r="C100" s="585" t="str">
        <f>'Unit Data from Audit Worksheet'!D111</f>
        <v>Mental Health or Hospital-EF- Patient Accounts Receivable, Net of Allowance for Bad Debt</v>
      </c>
      <c r="D100" s="357"/>
      <c r="E100" s="152">
        <f>'Unit Data from Audit Worksheet'!F111</f>
        <v>0</v>
      </c>
      <c r="F100" s="47"/>
      <c r="G100" s="72"/>
      <c r="H100" s="350"/>
      <c r="I100" s="38"/>
      <c r="J100" s="42">
        <v>35</v>
      </c>
      <c r="K100" s="51" t="s">
        <v>1364</v>
      </c>
      <c r="L100" s="586">
        <f t="shared" si="9"/>
        <v>0</v>
      </c>
      <c r="P100" s="319"/>
      <c r="X100" s="583"/>
      <c r="Y100" s="583"/>
      <c r="Z100" s="3" t="s">
        <v>1361</v>
      </c>
    </row>
    <row r="101" spans="1:26" ht="60" customHeight="1" x14ac:dyDescent="0.3">
      <c r="A101" s="584">
        <f>'Unit Data from Audit Worksheet'!A112</f>
        <v>37</v>
      </c>
      <c r="B101" s="54" t="str">
        <f>'Unit Data from Audit Worksheet'!C112</f>
        <v>Net Position</v>
      </c>
      <c r="C101" s="585" t="str">
        <f>'Unit Data from Audit Worksheet'!D112</f>
        <v>Total Long-term debt (non current portion only) - enter as a positive</v>
      </c>
      <c r="D101" s="357"/>
      <c r="E101" s="152">
        <f>'Unit Data from Audit Worksheet'!F112</f>
        <v>0</v>
      </c>
      <c r="F101" s="47"/>
      <c r="G101" s="72"/>
      <c r="H101" s="350"/>
      <c r="I101" s="38"/>
      <c r="J101" s="42">
        <v>37</v>
      </c>
      <c r="K101" s="51" t="s">
        <v>1374</v>
      </c>
      <c r="L101" s="586">
        <f t="shared" si="9"/>
        <v>0</v>
      </c>
      <c r="P101" s="319"/>
      <c r="X101" s="583"/>
      <c r="Y101" s="583"/>
      <c r="Z101" s="3" t="s">
        <v>1361</v>
      </c>
    </row>
    <row r="102" spans="1:26" ht="60" customHeight="1" x14ac:dyDescent="0.3">
      <c r="A102" s="584">
        <f>'Unit Data from Audit Worksheet'!A113</f>
        <v>38</v>
      </c>
      <c r="B102" s="54" t="str">
        <f>'Unit Data from Audit Worksheet'!C113</f>
        <v>Net Position</v>
      </c>
      <c r="C102" s="585" t="str">
        <f>'Unit Data from Audit Worksheet'!D113</f>
        <v>Unrestricted fund equity or net position</v>
      </c>
      <c r="D102" s="357"/>
      <c r="E102" s="152">
        <f>'Unit Data from Audit Worksheet'!F113</f>
        <v>0</v>
      </c>
      <c r="F102" s="47"/>
      <c r="G102" s="72"/>
      <c r="H102" s="350"/>
      <c r="I102" s="38"/>
      <c r="J102" s="42">
        <v>38</v>
      </c>
      <c r="K102" s="51" t="s">
        <v>1365</v>
      </c>
      <c r="L102" s="586">
        <f t="shared" si="9"/>
        <v>0</v>
      </c>
      <c r="P102" s="319"/>
      <c r="X102" s="583"/>
      <c r="Y102" s="583"/>
      <c r="Z102" s="3" t="s">
        <v>1361</v>
      </c>
    </row>
    <row r="103" spans="1:26" ht="60" customHeight="1" x14ac:dyDescent="0.3">
      <c r="A103" s="584">
        <f>'Unit Data from Audit Worksheet'!A114</f>
        <v>32</v>
      </c>
      <c r="B103" s="54" t="str">
        <f>'Unit Data from Audit Worksheet'!C114</f>
        <v>Combined Totals of all Proprietary Funds - Revenue, Expenses, Changes in Net Position</v>
      </c>
      <c r="C103" s="585" t="str">
        <f>'Unit Data from Audit Worksheet'!D114</f>
        <v>Combined Totals of all proprietary Funds - Depreciation &amp; Amortization Expense</v>
      </c>
      <c r="D103" s="357"/>
      <c r="E103" s="152">
        <f>'Unit Data from Audit Worksheet'!F114</f>
        <v>0</v>
      </c>
      <c r="F103" s="47"/>
      <c r="G103" s="72"/>
      <c r="H103" s="350"/>
      <c r="I103" s="38"/>
      <c r="J103" s="42">
        <v>32</v>
      </c>
      <c r="K103" s="51" t="s">
        <v>1353</v>
      </c>
      <c r="L103" s="586">
        <f t="shared" si="9"/>
        <v>0</v>
      </c>
      <c r="P103" s="319"/>
      <c r="X103" s="583"/>
      <c r="Y103" s="583"/>
      <c r="Z103" s="3" t="s">
        <v>1361</v>
      </c>
    </row>
    <row r="104" spans="1:26" ht="60" customHeight="1" x14ac:dyDescent="0.3">
      <c r="A104" s="584">
        <f>'Unit Data from Audit Worksheet'!A115</f>
        <v>40</v>
      </c>
      <c r="B104" s="54" t="str">
        <f>'Unit Data from Audit Worksheet'!C115</f>
        <v>Revenue, Expenses, Changes in Net Position</v>
      </c>
      <c r="C104" s="585" t="str">
        <f>'Unit Data from Audit Worksheet'!D115</f>
        <v>Net Patient Revenues</v>
      </c>
      <c r="D104" s="357"/>
      <c r="E104" s="152">
        <f>'Unit Data from Audit Worksheet'!F115</f>
        <v>0</v>
      </c>
      <c r="F104" s="47"/>
      <c r="G104" s="72"/>
      <c r="H104" s="350"/>
      <c r="I104" s="38"/>
      <c r="J104" s="42">
        <v>40</v>
      </c>
      <c r="K104" s="51" t="s">
        <v>1367</v>
      </c>
      <c r="L104" s="586">
        <f t="shared" si="9"/>
        <v>0</v>
      </c>
      <c r="P104" s="319"/>
      <c r="X104" s="583"/>
      <c r="Y104" s="583"/>
      <c r="Z104" s="3" t="s">
        <v>1361</v>
      </c>
    </row>
    <row r="105" spans="1:26" ht="60" customHeight="1" x14ac:dyDescent="0.3">
      <c r="A105" s="584">
        <f>'Unit Data from Audit Worksheet'!A116</f>
        <v>107</v>
      </c>
      <c r="B105" s="54" t="str">
        <f>'Unit Data from Audit Worksheet'!C116</f>
        <v>Revenue, Expenses, Changes in Net Position</v>
      </c>
      <c r="C105" s="585" t="str">
        <f>'Unit Data from Audit Worksheet'!D116</f>
        <v>Total Operating Revenues</v>
      </c>
      <c r="D105" s="357"/>
      <c r="E105" s="152">
        <f>'Unit Data from Audit Worksheet'!F116</f>
        <v>0</v>
      </c>
      <c r="F105" s="47"/>
      <c r="G105" s="72"/>
      <c r="H105" s="350"/>
      <c r="I105" s="38"/>
      <c r="J105" s="42">
        <v>107</v>
      </c>
      <c r="K105" s="51" t="s">
        <v>1368</v>
      </c>
      <c r="L105" s="586">
        <f t="shared" si="9"/>
        <v>0</v>
      </c>
      <c r="P105" s="319"/>
      <c r="X105" s="583"/>
      <c r="Y105" s="583"/>
      <c r="Z105" s="3" t="s">
        <v>1361</v>
      </c>
    </row>
    <row r="106" spans="1:26" ht="60" customHeight="1" x14ac:dyDescent="0.3">
      <c r="A106" s="584">
        <f>'Unit Data from Audit Worksheet'!A117</f>
        <v>108</v>
      </c>
      <c r="B106" s="54" t="str">
        <f>'Unit Data from Audit Worksheet'!C117</f>
        <v>Revenue, Expenses, Changes in Net Position</v>
      </c>
      <c r="C106" s="585" t="str">
        <f>'Unit Data from Audit Worksheet'!D117</f>
        <v>Total Operating Expenses. May include Interest Expense - Enter as a positive</v>
      </c>
      <c r="D106" s="357"/>
      <c r="E106" s="152">
        <f>'Unit Data from Audit Worksheet'!F117</f>
        <v>0</v>
      </c>
      <c r="F106" s="47"/>
      <c r="G106" s="72"/>
      <c r="H106" s="350"/>
      <c r="I106" s="38"/>
      <c r="J106" s="42">
        <v>108</v>
      </c>
      <c r="K106" s="51" t="s">
        <v>1375</v>
      </c>
      <c r="L106" s="586">
        <f t="shared" si="9"/>
        <v>0</v>
      </c>
      <c r="P106" s="319"/>
      <c r="X106" s="583"/>
      <c r="Y106" s="583"/>
      <c r="Z106" s="3" t="s">
        <v>1361</v>
      </c>
    </row>
    <row r="107" spans="1:26" ht="60" customHeight="1" x14ac:dyDescent="0.3">
      <c r="A107" s="584">
        <f>'Unit Data from Audit Worksheet'!A118</f>
        <v>41</v>
      </c>
      <c r="B107" s="54" t="str">
        <f>'Unit Data from Audit Worksheet'!C118</f>
        <v>Revenue, Expenses, Changes in Net Position</v>
      </c>
      <c r="C107" s="585" t="str">
        <f>'Unit Data from Audit Worksheet'!D118</f>
        <v xml:space="preserve">Interest Expense - Enter as a positive </v>
      </c>
      <c r="D107" s="357"/>
      <c r="E107" s="152">
        <f>'Unit Data from Audit Worksheet'!F118</f>
        <v>0</v>
      </c>
      <c r="F107" s="47"/>
      <c r="G107" s="72"/>
      <c r="H107" s="350"/>
      <c r="I107" s="38"/>
      <c r="J107" s="42">
        <v>41</v>
      </c>
      <c r="K107" s="51" t="s">
        <v>1376</v>
      </c>
      <c r="L107" s="586">
        <f t="shared" si="9"/>
        <v>0</v>
      </c>
      <c r="P107" s="319"/>
      <c r="X107" s="583"/>
      <c r="Y107" s="583"/>
      <c r="Z107" s="3" t="s">
        <v>1361</v>
      </c>
    </row>
    <row r="108" spans="1:26" ht="60" customHeight="1" x14ac:dyDescent="0.3">
      <c r="A108" s="584">
        <f>'Unit Data from Audit Worksheet'!A119</f>
        <v>194</v>
      </c>
      <c r="B108" s="54" t="str">
        <f>'Unit Data from Audit Worksheet'!C119</f>
        <v>Revenue, Expenses, Changes in Net Position</v>
      </c>
      <c r="C108" s="585" t="str">
        <f>'Unit Data from Audit Worksheet'!D119</f>
        <v xml:space="preserve">Capital Contributions </v>
      </c>
      <c r="D108" s="357"/>
      <c r="E108" s="152">
        <f>'Unit Data from Audit Worksheet'!F119</f>
        <v>0</v>
      </c>
      <c r="F108" s="47"/>
      <c r="G108" s="72"/>
      <c r="H108" s="350"/>
      <c r="I108" s="38"/>
      <c r="J108" s="42">
        <v>194</v>
      </c>
      <c r="K108" s="51" t="s">
        <v>1369</v>
      </c>
      <c r="L108" s="586">
        <f t="shared" si="9"/>
        <v>0</v>
      </c>
      <c r="P108" s="319"/>
      <c r="X108" s="583"/>
      <c r="Y108" s="583"/>
      <c r="Z108" s="3" t="s">
        <v>1361</v>
      </c>
    </row>
    <row r="109" spans="1:26" ht="60" customHeight="1" x14ac:dyDescent="0.3">
      <c r="A109" s="584">
        <f>'Unit Data from Audit Worksheet'!A120</f>
        <v>294</v>
      </c>
      <c r="B109" s="54" t="str">
        <f>'Unit Data from Audit Worksheet'!C120</f>
        <v>Revenue, Expenses, Changes in Net Position</v>
      </c>
      <c r="C109" s="585" t="str">
        <f>'Unit Data from Audit Worksheet'!D120</f>
        <v>Change in Net Position</v>
      </c>
      <c r="D109" s="357"/>
      <c r="E109" s="152">
        <f>'Unit Data from Audit Worksheet'!F120</f>
        <v>0</v>
      </c>
      <c r="F109" s="47"/>
      <c r="G109" s="72"/>
      <c r="H109" s="350"/>
      <c r="I109" s="38"/>
      <c r="J109" s="42">
        <v>294</v>
      </c>
      <c r="K109" s="51" t="s">
        <v>1370</v>
      </c>
      <c r="L109" s="586">
        <f t="shared" si="9"/>
        <v>0</v>
      </c>
      <c r="P109" s="319"/>
      <c r="X109" s="583"/>
      <c r="Y109" s="583"/>
      <c r="Z109" s="3" t="s">
        <v>1361</v>
      </c>
    </row>
    <row r="110" spans="1:26" ht="76.8" customHeight="1" x14ac:dyDescent="0.3">
      <c r="A110" s="584">
        <f>'Unit Data from Audit Worksheet'!A123</f>
        <v>31</v>
      </c>
      <c r="B110" s="54" t="str">
        <f>'Unit Data from Audit Worksheet'!C123</f>
        <v>Combined Totals of all Proprietary Funds - Revenue, Expenses, Changes in Net Position</v>
      </c>
      <c r="C110" s="585" t="str">
        <f>'Unit Data from Audit Worksheet'!D123</f>
        <v>Combined Totals of all Proprietary Funds - Change in net position - (increase in net position is recorded as a positive and a decrease in net position is recorded as a negative)</v>
      </c>
      <c r="D110" s="357"/>
      <c r="E110" s="152">
        <f>'Unit Data from Audit Worksheet'!F123</f>
        <v>0</v>
      </c>
      <c r="F110" s="47"/>
      <c r="G110" s="72"/>
      <c r="H110" s="350"/>
      <c r="I110" s="38"/>
      <c r="J110" s="42">
        <v>31</v>
      </c>
      <c r="K110" s="51" t="s">
        <v>1354</v>
      </c>
      <c r="L110" s="586">
        <f t="shared" si="9"/>
        <v>0</v>
      </c>
      <c r="P110" s="319"/>
      <c r="X110" s="583"/>
      <c r="Y110" s="583"/>
    </row>
    <row r="111" spans="1:26" ht="60" customHeight="1" x14ac:dyDescent="0.3">
      <c r="A111" s="584">
        <f>'Unit Data from Audit Worksheet'!A124</f>
        <v>193</v>
      </c>
      <c r="B111" s="54" t="str">
        <f>'Unit Data from Audit Worksheet'!C124</f>
        <v>Combined Proprietary Funds - Change in Cash Flow Statement</v>
      </c>
      <c r="C111" s="585" t="str">
        <f>'Unit Data from Audit Worksheet'!D124</f>
        <v>Combined Totals of all Proprietary Funds - Capital Contributions</v>
      </c>
      <c r="D111" s="357"/>
      <c r="E111" s="152">
        <f>'Unit Data from Audit Worksheet'!F124</f>
        <v>0</v>
      </c>
      <c r="F111" s="47"/>
      <c r="G111" s="72"/>
      <c r="H111" s="350"/>
      <c r="I111" s="38"/>
      <c r="J111" s="42">
        <v>193</v>
      </c>
      <c r="K111" s="51" t="s">
        <v>383</v>
      </c>
      <c r="L111" s="586">
        <f t="shared" si="9"/>
        <v>0</v>
      </c>
      <c r="P111" s="319"/>
      <c r="X111" s="583"/>
      <c r="Y111" s="583"/>
    </row>
    <row r="112" spans="1:26" ht="60" customHeight="1" x14ac:dyDescent="0.3">
      <c r="A112" s="584">
        <f>'Unit Data from Audit Worksheet'!A125</f>
        <v>33</v>
      </c>
      <c r="B112" s="54" t="str">
        <f>'Unit Data from Audit Worksheet'!C125</f>
        <v>Combined Proprietary Funds - Change in Cash Flow Statement</v>
      </c>
      <c r="C112" s="585" t="str">
        <f>'Unit Data from Audit Worksheet'!D125</f>
        <v>Combined Totals of all Proprietary Funds - Cash Flow from Operating</v>
      </c>
      <c r="D112" s="357"/>
      <c r="E112" s="152">
        <f>'Unit Data from Audit Worksheet'!F125</f>
        <v>0</v>
      </c>
      <c r="F112" s="47"/>
      <c r="G112" s="72"/>
      <c r="H112" s="350"/>
      <c r="I112" s="38"/>
      <c r="J112" s="42">
        <v>33</v>
      </c>
      <c r="K112" s="51" t="s">
        <v>318</v>
      </c>
      <c r="L112" s="586">
        <f t="shared" si="9"/>
        <v>0</v>
      </c>
      <c r="P112" s="319"/>
      <c r="X112" s="583"/>
      <c r="Y112" s="583"/>
    </row>
    <row r="113" spans="1:26" ht="60" customHeight="1" x14ac:dyDescent="0.3">
      <c r="A113" s="584">
        <f>'Unit Data from Audit Worksheet'!A126</f>
        <v>104</v>
      </c>
      <c r="B113" s="54" t="str">
        <f>'Unit Data from Audit Worksheet'!C126</f>
        <v>Cash Flows</v>
      </c>
      <c r="C113" s="585" t="str">
        <f>'Unit Data from Audit Worksheet'!D126</f>
        <v>Capital Outlays</v>
      </c>
      <c r="D113" s="144"/>
      <c r="E113" s="152">
        <f>'Unit Data from Audit Worksheet'!F126</f>
        <v>0</v>
      </c>
      <c r="F113" s="47"/>
      <c r="G113" s="72"/>
      <c r="H113" s="350"/>
      <c r="I113" s="38"/>
      <c r="J113" s="42">
        <v>104</v>
      </c>
      <c r="K113" s="51" t="s">
        <v>1372</v>
      </c>
      <c r="L113" s="586">
        <f t="shared" si="9"/>
        <v>0</v>
      </c>
      <c r="P113" s="319"/>
      <c r="X113" s="583"/>
      <c r="Y113" s="583"/>
      <c r="Z113" s="3" t="s">
        <v>1361</v>
      </c>
    </row>
    <row r="114" spans="1:26" ht="60" customHeight="1" x14ac:dyDescent="0.3">
      <c r="A114" s="584">
        <f>'Unit Data from Audit Worksheet'!A127</f>
        <v>39</v>
      </c>
      <c r="B114" s="54" t="str">
        <f>'Unit Data from Audit Worksheet'!C127</f>
        <v>Cash Flows</v>
      </c>
      <c r="C114" s="585" t="str">
        <f>'Unit Data from Audit Worksheet'!D127</f>
        <v>Principal Paid - Long-term Debt</v>
      </c>
      <c r="D114" s="144"/>
      <c r="E114" s="152">
        <f>'Unit Data from Audit Worksheet'!F127</f>
        <v>0</v>
      </c>
      <c r="F114" s="47"/>
      <c r="G114" s="72"/>
      <c r="H114" s="350"/>
      <c r="I114" s="38"/>
      <c r="J114" s="42">
        <v>39</v>
      </c>
      <c r="K114" s="51" t="s">
        <v>1373</v>
      </c>
      <c r="L114" s="586">
        <f t="shared" si="9"/>
        <v>0</v>
      </c>
      <c r="P114" s="319"/>
      <c r="X114" s="583"/>
      <c r="Y114" s="583"/>
      <c r="Z114" s="3" t="s">
        <v>1361</v>
      </c>
    </row>
    <row r="115" spans="1:26" ht="60" customHeight="1" x14ac:dyDescent="0.3">
      <c r="A115" s="338">
        <f>'Unit Data from Audit Worksheet'!A131</f>
        <v>596</v>
      </c>
      <c r="B115" s="352"/>
      <c r="C115" s="337" t="str">
        <f>'Unit Data from Audit Worksheet'!D131</f>
        <v>Indicate if your water/sewer system:
50 - Became Operational
51 - Ceased Operations
52 - No Change</v>
      </c>
      <c r="D115" s="144"/>
      <c r="E115" s="358">
        <f>'Unit Data from Audit Worksheet'!F131</f>
        <v>0</v>
      </c>
      <c r="F115" s="351"/>
      <c r="G115" s="351"/>
      <c r="H115" s="350">
        <f>'Unit Data from Audit Worksheet'!I131</f>
        <v>0</v>
      </c>
      <c r="I115" s="38"/>
      <c r="J115" s="349">
        <v>596</v>
      </c>
      <c r="K115" s="348" t="s">
        <v>616</v>
      </c>
      <c r="L115" s="586">
        <f t="shared" si="9"/>
        <v>0</v>
      </c>
      <c r="P115" s="320"/>
      <c r="W115" s="3" t="b">
        <f t="shared" si="10"/>
        <v>1</v>
      </c>
      <c r="X115" s="583">
        <f t="shared" si="1"/>
        <v>0</v>
      </c>
      <c r="Y115" s="583">
        <f t="shared" si="2"/>
        <v>0</v>
      </c>
    </row>
    <row r="116" spans="1:26" ht="43.2" x14ac:dyDescent="0.3">
      <c r="A116" s="338">
        <f>'Unit Data from Audit Worksheet'!A132</f>
        <v>80</v>
      </c>
      <c r="B116" s="352" t="str">
        <f>'Unit Data from Audit Worksheet'!C132</f>
        <v>Water Sewer Net Position Statement</v>
      </c>
      <c r="C116" s="337" t="str">
        <f>'Unit Data from Audit Worksheet'!D132</f>
        <v>Unrestricted Cash and investments 
Exclude restricted cash and/or restricted investments.</v>
      </c>
      <c r="D116" s="144"/>
      <c r="E116" s="358">
        <f>'Unit Data from Audit Worksheet'!F132</f>
        <v>0</v>
      </c>
      <c r="F116" s="351">
        <f>IF(L116&lt;0,"Error: Number is normally positive.",)</f>
        <v>0</v>
      </c>
      <c r="G116" s="351" t="e">
        <f>'Unit Data from Audit Worksheet'!G132</f>
        <v>#N/A</v>
      </c>
      <c r="H116" s="350">
        <f>'Unit Data from Audit Worksheet'!I132</f>
        <v>0</v>
      </c>
      <c r="I116" s="38"/>
      <c r="J116" s="349">
        <v>80</v>
      </c>
      <c r="K116" s="348" t="s">
        <v>218</v>
      </c>
      <c r="L116" s="586">
        <f t="shared" si="9"/>
        <v>0</v>
      </c>
      <c r="P116" s="320"/>
      <c r="W116" s="3" t="b">
        <f t="shared" si="10"/>
        <v>1</v>
      </c>
      <c r="X116" s="583">
        <f t="shared" si="1"/>
        <v>0</v>
      </c>
      <c r="Y116" s="583">
        <f t="shared" si="2"/>
        <v>0</v>
      </c>
    </row>
    <row r="117" spans="1:26" ht="43.2" x14ac:dyDescent="0.3">
      <c r="A117" s="338">
        <f>'Unit Data from Audit Worksheet'!A133</f>
        <v>81</v>
      </c>
      <c r="B117" s="352" t="str">
        <f>'Unit Data from Audit Worksheet'!C133</f>
        <v>Water Sewer Net Position Statement</v>
      </c>
      <c r="C117" s="337" t="str">
        <f>'Unit Data from Audit Worksheet'!D133</f>
        <v>Customer accounts receivable (net of allowance accounts). 
Include both billed and unbilled amounts.</v>
      </c>
      <c r="D117" s="144"/>
      <c r="E117" s="358">
        <f>'Unit Data from Audit Worksheet'!F133</f>
        <v>0</v>
      </c>
      <c r="F117" s="351">
        <f>IF(L117&lt;0,"Error: Number is normally positive.",)</f>
        <v>0</v>
      </c>
      <c r="G117" s="353"/>
      <c r="H117" s="350">
        <f>'Unit Data from Audit Worksheet'!I133</f>
        <v>0</v>
      </c>
      <c r="I117" s="38"/>
      <c r="J117" s="349">
        <v>81</v>
      </c>
      <c r="K117" s="348" t="s">
        <v>219</v>
      </c>
      <c r="L117" s="586">
        <f t="shared" si="9"/>
        <v>0</v>
      </c>
      <c r="P117" s="320"/>
      <c r="W117" s="3" t="b">
        <f t="shared" si="10"/>
        <v>1</v>
      </c>
      <c r="X117" s="583">
        <f t="shared" ref="X117:X181" si="12">E117-L117</f>
        <v>0</v>
      </c>
      <c r="Y117" s="583">
        <f t="shared" ref="Y117:Y181" si="13">D117-L117</f>
        <v>0</v>
      </c>
    </row>
    <row r="118" spans="1:26" ht="68.25" customHeight="1" x14ac:dyDescent="0.3">
      <c r="A118" s="338">
        <f>'Unit Data from Audit Worksheet'!A134</f>
        <v>579</v>
      </c>
      <c r="B118" s="352" t="str">
        <f>'Unit Data from Audit Worksheet'!C134</f>
        <v>Water Sewer Net Position Statement</v>
      </c>
      <c r="C118" s="337" t="str">
        <f>'Unit Data from Audit Worksheet'!D134</f>
        <v>Water Sewer - Advance To:
Interfund loan receivable-portion of repayment plan longer than 12 months</v>
      </c>
      <c r="D118" s="144"/>
      <c r="E118" s="358">
        <f>'Unit Data from Audit Worksheet'!F134</f>
        <v>0</v>
      </c>
      <c r="F118" s="351"/>
      <c r="G118" s="353"/>
      <c r="H118" s="350"/>
      <c r="I118" s="38"/>
      <c r="J118" s="349">
        <v>579</v>
      </c>
      <c r="K118" s="348" t="s">
        <v>563</v>
      </c>
      <c r="L118" s="586">
        <f t="shared" si="9"/>
        <v>0</v>
      </c>
      <c r="N118" s="610"/>
      <c r="P118" s="320"/>
      <c r="W118" s="3" t="b">
        <f t="shared" si="10"/>
        <v>1</v>
      </c>
      <c r="X118" s="583">
        <f t="shared" si="12"/>
        <v>0</v>
      </c>
      <c r="Y118" s="583">
        <f t="shared" si="13"/>
        <v>0</v>
      </c>
    </row>
    <row r="119" spans="1:26" ht="47.25" customHeight="1" x14ac:dyDescent="0.3">
      <c r="A119" s="338">
        <f>'Unit Data from Audit Worksheet'!A135</f>
        <v>510</v>
      </c>
      <c r="B119" s="352" t="str">
        <f>'Unit Data from Audit Worksheet'!C135</f>
        <v>Water Sewer Net Position Statement</v>
      </c>
      <c r="C119" s="337" t="str">
        <f>'Unit Data from Audit Worksheet'!D135</f>
        <v>Amount of Inventories and Prepaid expenses in current assets</v>
      </c>
      <c r="D119" s="144"/>
      <c r="E119" s="358">
        <f>'Unit Data from Audit Worksheet'!F135</f>
        <v>0</v>
      </c>
      <c r="F119" s="351"/>
      <c r="G119" s="353"/>
      <c r="H119" s="350">
        <f>'Unit Data from Audit Worksheet'!I135</f>
        <v>0</v>
      </c>
      <c r="I119" s="38"/>
      <c r="J119" s="349">
        <v>510</v>
      </c>
      <c r="K119" s="348" t="s">
        <v>220</v>
      </c>
      <c r="L119" s="586">
        <f t="shared" si="9"/>
        <v>0</v>
      </c>
      <c r="P119" s="320"/>
      <c r="W119" s="3" t="b">
        <f t="shared" si="10"/>
        <v>1</v>
      </c>
      <c r="X119" s="583">
        <f t="shared" si="12"/>
        <v>0</v>
      </c>
      <c r="Y119" s="583">
        <f t="shared" si="13"/>
        <v>0</v>
      </c>
    </row>
    <row r="120" spans="1:26" ht="43.2" x14ac:dyDescent="0.3">
      <c r="A120" s="338">
        <f>'Unit Data from Audit Worksheet'!A136</f>
        <v>654</v>
      </c>
      <c r="B120" s="352" t="str">
        <f>'Unit Data from Audit Worksheet'!C136</f>
        <v>Water Sewer Net Position Statement</v>
      </c>
      <c r="C120" s="337" t="str">
        <f>'Unit Data from Audit Worksheet'!D136</f>
        <v xml:space="preserve">Total Current assets as listed on the WS Net Position Statement.  
</v>
      </c>
      <c r="D120" s="144"/>
      <c r="E120" s="358">
        <f>'Unit Data from Audit Worksheet'!F136</f>
        <v>0</v>
      </c>
      <c r="F120" s="351">
        <f>IF((+L116+L117+L119)&gt;L120,"Please review components of current assets above Acct. (80+81+510&gt;654",)</f>
        <v>0</v>
      </c>
      <c r="G120" s="353" t="str">
        <f>IF(Q120=1," Included in error count"," ")</f>
        <v xml:space="preserve"> </v>
      </c>
      <c r="H120" s="350">
        <f>'Unit Data from Audit Worksheet'!I136</f>
        <v>0</v>
      </c>
      <c r="I120" s="38"/>
      <c r="J120" s="349">
        <v>654</v>
      </c>
      <c r="K120" s="355" t="s">
        <v>813</v>
      </c>
      <c r="L120" s="586">
        <f t="shared" si="9"/>
        <v>0</v>
      </c>
      <c r="P120" s="320"/>
      <c r="Q120" s="576">
        <f>IF((+L116+L117+L119)&gt;L120,1,0)</f>
        <v>0</v>
      </c>
      <c r="W120" s="3" t="b">
        <f t="shared" si="10"/>
        <v>1</v>
      </c>
      <c r="X120" s="583">
        <f t="shared" si="12"/>
        <v>0</v>
      </c>
      <c r="Y120" s="583">
        <f t="shared" si="13"/>
        <v>0</v>
      </c>
    </row>
    <row r="121" spans="1:26" ht="43.2" x14ac:dyDescent="0.3">
      <c r="A121" s="338">
        <f>'Unit Data from Audit Worksheet'!A137</f>
        <v>655</v>
      </c>
      <c r="B121" s="352" t="str">
        <f>'Unit Data from Audit Worksheet'!C137</f>
        <v>Water Sewer Net Position Statement</v>
      </c>
      <c r="C121" s="337" t="str">
        <f>'Unit Data from Audit Worksheet'!D137</f>
        <v>WS-Any current assets that are restricted (Cash, Accounts Rec., etc..) and included in account 654 above</v>
      </c>
      <c r="D121" s="144"/>
      <c r="E121" s="358">
        <f>'Unit Data from Audit Worksheet'!F137</f>
        <v>0</v>
      </c>
      <c r="F121" s="351"/>
      <c r="G121" s="353"/>
      <c r="H121" s="350"/>
      <c r="I121" s="38"/>
      <c r="J121" s="349">
        <v>655</v>
      </c>
      <c r="K121" s="355" t="s">
        <v>854</v>
      </c>
      <c r="L121" s="586">
        <f t="shared" si="9"/>
        <v>0</v>
      </c>
      <c r="P121" s="320"/>
      <c r="W121" s="3" t="b">
        <f t="shared" si="10"/>
        <v>1</v>
      </c>
      <c r="X121" s="583">
        <f t="shared" si="12"/>
        <v>0</v>
      </c>
      <c r="Y121" s="583">
        <f t="shared" si="13"/>
        <v>0</v>
      </c>
    </row>
    <row r="122" spans="1:26" ht="42.75" customHeight="1" x14ac:dyDescent="0.3">
      <c r="A122" s="338">
        <f>'Unit Data from Audit Worksheet'!A138</f>
        <v>381</v>
      </c>
      <c r="B122" s="352" t="str">
        <f>'Unit Data from Audit Worksheet'!C138</f>
        <v>Water Sewer Net Position Statement</v>
      </c>
      <c r="C122" s="337" t="str">
        <f>'Unit Data from Audit Worksheet'!D138</f>
        <v>Total Assets and deferred outflows</v>
      </c>
      <c r="D122" s="144"/>
      <c r="E122" s="358">
        <f>'Unit Data from Audit Worksheet'!F138</f>
        <v>0</v>
      </c>
      <c r="F122" s="351" t="str">
        <f>IF(L122&lt;L120,"Please review components of current assets above acct. 381&lt;654"," ")</f>
        <v xml:space="preserve"> </v>
      </c>
      <c r="G122" s="353" t="str">
        <f>IF(Q122=1," Included in error count"," ")</f>
        <v xml:space="preserve"> </v>
      </c>
      <c r="H122" s="350">
        <f>'Unit Data from Audit Worksheet'!I138</f>
        <v>0</v>
      </c>
      <c r="I122" s="38"/>
      <c r="J122" s="349">
        <v>381</v>
      </c>
      <c r="K122" s="348" t="s">
        <v>113</v>
      </c>
      <c r="L122" s="586">
        <f t="shared" si="9"/>
        <v>0</v>
      </c>
      <c r="P122" s="320"/>
      <c r="Q122" s="576">
        <f>IF(L122&lt;L120,1,0)</f>
        <v>0</v>
      </c>
      <c r="W122" s="3" t="b">
        <f t="shared" si="10"/>
        <v>1</v>
      </c>
      <c r="X122" s="583">
        <f t="shared" si="12"/>
        <v>0</v>
      </c>
      <c r="Y122" s="583">
        <f t="shared" si="13"/>
        <v>0</v>
      </c>
    </row>
    <row r="123" spans="1:26" ht="60.75" customHeight="1" x14ac:dyDescent="0.3">
      <c r="A123" s="598">
        <f>'Unit Data from Audit Worksheet'!A139</f>
        <v>578</v>
      </c>
      <c r="B123" s="117" t="str">
        <f>'Unit Data from Audit Worksheet'!C139</f>
        <v>Water Sewer Net Position Statement</v>
      </c>
      <c r="C123" s="588" t="str">
        <f>'Unit Data from Audit Worksheet'!D139</f>
        <v>Water Sewer - Advance From: 
Interfund loan Payable-portion of repayment plan longer than 12 months</v>
      </c>
      <c r="D123" s="110"/>
      <c r="E123" s="155">
        <f>'Unit Data from Audit Worksheet'!F139</f>
        <v>0</v>
      </c>
      <c r="F123" s="111"/>
      <c r="G123" s="112"/>
      <c r="H123" s="113"/>
      <c r="I123" s="38"/>
      <c r="J123" s="105">
        <v>578</v>
      </c>
      <c r="K123" s="44" t="s">
        <v>564</v>
      </c>
      <c r="L123" s="586">
        <f t="shared" si="9"/>
        <v>0</v>
      </c>
      <c r="P123" s="321"/>
      <c r="Q123" s="354"/>
      <c r="W123" s="3" t="b">
        <f t="shared" si="10"/>
        <v>1</v>
      </c>
      <c r="X123" s="583">
        <f t="shared" si="12"/>
        <v>0</v>
      </c>
      <c r="Y123" s="583">
        <f t="shared" si="13"/>
        <v>0</v>
      </c>
    </row>
    <row r="124" spans="1:26" s="18" customFormat="1" ht="104.25" customHeight="1" x14ac:dyDescent="0.3">
      <c r="A124" s="309">
        <v>633</v>
      </c>
      <c r="B124" s="365" t="str">
        <f>'Unit Data from Audit Worksheet'!C140</f>
        <v>Water Sewer Net Position Statement</v>
      </c>
      <c r="C124" s="309" t="str">
        <f>'Unit Data from Audit Worksheet'!D140</f>
        <v>Current liabilities (as reported on the Statement of Fund Net Position)
Include:   Current liabilities including current portion of long-term debt.  Deferred inflows should not be included in Current Liabilities  
Enter as positive</v>
      </c>
      <c r="D124" s="110"/>
      <c r="E124" s="364">
        <f>'Unit Data from Audit Worksheet'!F140</f>
        <v>0</v>
      </c>
      <c r="F124" s="346" t="str">
        <f>IF(L124&gt;=(L125+L126+L127+L128+L129+L130),"","Account 633 is less than the total sum of accounts 634 through 638 + 383")</f>
        <v/>
      </c>
      <c r="G124" s="331">
        <f>L124-(L125+L126+L127+L128+L129+L130)</f>
        <v>0</v>
      </c>
      <c r="H124" s="346"/>
      <c r="I124" s="599"/>
      <c r="J124" s="345">
        <v>633</v>
      </c>
      <c r="K124" s="312" t="s">
        <v>741</v>
      </c>
      <c r="L124" s="600">
        <f>IF(D124="",E124,D124)</f>
        <v>0</v>
      </c>
      <c r="M124" s="590"/>
      <c r="N124" s="590"/>
      <c r="O124" s="590"/>
      <c r="P124" s="322"/>
      <c r="Q124" s="591"/>
      <c r="R124" s="3"/>
      <c r="S124" s="590"/>
      <c r="T124" s="590"/>
      <c r="U124" s="590"/>
      <c r="V124" s="590"/>
      <c r="W124" s="18" t="b">
        <f t="shared" si="10"/>
        <v>1</v>
      </c>
      <c r="X124" s="592">
        <f t="shared" si="12"/>
        <v>0</v>
      </c>
      <c r="Y124" s="592">
        <f t="shared" si="13"/>
        <v>0</v>
      </c>
    </row>
    <row r="125" spans="1:26" s="18" customFormat="1" ht="130.5" customHeight="1" x14ac:dyDescent="0.3">
      <c r="A125" s="309">
        <v>634</v>
      </c>
      <c r="B125" s="365" t="str">
        <f>'Unit Data from Audit Worksheet'!C141</f>
        <v>Water Sewer Net Position Statement</v>
      </c>
      <c r="C125" s="309" t="str">
        <f>'Unit Data from Audit Worksheet'!D141</f>
        <v>Please enter any bond anticipation notes that are classified as current liabilities and included in account 633 above (amounts entered should agree to the current amount included in the changes to long-term debt note)
Enter as positive</v>
      </c>
      <c r="D125" s="110"/>
      <c r="E125" s="364">
        <f>'Unit Data from Audit Worksheet'!F141</f>
        <v>0</v>
      </c>
      <c r="F125" s="346"/>
      <c r="G125" s="331"/>
      <c r="H125" s="346"/>
      <c r="I125" s="599"/>
      <c r="J125" s="345">
        <v>634</v>
      </c>
      <c r="K125" s="312" t="s">
        <v>742</v>
      </c>
      <c r="L125" s="600">
        <f>IF(D125="",E125,D125)</f>
        <v>0</v>
      </c>
      <c r="M125" s="590"/>
      <c r="N125" s="590"/>
      <c r="O125" s="590"/>
      <c r="P125" s="322"/>
      <c r="Q125" s="591"/>
      <c r="R125" s="3"/>
      <c r="S125" s="590"/>
      <c r="T125" s="590"/>
      <c r="U125" s="590"/>
      <c r="V125" s="590"/>
      <c r="W125" s="18" t="b">
        <f t="shared" si="10"/>
        <v>1</v>
      </c>
      <c r="X125" s="592">
        <f t="shared" si="12"/>
        <v>0</v>
      </c>
      <c r="Y125" s="592">
        <f t="shared" si="13"/>
        <v>0</v>
      </c>
    </row>
    <row r="126" spans="1:26" s="18" customFormat="1" ht="105.75" customHeight="1" x14ac:dyDescent="0.3">
      <c r="A126" s="309">
        <v>635</v>
      </c>
      <c r="B126" s="365" t="str">
        <f>'Unit Data from Audit Worksheet'!C142</f>
        <v>Water Sewer Net Position Statement</v>
      </c>
      <c r="C126" s="309" t="str">
        <f>'Unit Data from Audit Worksheet'!D142</f>
        <v>Please enter any compensated absences that are classified as current liabilities and included in account 633 above (amounts entered should agree to the current amount included in the changes to long-term debt note)
Enter as positive</v>
      </c>
      <c r="D126" s="110"/>
      <c r="E126" s="364">
        <f>'Unit Data from Audit Worksheet'!F142</f>
        <v>0</v>
      </c>
      <c r="F126" s="346"/>
      <c r="G126" s="331"/>
      <c r="H126" s="346"/>
      <c r="I126" s="599"/>
      <c r="J126" s="345">
        <v>635</v>
      </c>
      <c r="K126" s="312" t="s">
        <v>743</v>
      </c>
      <c r="L126" s="600">
        <f>IF(D126="",E126,D126)</f>
        <v>0</v>
      </c>
      <c r="M126" s="590"/>
      <c r="N126" s="590"/>
      <c r="O126" s="590"/>
      <c r="P126" s="322"/>
      <c r="Q126" s="591"/>
      <c r="R126" s="3"/>
      <c r="S126" s="590"/>
      <c r="T126" s="590"/>
      <c r="U126" s="590"/>
      <c r="V126" s="590"/>
      <c r="W126" s="18" t="b">
        <f t="shared" si="10"/>
        <v>1</v>
      </c>
      <c r="X126" s="592">
        <f t="shared" si="12"/>
        <v>0</v>
      </c>
      <c r="Y126" s="592">
        <f t="shared" si="13"/>
        <v>0</v>
      </c>
    </row>
    <row r="127" spans="1:26" s="18" customFormat="1" ht="105.75" customHeight="1" x14ac:dyDescent="0.3">
      <c r="A127" s="309">
        <v>636</v>
      </c>
      <c r="B127" s="365" t="str">
        <f>'Unit Data from Audit Worksheet'!C143</f>
        <v>Water Sewer Net Position Statement</v>
      </c>
      <c r="C127" s="309" t="str">
        <f>'Unit Data from Audit Worksheet'!D143</f>
        <v>Please enter any pension liabilities that are classified as current liabilities and included in account 633 above (amounts entered should agree to the current amount included in the changes to long-term debt note)
Enter as positive</v>
      </c>
      <c r="D127" s="110"/>
      <c r="E127" s="364">
        <f>'Unit Data from Audit Worksheet'!F143</f>
        <v>0</v>
      </c>
      <c r="F127" s="346"/>
      <c r="G127" s="331"/>
      <c r="H127" s="346"/>
      <c r="I127" s="599"/>
      <c r="J127" s="345">
        <v>636</v>
      </c>
      <c r="K127" s="312" t="s">
        <v>738</v>
      </c>
      <c r="L127" s="600">
        <f t="shared" ref="L127:L137" si="14">IF(D127="",E127,D127)</f>
        <v>0</v>
      </c>
      <c r="M127" s="590"/>
      <c r="N127" s="590"/>
      <c r="O127" s="590"/>
      <c r="P127" s="322"/>
      <c r="Q127" s="591"/>
      <c r="R127" s="3"/>
      <c r="S127" s="590"/>
      <c r="T127" s="590"/>
      <c r="U127" s="590"/>
      <c r="V127" s="590"/>
      <c r="W127" s="18" t="b">
        <f t="shared" si="10"/>
        <v>1</v>
      </c>
      <c r="X127" s="592">
        <f t="shared" si="12"/>
        <v>0</v>
      </c>
      <c r="Y127" s="592">
        <f t="shared" si="13"/>
        <v>0</v>
      </c>
    </row>
    <row r="128" spans="1:26" s="18" customFormat="1" ht="59.25" customHeight="1" x14ac:dyDescent="0.3">
      <c r="A128" s="309">
        <v>637</v>
      </c>
      <c r="B128" s="365" t="str">
        <f>'Unit Data from Audit Worksheet'!C144</f>
        <v>Water Sewer Net Position Statement</v>
      </c>
      <c r="C128" s="309" t="str">
        <f>'Unit Data from Audit Worksheet'!D144</f>
        <v>Please enter any current liabilities that are payable from restricted assets and included in account 633 above.
Enter as positive</v>
      </c>
      <c r="D128" s="110"/>
      <c r="E128" s="364">
        <f>'Unit Data from Audit Worksheet'!F144</f>
        <v>0</v>
      </c>
      <c r="F128" s="346"/>
      <c r="G128" s="331"/>
      <c r="H128" s="346"/>
      <c r="I128" s="599"/>
      <c r="J128" s="345">
        <v>637</v>
      </c>
      <c r="K128" s="312" t="s">
        <v>739</v>
      </c>
      <c r="L128" s="600">
        <f t="shared" si="14"/>
        <v>0</v>
      </c>
      <c r="M128" s="590"/>
      <c r="N128" s="590"/>
      <c r="O128" s="590"/>
      <c r="P128" s="322"/>
      <c r="Q128" s="591"/>
      <c r="R128" s="3"/>
      <c r="S128" s="590"/>
      <c r="T128" s="590"/>
      <c r="U128" s="590"/>
      <c r="V128" s="590"/>
      <c r="W128" s="18" t="b">
        <f t="shared" si="10"/>
        <v>1</v>
      </c>
      <c r="X128" s="592">
        <f t="shared" si="12"/>
        <v>0</v>
      </c>
      <c r="Y128" s="592">
        <f t="shared" si="13"/>
        <v>0</v>
      </c>
    </row>
    <row r="129" spans="1:25" s="18" customFormat="1" ht="103.5" customHeight="1" x14ac:dyDescent="0.3">
      <c r="A129" s="309">
        <v>638</v>
      </c>
      <c r="B129" s="365" t="str">
        <f>'Unit Data from Audit Worksheet'!C145</f>
        <v>Water Sewer Net Position Statement</v>
      </c>
      <c r="C129" s="309" t="str">
        <f>'Unit Data from Audit Worksheet'!D145</f>
        <v>Please enter any OPEB liabilities that are classified as current liabilities and included in account 633 above (amounts entered should agree to the current amount included in the changes to long-term debt note)
Enter as positive</v>
      </c>
      <c r="D129" s="110"/>
      <c r="E129" s="364">
        <f>'Unit Data from Audit Worksheet'!F145</f>
        <v>0</v>
      </c>
      <c r="F129" s="346"/>
      <c r="G129" s="331"/>
      <c r="H129" s="346"/>
      <c r="I129" s="599"/>
      <c r="J129" s="345">
        <v>638</v>
      </c>
      <c r="K129" s="312" t="s">
        <v>744</v>
      </c>
      <c r="L129" s="600">
        <f t="shared" si="14"/>
        <v>0</v>
      </c>
      <c r="M129" s="590"/>
      <c r="N129" s="590"/>
      <c r="O129" s="590"/>
      <c r="P129" s="322"/>
      <c r="Q129" s="591"/>
      <c r="R129" s="3"/>
      <c r="S129" s="590"/>
      <c r="T129" s="590"/>
      <c r="U129" s="590"/>
      <c r="V129" s="590"/>
      <c r="W129" s="18" t="b">
        <f t="shared" si="10"/>
        <v>1</v>
      </c>
      <c r="X129" s="592">
        <f t="shared" si="12"/>
        <v>0</v>
      </c>
      <c r="Y129" s="592">
        <f t="shared" si="13"/>
        <v>0</v>
      </c>
    </row>
    <row r="130" spans="1:25" ht="76.5" customHeight="1" x14ac:dyDescent="0.3">
      <c r="A130" s="584">
        <f>'Unit Data from Audit Worksheet'!A146</f>
        <v>383</v>
      </c>
      <c r="B130" s="54" t="str">
        <f>'Unit Data from Audit Worksheet'!C146</f>
        <v>Water Sewer Net Position Statement</v>
      </c>
      <c r="C130" s="585" t="str">
        <f>'Unit Data from Audit Worksheet'!D146</f>
        <v>Unearned revenue (arising from cash receipts) that were included in Current Liabilities in the question in account 633 above.
Enter as positive</v>
      </c>
      <c r="D130" s="144"/>
      <c r="E130" s="152">
        <f>'Unit Data from Audit Worksheet'!F146</f>
        <v>0</v>
      </c>
      <c r="F130" s="47">
        <f>IF(L130&lt;0,"Error: Enter as a positive.",)</f>
        <v>0</v>
      </c>
      <c r="G130" s="72"/>
      <c r="H130" s="350">
        <f>'Unit Data from Audit Worksheet'!I146</f>
        <v>0</v>
      </c>
      <c r="I130" s="38"/>
      <c r="J130" s="42">
        <v>383</v>
      </c>
      <c r="K130" s="51" t="s">
        <v>221</v>
      </c>
      <c r="L130" s="586">
        <f t="shared" si="14"/>
        <v>0</v>
      </c>
      <c r="P130" s="319"/>
      <c r="W130" s="3" t="b">
        <f t="shared" si="10"/>
        <v>1</v>
      </c>
      <c r="X130" s="583">
        <f t="shared" si="12"/>
        <v>0</v>
      </c>
      <c r="Y130" s="583">
        <f t="shared" si="13"/>
        <v>0</v>
      </c>
    </row>
    <row r="131" spans="1:25" ht="54" customHeight="1" x14ac:dyDescent="0.3">
      <c r="A131" s="338">
        <f>'Unit Data from Audit Worksheet'!A147</f>
        <v>349</v>
      </c>
      <c r="B131" s="352" t="str">
        <f>'Unit Data from Audit Worksheet'!C147</f>
        <v>Water Sewer Net Position Statement</v>
      </c>
      <c r="C131" s="337" t="str">
        <f>'Unit Data from Audit Worksheet'!D147</f>
        <v>Total Liabilities and deferred inflows</v>
      </c>
      <c r="D131" s="144"/>
      <c r="E131" s="358">
        <f>'Unit Data from Audit Worksheet'!F147</f>
        <v>0</v>
      </c>
      <c r="F131" s="351">
        <f>IF(L124&gt;L131,"Error: Please review accts 633&gt;349",)</f>
        <v>0</v>
      </c>
      <c r="G131" s="353" t="str">
        <f>IF(Q131=1," Included in error count"," ")</f>
        <v xml:space="preserve"> </v>
      </c>
      <c r="H131" s="350">
        <f>'Unit Data from Audit Worksheet'!I147</f>
        <v>0</v>
      </c>
      <c r="I131" s="38"/>
      <c r="J131" s="349">
        <v>349</v>
      </c>
      <c r="K131" s="348" t="s">
        <v>122</v>
      </c>
      <c r="L131" s="586">
        <f t="shared" si="14"/>
        <v>0</v>
      </c>
      <c r="P131" s="320"/>
      <c r="Q131" s="576">
        <f>IF(L124&gt;L131,1,0)</f>
        <v>0</v>
      </c>
      <c r="W131" s="3" t="b">
        <f t="shared" si="10"/>
        <v>1</v>
      </c>
      <c r="X131" s="583">
        <f t="shared" si="12"/>
        <v>0</v>
      </c>
      <c r="Y131" s="583">
        <f t="shared" si="13"/>
        <v>0</v>
      </c>
    </row>
    <row r="132" spans="1:25" ht="56.25" customHeight="1" x14ac:dyDescent="0.3">
      <c r="A132" s="338">
        <f>'Unit Data from Audit Worksheet'!A148</f>
        <v>375</v>
      </c>
      <c r="B132" s="352" t="str">
        <f>'Unit Data from Audit Worksheet'!C148</f>
        <v>Water Sewer Net Position Statement</v>
      </c>
      <c r="C132" s="337" t="str">
        <f>'Unit Data from Audit Worksheet'!D148</f>
        <v>Total Net position, Unrestricted - enter negative unrestricted net position as a negative</v>
      </c>
      <c r="D132" s="144"/>
      <c r="E132" s="358">
        <f>'Unit Data from Audit Worksheet'!F148</f>
        <v>0</v>
      </c>
      <c r="F132" s="351"/>
      <c r="G132" s="353"/>
      <c r="H132" s="350">
        <f>'Unit Data from Audit Worksheet'!I148</f>
        <v>0</v>
      </c>
      <c r="I132" s="38"/>
      <c r="J132" s="349">
        <v>375</v>
      </c>
      <c r="K132" s="348" t="s">
        <v>222</v>
      </c>
      <c r="L132" s="586">
        <f t="shared" si="14"/>
        <v>0</v>
      </c>
      <c r="P132" s="320"/>
      <c r="W132" s="3" t="b">
        <f t="shared" si="10"/>
        <v>1</v>
      </c>
      <c r="X132" s="583">
        <f t="shared" si="12"/>
        <v>0</v>
      </c>
      <c r="Y132" s="583">
        <f t="shared" si="13"/>
        <v>0</v>
      </c>
    </row>
    <row r="133" spans="1:25" ht="56.25" customHeight="1" x14ac:dyDescent="0.3">
      <c r="A133" s="338">
        <f>'Unit Data from Audit Worksheet'!A149</f>
        <v>83</v>
      </c>
      <c r="B133" s="352" t="str">
        <f>'Unit Data from Audit Worksheet'!C149</f>
        <v>Water Sewer Net Position Statement</v>
      </c>
      <c r="C133" s="337" t="str">
        <f>'Unit Data from Audit Worksheet'!D149</f>
        <v>Total Net position</v>
      </c>
      <c r="D133" s="144"/>
      <c r="E133" s="358">
        <f>'Unit Data from Audit Worksheet'!F149</f>
        <v>0</v>
      </c>
      <c r="F133" s="351">
        <f>IF(+L122-L131-L133=0,,"Error: Total assets less total liabilities do not equal net position acct 381-349-83=0")</f>
        <v>0</v>
      </c>
      <c r="G133" s="91">
        <f>L122-L131-L133</f>
        <v>0</v>
      </c>
      <c r="H133" s="350">
        <f>'Unit Data from Audit Worksheet'!I149</f>
        <v>0</v>
      </c>
      <c r="I133" s="38"/>
      <c r="J133" s="349">
        <v>83</v>
      </c>
      <c r="K133" s="348" t="s">
        <v>102</v>
      </c>
      <c r="L133" s="586">
        <f t="shared" si="14"/>
        <v>0</v>
      </c>
      <c r="O133" s="594" t="e">
        <f>'Unit Data from Audit Worksheet'!E149</f>
        <v>#N/A</v>
      </c>
      <c r="P133" s="320"/>
      <c r="Q133" s="576">
        <f>IF(G133&lt;&gt;0,1,0)</f>
        <v>0</v>
      </c>
      <c r="W133" s="3" t="b">
        <f t="shared" ref="W133:W164" si="15">EXACT(A133,J133)</f>
        <v>1</v>
      </c>
      <c r="X133" s="583">
        <f t="shared" si="12"/>
        <v>0</v>
      </c>
      <c r="Y133" s="583">
        <f t="shared" si="13"/>
        <v>0</v>
      </c>
    </row>
    <row r="134" spans="1:25" ht="56.25" customHeight="1" x14ac:dyDescent="0.3">
      <c r="A134" s="338">
        <f>'Unit Data from Audit Worksheet'!A151</f>
        <v>90</v>
      </c>
      <c r="B134" s="352" t="str">
        <f>'Unit Data from Audit Worksheet'!C151</f>
        <v>Electric Fund Net Position Statement</v>
      </c>
      <c r="C134" s="337" t="str">
        <f>'Unit Data from Audit Worksheet'!D151</f>
        <v>All Unrestricted Cash and Investments.  
Exclude any restricted cash and investments.</v>
      </c>
      <c r="D134" s="144"/>
      <c r="E134" s="358">
        <f>'Unit Data from Audit Worksheet'!F151</f>
        <v>0</v>
      </c>
      <c r="F134" s="351">
        <f>IF(L134&lt;0,"Error: Number is normally positive.",)</f>
        <v>0</v>
      </c>
      <c r="G134" s="353"/>
      <c r="H134" s="350">
        <f>'Unit Data from Audit Worksheet'!I151</f>
        <v>0</v>
      </c>
      <c r="I134" s="38"/>
      <c r="J134" s="349">
        <v>90</v>
      </c>
      <c r="K134" s="348" t="s">
        <v>223</v>
      </c>
      <c r="L134" s="586">
        <f t="shared" si="14"/>
        <v>0</v>
      </c>
      <c r="P134" s="320"/>
      <c r="W134" s="3" t="b">
        <f t="shared" si="15"/>
        <v>1</v>
      </c>
      <c r="X134" s="583">
        <f t="shared" si="12"/>
        <v>0</v>
      </c>
      <c r="Y134" s="583">
        <f t="shared" si="13"/>
        <v>0</v>
      </c>
    </row>
    <row r="135" spans="1:25" ht="56.25" customHeight="1" x14ac:dyDescent="0.3">
      <c r="A135" s="338">
        <f>'Unit Data from Audit Worksheet'!A152</f>
        <v>91</v>
      </c>
      <c r="B135" s="352" t="str">
        <f>'Unit Data from Audit Worksheet'!C152</f>
        <v>Electric Fund Net Position Statement</v>
      </c>
      <c r="C135" s="337" t="str">
        <f>'Unit Data from Audit Worksheet'!D152</f>
        <v xml:space="preserve">Customer accounts receivable (net of allowance accounts)
Include billed and unbilled amounts </v>
      </c>
      <c r="D135" s="144"/>
      <c r="E135" s="358">
        <f>'Unit Data from Audit Worksheet'!F152</f>
        <v>0</v>
      </c>
      <c r="F135" s="351">
        <f>IF(L135&lt;0,"Error: Number is normally positive.",)</f>
        <v>0</v>
      </c>
      <c r="G135" s="353"/>
      <c r="H135" s="350">
        <f>'Unit Data from Audit Worksheet'!I152</f>
        <v>0</v>
      </c>
      <c r="I135" s="38"/>
      <c r="J135" s="349">
        <v>91</v>
      </c>
      <c r="K135" s="348" t="s">
        <v>224</v>
      </c>
      <c r="L135" s="586">
        <f t="shared" si="14"/>
        <v>0</v>
      </c>
      <c r="P135" s="320"/>
      <c r="W135" s="3" t="b">
        <f t="shared" si="15"/>
        <v>1</v>
      </c>
      <c r="X135" s="583">
        <f t="shared" si="12"/>
        <v>0</v>
      </c>
      <c r="Y135" s="583">
        <f t="shared" si="13"/>
        <v>0</v>
      </c>
    </row>
    <row r="136" spans="1:25" ht="56.25" customHeight="1" x14ac:dyDescent="0.3">
      <c r="A136" s="338">
        <f>'Unit Data from Audit Worksheet'!A153</f>
        <v>581</v>
      </c>
      <c r="B136" s="352" t="str">
        <f>'Unit Data from Audit Worksheet'!C153</f>
        <v>Electric Fund Net Position Statement</v>
      </c>
      <c r="C136" s="337" t="str">
        <f>'Unit Data from Audit Worksheet'!D153</f>
        <v>Electric Fund - Advance To:
Interfund loan receivable-portion of repayment plan longer than 12 months</v>
      </c>
      <c r="D136" s="144"/>
      <c r="E136" s="358">
        <f>'Unit Data from Audit Worksheet'!F153</f>
        <v>0</v>
      </c>
      <c r="F136" s="351"/>
      <c r="G136" s="353"/>
      <c r="H136" s="350"/>
      <c r="I136" s="38"/>
      <c r="J136" s="349">
        <v>581</v>
      </c>
      <c r="K136" s="348" t="s">
        <v>565</v>
      </c>
      <c r="L136" s="586">
        <f t="shared" si="14"/>
        <v>0</v>
      </c>
      <c r="P136" s="320"/>
      <c r="W136" s="3" t="b">
        <f t="shared" si="15"/>
        <v>1</v>
      </c>
      <c r="X136" s="583">
        <f t="shared" si="12"/>
        <v>0</v>
      </c>
      <c r="Y136" s="583">
        <f t="shared" si="13"/>
        <v>0</v>
      </c>
    </row>
    <row r="137" spans="1:25" ht="56.25" customHeight="1" x14ac:dyDescent="0.3">
      <c r="A137" s="338">
        <f>'Unit Data from Audit Worksheet'!A154</f>
        <v>511</v>
      </c>
      <c r="B137" s="352" t="str">
        <f>'Unit Data from Audit Worksheet'!C154</f>
        <v>Electric Fund Net Position Statement</v>
      </c>
      <c r="C137" s="337" t="str">
        <f>'Unit Data from Audit Worksheet'!D154</f>
        <v>Amount of inventories and prepaids</v>
      </c>
      <c r="D137" s="144"/>
      <c r="E137" s="358">
        <f>'Unit Data from Audit Worksheet'!F154</f>
        <v>0</v>
      </c>
      <c r="F137" s="351">
        <f t="shared" ref="F137:F142" si="16">IF(L137&lt;0,"Error: Number is normally positive.",)</f>
        <v>0</v>
      </c>
      <c r="G137" s="353"/>
      <c r="H137" s="350">
        <f>'Unit Data from Audit Worksheet'!I154</f>
        <v>0</v>
      </c>
      <c r="I137" s="38"/>
      <c r="J137" s="349">
        <v>511</v>
      </c>
      <c r="K137" s="348" t="s">
        <v>225</v>
      </c>
      <c r="L137" s="586">
        <f t="shared" si="14"/>
        <v>0</v>
      </c>
      <c r="P137" s="320"/>
      <c r="W137" s="3" t="b">
        <f t="shared" si="15"/>
        <v>1</v>
      </c>
      <c r="X137" s="583">
        <f t="shared" si="12"/>
        <v>0</v>
      </c>
      <c r="Y137" s="583">
        <f t="shared" si="13"/>
        <v>0</v>
      </c>
    </row>
    <row r="138" spans="1:25" ht="62.25" customHeight="1" x14ac:dyDescent="0.3">
      <c r="A138" s="338">
        <f>'Unit Data from Audit Worksheet'!A155</f>
        <v>657</v>
      </c>
      <c r="B138" s="352" t="str">
        <f>'Unit Data from Audit Worksheet'!C155</f>
        <v>Electric Fund Net Position Statement</v>
      </c>
      <c r="C138" s="337" t="str">
        <f>'Unit Data from Audit Worksheet'!D155</f>
        <v xml:space="preserve">Total Current assets as listed on the Electric Net Position Statement.  
</v>
      </c>
      <c r="D138" s="144"/>
      <c r="E138" s="358">
        <f>'Unit Data from Audit Worksheet'!F155</f>
        <v>0</v>
      </c>
      <c r="F138" s="351">
        <f t="shared" si="16"/>
        <v>0</v>
      </c>
      <c r="G138" s="353"/>
      <c r="H138" s="350">
        <f>'Unit Data from Audit Worksheet'!I155</f>
        <v>0</v>
      </c>
      <c r="I138" s="38"/>
      <c r="J138" s="349">
        <v>657</v>
      </c>
      <c r="K138" s="348" t="s">
        <v>818</v>
      </c>
      <c r="L138" s="600">
        <f>IF(D138="",E138,D138)</f>
        <v>0</v>
      </c>
      <c r="P138" s="320"/>
      <c r="Q138" s="576">
        <f>IF((L134+L135+L137)&gt;L140,1,0)</f>
        <v>0</v>
      </c>
      <c r="W138" s="3" t="b">
        <f t="shared" si="15"/>
        <v>1</v>
      </c>
      <c r="X138" s="583">
        <f t="shared" si="12"/>
        <v>0</v>
      </c>
      <c r="Y138" s="583">
        <f t="shared" si="13"/>
        <v>0</v>
      </c>
    </row>
    <row r="139" spans="1:25" ht="62.25" customHeight="1" x14ac:dyDescent="0.3">
      <c r="A139" s="338">
        <f>'Unit Data from Audit Worksheet'!A156</f>
        <v>658</v>
      </c>
      <c r="B139" s="352" t="str">
        <f>'Unit Data from Audit Worksheet'!C156</f>
        <v>Electric Fund Net Position Statement</v>
      </c>
      <c r="C139" s="337" t="str">
        <f>'Unit Data from Audit Worksheet'!D156</f>
        <v>Electric-Any current assets that are restricted (Cash, Accounts Rec., etc..) and included in account 657 above</v>
      </c>
      <c r="D139" s="144"/>
      <c r="E139" s="358">
        <f>'Unit Data from Audit Worksheet'!F156</f>
        <v>0</v>
      </c>
      <c r="F139" s="351">
        <f t="shared" si="16"/>
        <v>0</v>
      </c>
      <c r="G139" s="353"/>
      <c r="H139" s="350"/>
      <c r="I139" s="38"/>
      <c r="J139" s="349">
        <v>658</v>
      </c>
      <c r="K139" s="348" t="s">
        <v>853</v>
      </c>
      <c r="L139" s="600">
        <f>IF(D139="",E139,D139)</f>
        <v>0</v>
      </c>
      <c r="P139" s="320"/>
      <c r="W139" s="3" t="b">
        <f t="shared" si="15"/>
        <v>1</v>
      </c>
      <c r="X139" s="583">
        <f t="shared" si="12"/>
        <v>0</v>
      </c>
      <c r="Y139" s="583">
        <f t="shared" si="13"/>
        <v>0</v>
      </c>
    </row>
    <row r="140" spans="1:25" ht="39.75" customHeight="1" x14ac:dyDescent="0.3">
      <c r="A140" s="338">
        <f>'Unit Data from Audit Worksheet'!A157</f>
        <v>382</v>
      </c>
      <c r="B140" s="352" t="str">
        <f>'Unit Data from Audit Worksheet'!C157</f>
        <v>Electric Fund Net Position Statement</v>
      </c>
      <c r="C140" s="337" t="str">
        <f>'Unit Data from Audit Worksheet'!D157</f>
        <v>Total Assets and deferred outflows</v>
      </c>
      <c r="D140" s="144"/>
      <c r="E140" s="358">
        <f>'Unit Data from Audit Worksheet'!F157</f>
        <v>0</v>
      </c>
      <c r="F140" s="351">
        <f t="shared" si="16"/>
        <v>0</v>
      </c>
      <c r="G140" s="353"/>
      <c r="H140" s="350">
        <f>'Unit Data from Audit Worksheet'!I157</f>
        <v>0</v>
      </c>
      <c r="I140" s="38"/>
      <c r="J140" s="349">
        <v>382</v>
      </c>
      <c r="K140" s="348" t="s">
        <v>114</v>
      </c>
      <c r="L140" s="586">
        <f>IF(D140="",E140,D140)</f>
        <v>0</v>
      </c>
      <c r="P140" s="320"/>
      <c r="W140" s="3" t="b">
        <f t="shared" si="15"/>
        <v>1</v>
      </c>
      <c r="X140" s="583">
        <f t="shared" si="12"/>
        <v>0</v>
      </c>
      <c r="Y140" s="583">
        <f t="shared" si="13"/>
        <v>0</v>
      </c>
    </row>
    <row r="141" spans="1:25" ht="39.75" customHeight="1" x14ac:dyDescent="0.3">
      <c r="A141" s="338">
        <f>'Unit Data from Audit Worksheet'!A158</f>
        <v>360</v>
      </c>
      <c r="B141" s="352" t="str">
        <f>'Unit Data from Audit Worksheet'!C158</f>
        <v>Electric Fund Net Position Statement</v>
      </c>
      <c r="C141" s="337" t="str">
        <f>'Unit Data from Audit Worksheet'!D158</f>
        <v>Total liabilities and total deferred inflows</v>
      </c>
      <c r="D141" s="144"/>
      <c r="E141" s="358">
        <f>'Unit Data from Audit Worksheet'!F158</f>
        <v>0</v>
      </c>
      <c r="F141" s="351">
        <f t="shared" si="16"/>
        <v>0</v>
      </c>
      <c r="G141" s="353"/>
      <c r="H141" s="350">
        <f>'Unit Data from Audit Worksheet'!I158</f>
        <v>0</v>
      </c>
      <c r="I141" s="38"/>
      <c r="J141" s="349">
        <v>360</v>
      </c>
      <c r="K141" s="109" t="s">
        <v>125</v>
      </c>
      <c r="L141" s="586">
        <f>IF(D141="",E141,D141)</f>
        <v>0</v>
      </c>
      <c r="P141" s="320"/>
      <c r="W141" s="3" t="b">
        <f t="shared" si="15"/>
        <v>1</v>
      </c>
      <c r="X141" s="583">
        <f t="shared" si="12"/>
        <v>0</v>
      </c>
      <c r="Y141" s="583">
        <f t="shared" si="13"/>
        <v>0</v>
      </c>
    </row>
    <row r="142" spans="1:25" ht="58.5" customHeight="1" x14ac:dyDescent="0.3">
      <c r="A142" s="338">
        <f>'Unit Data from Audit Worksheet'!A159</f>
        <v>580</v>
      </c>
      <c r="B142" s="352" t="str">
        <f>'Unit Data from Audit Worksheet'!C159</f>
        <v>Electric Fund Net Position Statement</v>
      </c>
      <c r="C142" s="337" t="str">
        <f>'Unit Data from Audit Worksheet'!D159</f>
        <v>Electric Fund - Advance From:
Interfund loans payable-portion of repayment plan longer than 12 months</v>
      </c>
      <c r="D142" s="144"/>
      <c r="E142" s="358">
        <f>'Unit Data from Audit Worksheet'!F159</f>
        <v>0</v>
      </c>
      <c r="F142" s="351">
        <f t="shared" si="16"/>
        <v>0</v>
      </c>
      <c r="G142" s="353"/>
      <c r="H142" s="350">
        <f>'Unit Data from Audit Worksheet'!I159</f>
        <v>0</v>
      </c>
      <c r="I142" s="38"/>
      <c r="J142" s="349">
        <v>580</v>
      </c>
      <c r="K142" s="109" t="s">
        <v>566</v>
      </c>
      <c r="L142" s="586">
        <f>IF(D142="",E142,D142)</f>
        <v>0</v>
      </c>
      <c r="N142" s="595"/>
      <c r="P142" s="320"/>
      <c r="W142" s="3" t="b">
        <f t="shared" si="15"/>
        <v>1</v>
      </c>
      <c r="X142" s="583">
        <f t="shared" si="12"/>
        <v>0</v>
      </c>
      <c r="Y142" s="583">
        <f t="shared" si="13"/>
        <v>0</v>
      </c>
    </row>
    <row r="143" spans="1:25" s="18" customFormat="1" ht="104.25" customHeight="1" x14ac:dyDescent="0.3">
      <c r="A143" s="338">
        <f>'Unit Data from Audit Worksheet'!A160</f>
        <v>639</v>
      </c>
      <c r="B143" s="352" t="str">
        <f>'Unit Data from Audit Worksheet'!C160</f>
        <v>Electric Fund Net Position Statement</v>
      </c>
      <c r="C143" s="337" t="str">
        <f>'Unit Data from Audit Worksheet'!D160</f>
        <v>Current liabilities (as reported on the Statement of Fund Net Position)
Include:   Current liabilities including current portion of long-term debt.  Deferred inflows should not be included in Current Liabilities   
Enter as a positive</v>
      </c>
      <c r="D143" s="144"/>
      <c r="E143" s="358">
        <f>'Unit Data from Audit Worksheet'!F160</f>
        <v>0</v>
      </c>
      <c r="F143" s="351" t="str">
        <f>IF(L143&gt;=(L144+L145+L146+L147+L148+L149),"","Account 639 is less than the total sum of accounts 640 through 644 + 384")</f>
        <v/>
      </c>
      <c r="G143" s="353">
        <f>L143-(L144+L145+L146+L147+L148+L149)</f>
        <v>0</v>
      </c>
      <c r="H143" s="350">
        <f>'Unit Data from Audit Worksheet'!I160</f>
        <v>0</v>
      </c>
      <c r="I143" s="38"/>
      <c r="J143" s="349">
        <v>639</v>
      </c>
      <c r="K143" s="348" t="s">
        <v>745</v>
      </c>
      <c r="L143" s="600">
        <f t="shared" ref="L143:L164" si="17">IF(D143="",E143,D143)</f>
        <v>0</v>
      </c>
      <c r="P143" s="320"/>
      <c r="Q143" s="576"/>
      <c r="R143" s="3"/>
      <c r="W143" s="18" t="b">
        <f t="shared" si="15"/>
        <v>1</v>
      </c>
      <c r="X143" s="592">
        <f t="shared" si="12"/>
        <v>0</v>
      </c>
      <c r="Y143" s="592">
        <f t="shared" si="13"/>
        <v>0</v>
      </c>
    </row>
    <row r="144" spans="1:25" s="18" customFormat="1" ht="104.25" customHeight="1" x14ac:dyDescent="0.3">
      <c r="A144" s="338">
        <f>'Unit Data from Audit Worksheet'!A161</f>
        <v>640</v>
      </c>
      <c r="B144" s="352" t="str">
        <f>'Unit Data from Audit Worksheet'!C161</f>
        <v>Electric Fund Net Position Statement</v>
      </c>
      <c r="C144" s="337" t="str">
        <f>'Unit Data from Audit Worksheet'!D161</f>
        <v>Please enter any bond anticipation notes that are classified as current liabilities and included in account 639 above (amounts entered should agree to the current amount included in the changes to long-term debt note)
Enter as a positive</v>
      </c>
      <c r="D144" s="144"/>
      <c r="E144" s="358">
        <f>'Unit Data from Audit Worksheet'!F161</f>
        <v>0</v>
      </c>
      <c r="F144" s="351">
        <f t="shared" ref="F144:F149" si="18">IF(L144&lt;0,"Error: Number is normally positive.",)</f>
        <v>0</v>
      </c>
      <c r="G144" s="353"/>
      <c r="H144" s="350">
        <f>'Unit Data from Audit Worksheet'!I161</f>
        <v>0</v>
      </c>
      <c r="I144" s="38"/>
      <c r="J144" s="349">
        <v>640</v>
      </c>
      <c r="K144" s="348" t="s">
        <v>746</v>
      </c>
      <c r="L144" s="600">
        <f t="shared" si="17"/>
        <v>0</v>
      </c>
      <c r="P144" s="320"/>
      <c r="Q144" s="576"/>
      <c r="R144" s="3"/>
      <c r="W144" s="18" t="b">
        <f t="shared" si="15"/>
        <v>1</v>
      </c>
      <c r="X144" s="592">
        <f t="shared" si="12"/>
        <v>0</v>
      </c>
      <c r="Y144" s="592">
        <f t="shared" si="13"/>
        <v>0</v>
      </c>
    </row>
    <row r="145" spans="1:25" s="18" customFormat="1" ht="104.25" customHeight="1" x14ac:dyDescent="0.3">
      <c r="A145" s="338">
        <f>'Unit Data from Audit Worksheet'!A162</f>
        <v>641</v>
      </c>
      <c r="B145" s="352" t="str">
        <f>'Unit Data from Audit Worksheet'!C162</f>
        <v>Electric Fund Net Position Statement</v>
      </c>
      <c r="C145" s="337" t="str">
        <f>'Unit Data from Audit Worksheet'!D162</f>
        <v>Please enter any compensated absences that are classified as current liabilities and included in account 639 above (amounts entered should agree to the current amount included in the changes to long-term debt note)
Enter as a positive</v>
      </c>
      <c r="D145" s="144"/>
      <c r="E145" s="358">
        <f>'Unit Data from Audit Worksheet'!F162</f>
        <v>0</v>
      </c>
      <c r="F145" s="351">
        <f t="shared" si="18"/>
        <v>0</v>
      </c>
      <c r="G145" s="353"/>
      <c r="H145" s="350">
        <f>'Unit Data from Audit Worksheet'!I162</f>
        <v>0</v>
      </c>
      <c r="I145" s="38"/>
      <c r="J145" s="349">
        <v>641</v>
      </c>
      <c r="K145" s="348" t="s">
        <v>747</v>
      </c>
      <c r="L145" s="600">
        <f t="shared" si="17"/>
        <v>0</v>
      </c>
      <c r="P145" s="320"/>
      <c r="Q145" s="576"/>
      <c r="R145" s="3"/>
      <c r="W145" s="18" t="b">
        <f t="shared" si="15"/>
        <v>1</v>
      </c>
      <c r="X145" s="592">
        <f t="shared" si="12"/>
        <v>0</v>
      </c>
      <c r="Y145" s="592">
        <f t="shared" si="13"/>
        <v>0</v>
      </c>
    </row>
    <row r="146" spans="1:25" s="18" customFormat="1" ht="104.25" customHeight="1" x14ac:dyDescent="0.3">
      <c r="A146" s="338">
        <f>'Unit Data from Audit Worksheet'!A163</f>
        <v>642</v>
      </c>
      <c r="B146" s="352" t="str">
        <f>'Unit Data from Audit Worksheet'!C163</f>
        <v>Electric Fund Net Position Statement</v>
      </c>
      <c r="C146" s="337" t="str">
        <f>'Unit Data from Audit Worksheet'!D163</f>
        <v>Please enter any pension liabilities that are classified as current liabilities and included account in 639 above (amounts entered should agree to the current amount included in the changes to long-term debt note)
Enter as a positive</v>
      </c>
      <c r="D146" s="144"/>
      <c r="E146" s="358">
        <f>'Unit Data from Audit Worksheet'!F163</f>
        <v>0</v>
      </c>
      <c r="F146" s="351">
        <f t="shared" si="18"/>
        <v>0</v>
      </c>
      <c r="G146" s="353"/>
      <c r="H146" s="350">
        <f>'Unit Data from Audit Worksheet'!I163</f>
        <v>0</v>
      </c>
      <c r="I146" s="38"/>
      <c r="J146" s="349">
        <v>642</v>
      </c>
      <c r="K146" s="348" t="s">
        <v>748</v>
      </c>
      <c r="L146" s="600">
        <f t="shared" si="17"/>
        <v>0</v>
      </c>
      <c r="P146" s="320"/>
      <c r="Q146" s="576"/>
      <c r="R146" s="3"/>
      <c r="W146" s="18" t="b">
        <f t="shared" si="15"/>
        <v>1</v>
      </c>
      <c r="X146" s="592">
        <f t="shared" si="12"/>
        <v>0</v>
      </c>
      <c r="Y146" s="592">
        <f t="shared" si="13"/>
        <v>0</v>
      </c>
    </row>
    <row r="147" spans="1:25" s="18" customFormat="1" ht="60.75" customHeight="1" x14ac:dyDescent="0.3">
      <c r="A147" s="338">
        <f>'Unit Data from Audit Worksheet'!A164</f>
        <v>643</v>
      </c>
      <c r="B147" s="352" t="str">
        <f>'Unit Data from Audit Worksheet'!C164</f>
        <v>Electric Fund Net Position Statement</v>
      </c>
      <c r="C147" s="337" t="str">
        <f>'Unit Data from Audit Worksheet'!D164</f>
        <v>Please enter any current liabilities that are payable from restricted assets and included in account 639 above. 
Enter as a positive</v>
      </c>
      <c r="D147" s="144"/>
      <c r="E147" s="358">
        <f>'Unit Data from Audit Worksheet'!F164</f>
        <v>0</v>
      </c>
      <c r="F147" s="351">
        <f t="shared" si="18"/>
        <v>0</v>
      </c>
      <c r="G147" s="353"/>
      <c r="H147" s="350">
        <f>'Unit Data from Audit Worksheet'!I164</f>
        <v>0</v>
      </c>
      <c r="I147" s="38"/>
      <c r="J147" s="349">
        <v>643</v>
      </c>
      <c r="K147" s="348" t="s">
        <v>749</v>
      </c>
      <c r="L147" s="600">
        <f t="shared" si="17"/>
        <v>0</v>
      </c>
      <c r="P147" s="320"/>
      <c r="Q147" s="576"/>
      <c r="R147" s="3"/>
      <c r="W147" s="18" t="b">
        <f t="shared" si="15"/>
        <v>1</v>
      </c>
      <c r="X147" s="592">
        <f t="shared" si="12"/>
        <v>0</v>
      </c>
      <c r="Y147" s="592">
        <f t="shared" si="13"/>
        <v>0</v>
      </c>
    </row>
    <row r="148" spans="1:25" s="18" customFormat="1" ht="102" customHeight="1" x14ac:dyDescent="0.3">
      <c r="A148" s="338">
        <f>'Unit Data from Audit Worksheet'!A165</f>
        <v>644</v>
      </c>
      <c r="B148" s="352" t="str">
        <f>'Unit Data from Audit Worksheet'!C165</f>
        <v>Electric Fund Net Position Statement</v>
      </c>
      <c r="C148" s="337" t="str">
        <f>'Unit Data from Audit Worksheet'!D165</f>
        <v>Please enter any OPEB liabilities that are classified as current liabilities and included in account 639 above (amounts entered should agree to the current amount included in the changes to long-term debt note)
Enter as a positive</v>
      </c>
      <c r="D148" s="144"/>
      <c r="E148" s="358">
        <f>'Unit Data from Audit Worksheet'!F165</f>
        <v>0</v>
      </c>
      <c r="F148" s="351">
        <f t="shared" si="18"/>
        <v>0</v>
      </c>
      <c r="G148" s="353"/>
      <c r="H148" s="350">
        <f>'Unit Data from Audit Worksheet'!I165</f>
        <v>0</v>
      </c>
      <c r="I148" s="38"/>
      <c r="J148" s="279">
        <v>644</v>
      </c>
      <c r="K148" s="348" t="s">
        <v>750</v>
      </c>
      <c r="L148" s="600">
        <f t="shared" si="17"/>
        <v>0</v>
      </c>
      <c r="P148" s="323"/>
      <c r="Q148" s="576"/>
      <c r="R148" s="3"/>
      <c r="W148" s="18" t="b">
        <f t="shared" si="15"/>
        <v>1</v>
      </c>
      <c r="X148" s="592">
        <f t="shared" si="12"/>
        <v>0</v>
      </c>
      <c r="Y148" s="592">
        <f t="shared" si="13"/>
        <v>0</v>
      </c>
    </row>
    <row r="149" spans="1:25" ht="63.75" customHeight="1" x14ac:dyDescent="0.3">
      <c r="A149" s="338">
        <f>+'Unit Data from Audit Worksheet'!A166</f>
        <v>384</v>
      </c>
      <c r="B149" s="338" t="str">
        <f>+'Unit Data from Audit Worksheet'!C166</f>
        <v>Electric Fund Net Position Statement</v>
      </c>
      <c r="C149" s="338" t="str">
        <f>+'Unit Data from Audit Worksheet'!D166</f>
        <v>Unearned revenue (arising from cash receipts) that were included in Current Liabilities in account 639 above.
Enter as a positive</v>
      </c>
      <c r="D149" s="144"/>
      <c r="E149" s="358">
        <f>+'Unit Data from Audit Worksheet'!F166</f>
        <v>0</v>
      </c>
      <c r="F149" s="351">
        <f t="shared" si="18"/>
        <v>0</v>
      </c>
      <c r="G149" s="353"/>
      <c r="H149" s="350">
        <f>'Unit Data from Audit Worksheet'!I166</f>
        <v>0</v>
      </c>
      <c r="I149" s="38"/>
      <c r="J149" s="349">
        <v>384</v>
      </c>
      <c r="K149" s="58" t="s">
        <v>124</v>
      </c>
      <c r="L149" s="586">
        <f t="shared" si="17"/>
        <v>0</v>
      </c>
      <c r="P149" s="320"/>
      <c r="W149" s="3" t="b">
        <f t="shared" si="15"/>
        <v>1</v>
      </c>
      <c r="X149" s="583">
        <f t="shared" si="12"/>
        <v>0</v>
      </c>
      <c r="Y149" s="583">
        <f t="shared" si="13"/>
        <v>0</v>
      </c>
    </row>
    <row r="150" spans="1:25" ht="86.4" x14ac:dyDescent="0.3">
      <c r="A150" s="338">
        <f>+'Unit Data from Audit Worksheet'!A167</f>
        <v>361</v>
      </c>
      <c r="B150" s="338" t="str">
        <f>+'Unit Data from Audit Worksheet'!C167</f>
        <v>Electric Fund Net Position Statement</v>
      </c>
      <c r="C150" s="338" t="str">
        <f>+'Unit Data from Audit Worksheet'!D167</f>
        <v>Total net position, unrestricted - Amount of negative unrestricted net position should be entered as a negative amount and the amount of positive unrestricted net position should be entered as a positive amount.</v>
      </c>
      <c r="D150" s="144"/>
      <c r="E150" s="358">
        <f>+'Unit Data from Audit Worksheet'!F167</f>
        <v>0</v>
      </c>
      <c r="F150" s="351"/>
      <c r="G150" s="353"/>
      <c r="H150" s="350">
        <f>'Unit Data from Audit Worksheet'!I167</f>
        <v>0</v>
      </c>
      <c r="I150" s="38"/>
      <c r="J150" s="349">
        <v>361</v>
      </c>
      <c r="K150" s="348" t="s">
        <v>106</v>
      </c>
      <c r="L150" s="586">
        <f t="shared" si="17"/>
        <v>0</v>
      </c>
      <c r="P150" s="320"/>
      <c r="W150" s="3" t="b">
        <f t="shared" si="15"/>
        <v>1</v>
      </c>
      <c r="X150" s="583">
        <f t="shared" si="12"/>
        <v>0</v>
      </c>
      <c r="Y150" s="583">
        <f t="shared" si="13"/>
        <v>0</v>
      </c>
    </row>
    <row r="151" spans="1:25" ht="46.5" customHeight="1" x14ac:dyDescent="0.3">
      <c r="A151" s="338">
        <f>'Unit Data from Audit Worksheet'!A168</f>
        <v>362</v>
      </c>
      <c r="B151" s="352" t="str">
        <f>'Unit Data from Audit Worksheet'!C168</f>
        <v>Electric Fund Net Position Statement</v>
      </c>
      <c r="C151" s="337" t="str">
        <f>'Unit Data from Audit Worksheet'!D168</f>
        <v>Total net position</v>
      </c>
      <c r="D151" s="144"/>
      <c r="E151" s="358">
        <f>'Unit Data from Audit Worksheet'!F168</f>
        <v>0</v>
      </c>
      <c r="F151" s="351">
        <f>IF(L140-L141-L151=0,,"Error: Total assets less total liabilities do not equal net position acct 382-360-362=0")</f>
        <v>0</v>
      </c>
      <c r="G151" s="91">
        <f>+L140-L141-L151</f>
        <v>0</v>
      </c>
      <c r="H151" s="350">
        <f>'Unit Data from Audit Worksheet'!I168</f>
        <v>0</v>
      </c>
      <c r="I151" s="38"/>
      <c r="J151" s="349">
        <v>362</v>
      </c>
      <c r="K151" s="348" t="s">
        <v>107</v>
      </c>
      <c r="L151" s="586">
        <f t="shared" si="17"/>
        <v>0</v>
      </c>
      <c r="O151" s="594" t="e">
        <f>'Unit Data from Audit Worksheet'!E168</f>
        <v>#N/A</v>
      </c>
      <c r="P151" s="320"/>
      <c r="Q151" s="576">
        <f>IF(+L140-L141-L151=0,0,1)</f>
        <v>0</v>
      </c>
      <c r="W151" s="3" t="b">
        <f t="shared" si="15"/>
        <v>1</v>
      </c>
      <c r="X151" s="583">
        <f t="shared" si="12"/>
        <v>0</v>
      </c>
      <c r="Y151" s="583">
        <f t="shared" si="13"/>
        <v>0</v>
      </c>
    </row>
    <row r="152" spans="1:25" ht="61.5" customHeight="1" x14ac:dyDescent="0.3">
      <c r="A152" s="338">
        <f>'Unit Data from Audit Worksheet'!A171</f>
        <v>88</v>
      </c>
      <c r="B152" s="352" t="str">
        <f>'Unit Data from Audit Worksheet'!C171</f>
        <v>Water Sewer Revenue, Expenses &amp; Changes in Fund Net Position</v>
      </c>
      <c r="C152" s="337" t="str">
        <f>'Unit Data from Audit Worksheet'!D171</f>
        <v>Charges for services. 
Exclude tap, capacity fees and other misc. income .</v>
      </c>
      <c r="D152" s="144"/>
      <c r="E152" s="358">
        <f>'Unit Data from Audit Worksheet'!F171</f>
        <v>0</v>
      </c>
      <c r="F152" s="351"/>
      <c r="G152" s="353"/>
      <c r="H152" s="350">
        <f>'Unit Data from Audit Worksheet'!I171</f>
        <v>0</v>
      </c>
      <c r="I152" s="38"/>
      <c r="J152" s="349">
        <v>88</v>
      </c>
      <c r="K152" s="348" t="s">
        <v>226</v>
      </c>
      <c r="L152" s="586">
        <f t="shared" si="17"/>
        <v>0</v>
      </c>
      <c r="P152" s="320"/>
      <c r="Q152" s="354"/>
      <c r="W152" s="3" t="b">
        <f t="shared" si="15"/>
        <v>1</v>
      </c>
      <c r="X152" s="583">
        <f t="shared" si="12"/>
        <v>0</v>
      </c>
      <c r="Y152" s="583">
        <f t="shared" si="13"/>
        <v>0</v>
      </c>
    </row>
    <row r="153" spans="1:25" ht="72" customHeight="1" x14ac:dyDescent="0.3">
      <c r="A153" s="338">
        <f>'Unit Data from Audit Worksheet'!A172</f>
        <v>84</v>
      </c>
      <c r="B153" s="352" t="str">
        <f>'Unit Data from Audit Worksheet'!C172</f>
        <v>Water Sewer Revenue, Expenses &amp; Changes in Fund Net Position</v>
      </c>
      <c r="C153" s="337" t="str">
        <f>'Unit Data from Audit Worksheet'!D172</f>
        <v>Total Operating revenues</v>
      </c>
      <c r="D153" s="144"/>
      <c r="E153" s="358">
        <f>'Unit Data from Audit Worksheet'!F172</f>
        <v>0</v>
      </c>
      <c r="F153" s="351" t="str">
        <f>IF(L152&gt;L153,"Error: Charges for services exceed total operating revenues. Acct # 88&gt;84"," ")</f>
        <v xml:space="preserve"> </v>
      </c>
      <c r="G153" s="353" t="str">
        <f>IF(Q153=1," Included in error count"," ")</f>
        <v xml:space="preserve"> </v>
      </c>
      <c r="H153" s="350">
        <f>'Unit Data from Audit Worksheet'!I172</f>
        <v>0</v>
      </c>
      <c r="I153" s="38"/>
      <c r="J153" s="349">
        <v>84</v>
      </c>
      <c r="K153" s="348" t="s">
        <v>227</v>
      </c>
      <c r="L153" s="586">
        <f t="shared" si="17"/>
        <v>0</v>
      </c>
      <c r="P153" s="320"/>
      <c r="Q153" s="576">
        <f>IF(L152&gt;L153,1,0)</f>
        <v>0</v>
      </c>
      <c r="W153" s="3" t="b">
        <f t="shared" si="15"/>
        <v>1</v>
      </c>
      <c r="X153" s="583">
        <f t="shared" si="12"/>
        <v>0</v>
      </c>
      <c r="Y153" s="583">
        <f t="shared" si="13"/>
        <v>0</v>
      </c>
    </row>
    <row r="154" spans="1:25" ht="72" customHeight="1" x14ac:dyDescent="0.3">
      <c r="A154" s="338">
        <f>'Unit Data from Audit Worksheet'!A173</f>
        <v>49</v>
      </c>
      <c r="B154" s="352" t="str">
        <f>'Unit Data from Audit Worksheet'!C173</f>
        <v>Water Sewer Revenue, Expenses &amp; Changes in Fund Net Position</v>
      </c>
      <c r="C154" s="337" t="str">
        <f>'Unit Data from Audit Worksheet'!D173</f>
        <v>Depreciation and amortization expense</v>
      </c>
      <c r="D154" s="144"/>
      <c r="E154" s="358">
        <f>'Unit Data from Audit Worksheet'!F173</f>
        <v>0</v>
      </c>
      <c r="F154" s="351">
        <f>IF(L154&lt;0,"Error: Number is normally positive.",)</f>
        <v>0</v>
      </c>
      <c r="G154" s="353"/>
      <c r="H154" s="350">
        <f>'Unit Data from Audit Worksheet'!I173</f>
        <v>0</v>
      </c>
      <c r="I154" s="38"/>
      <c r="J154" s="349">
        <v>49</v>
      </c>
      <c r="K154" s="348" t="s">
        <v>228</v>
      </c>
      <c r="L154" s="586">
        <f t="shared" si="17"/>
        <v>0</v>
      </c>
      <c r="O154" s="594"/>
      <c r="P154" s="320"/>
      <c r="W154" s="3" t="b">
        <f t="shared" si="15"/>
        <v>1</v>
      </c>
      <c r="X154" s="583">
        <f t="shared" si="12"/>
        <v>0</v>
      </c>
      <c r="Y154" s="583">
        <f t="shared" si="13"/>
        <v>0</v>
      </c>
    </row>
    <row r="155" spans="1:25" ht="48" customHeight="1" x14ac:dyDescent="0.3">
      <c r="A155" s="338">
        <f>'Unit Data from Audit Worksheet'!A174</f>
        <v>85</v>
      </c>
      <c r="B155" s="352" t="str">
        <f>'Unit Data from Audit Worksheet'!C174</f>
        <v>Water Sewer Revenue, Expenses &amp; Changes in Fund Net Position</v>
      </c>
      <c r="C155" s="337" t="str">
        <f>'Unit Data from Audit Worksheet'!D174</f>
        <v>Total Operating expenses</v>
      </c>
      <c r="D155" s="144"/>
      <c r="E155" s="358">
        <f>'Unit Data from Audit Worksheet'!F174</f>
        <v>0</v>
      </c>
      <c r="F155" s="351"/>
      <c r="G155" s="353"/>
      <c r="H155" s="350">
        <f>'Unit Data from Audit Worksheet'!I174</f>
        <v>0</v>
      </c>
      <c r="I155" s="38"/>
      <c r="J155" s="349">
        <v>85</v>
      </c>
      <c r="K155" s="348" t="s">
        <v>229</v>
      </c>
      <c r="L155" s="586">
        <f t="shared" si="17"/>
        <v>0</v>
      </c>
      <c r="P155" s="320"/>
      <c r="W155" s="3" t="b">
        <f t="shared" si="15"/>
        <v>1</v>
      </c>
      <c r="X155" s="583">
        <f t="shared" si="12"/>
        <v>0</v>
      </c>
      <c r="Y155" s="583">
        <f t="shared" si="13"/>
        <v>0</v>
      </c>
    </row>
    <row r="156" spans="1:25" ht="48" customHeight="1" x14ac:dyDescent="0.3">
      <c r="A156" s="338">
        <f>'Unit Data from Audit Worksheet'!A175</f>
        <v>89</v>
      </c>
      <c r="B156" s="352" t="str">
        <f>'Unit Data from Audit Worksheet'!C175</f>
        <v>Water Sewer Revenue, Expenses &amp; Changes in Fund Net Position</v>
      </c>
      <c r="C156" s="337" t="str">
        <f>'Unit Data from Audit Worksheet'!D175</f>
        <v>Interest expense</v>
      </c>
      <c r="D156" s="144"/>
      <c r="E156" s="358">
        <f>'Unit Data from Audit Worksheet'!F175</f>
        <v>0</v>
      </c>
      <c r="F156" s="351"/>
      <c r="G156" s="353"/>
      <c r="H156" s="350">
        <f>'Unit Data from Audit Worksheet'!I175</f>
        <v>0</v>
      </c>
      <c r="I156" s="38"/>
      <c r="J156" s="349">
        <v>89</v>
      </c>
      <c r="K156" s="348" t="s">
        <v>230</v>
      </c>
      <c r="L156" s="586">
        <f t="shared" si="17"/>
        <v>0</v>
      </c>
      <c r="P156" s="320"/>
      <c r="W156" s="3" t="b">
        <f t="shared" si="15"/>
        <v>1</v>
      </c>
      <c r="X156" s="583">
        <f t="shared" si="12"/>
        <v>0</v>
      </c>
      <c r="Y156" s="583">
        <f t="shared" si="13"/>
        <v>0</v>
      </c>
    </row>
    <row r="157" spans="1:25" ht="48" customHeight="1" x14ac:dyDescent="0.3">
      <c r="A157" s="338">
        <f>'Unit Data from Audit Worksheet'!A176</f>
        <v>350</v>
      </c>
      <c r="B157" s="352" t="str">
        <f>'Unit Data from Audit Worksheet'!C176</f>
        <v>Water Sewer Revenue, Expenses &amp; Changes in Fund Net Position</v>
      </c>
      <c r="C157" s="337" t="str">
        <f>'Unit Data from Audit Worksheet'!D176</f>
        <v>Total all non-operating revenues  
Exclude Capital contributions.</v>
      </c>
      <c r="D157" s="144"/>
      <c r="E157" s="358">
        <f>'Unit Data from Audit Worksheet'!F176</f>
        <v>0</v>
      </c>
      <c r="F157" s="351"/>
      <c r="G157" s="353"/>
      <c r="H157" s="350">
        <f>'Unit Data from Audit Worksheet'!I176</f>
        <v>0</v>
      </c>
      <c r="I157" s="38"/>
      <c r="J157" s="349">
        <v>350</v>
      </c>
      <c r="K157" s="348" t="s">
        <v>231</v>
      </c>
      <c r="L157" s="586">
        <f t="shared" si="17"/>
        <v>0</v>
      </c>
      <c r="P157" s="320"/>
      <c r="W157" s="3" t="b">
        <f t="shared" si="15"/>
        <v>1</v>
      </c>
      <c r="X157" s="583">
        <f t="shared" si="12"/>
        <v>0</v>
      </c>
      <c r="Y157" s="583">
        <f t="shared" si="13"/>
        <v>0</v>
      </c>
    </row>
    <row r="158" spans="1:25" ht="48" customHeight="1" x14ac:dyDescent="0.3">
      <c r="A158" s="338">
        <f>'Unit Data from Audit Worksheet'!A177</f>
        <v>351</v>
      </c>
      <c r="B158" s="352" t="str">
        <f>'Unit Data from Audit Worksheet'!C177</f>
        <v>Water Sewer Revenue, Expenses &amp; Changes in Fund Net Position</v>
      </c>
      <c r="C158" s="337" t="str">
        <f>'Unit Data from Audit Worksheet'!D177</f>
        <v>Total all non-operating expenses.  
Include any negative special, extraordinary, or capital contribution.</v>
      </c>
      <c r="D158" s="144"/>
      <c r="E158" s="358">
        <f>'Unit Data from Audit Worksheet'!F177</f>
        <v>0</v>
      </c>
      <c r="F158" s="351"/>
      <c r="G158" s="353"/>
      <c r="H158" s="350">
        <f>'Unit Data from Audit Worksheet'!I177</f>
        <v>0</v>
      </c>
      <c r="I158" s="38"/>
      <c r="J158" s="349">
        <v>351</v>
      </c>
      <c r="K158" s="348" t="s">
        <v>232</v>
      </c>
      <c r="L158" s="586">
        <f t="shared" si="17"/>
        <v>0</v>
      </c>
      <c r="P158" s="320"/>
      <c r="W158" s="3" t="b">
        <f t="shared" si="15"/>
        <v>1</v>
      </c>
      <c r="X158" s="583">
        <f t="shared" si="12"/>
        <v>0</v>
      </c>
      <c r="Y158" s="583">
        <f t="shared" si="13"/>
        <v>0</v>
      </c>
    </row>
    <row r="159" spans="1:25" ht="57.6" x14ac:dyDescent="0.3">
      <c r="A159" s="338">
        <f>'Unit Data from Audit Worksheet'!A178</f>
        <v>191</v>
      </c>
      <c r="B159" s="352" t="str">
        <f>'Unit Data from Audit Worksheet'!C178</f>
        <v>Water Sewer Revenue, Expenses &amp; Changes in Fund Net Position</v>
      </c>
      <c r="C159" s="337" t="str">
        <f>'Unit Data from Audit Worksheet'!D178</f>
        <v>Capital contributions. Only include positive capital contributions.  Negative capital contributions should be included with 'Total all non-operating expenses.'</v>
      </c>
      <c r="D159" s="144"/>
      <c r="E159" s="358">
        <f>'Unit Data from Audit Worksheet'!F178</f>
        <v>0</v>
      </c>
      <c r="F159" s="351">
        <f>IF(L159&lt;0,"Error: Enter as a positive.",)</f>
        <v>0</v>
      </c>
      <c r="G159" s="353"/>
      <c r="H159" s="350">
        <f>'Unit Data from Audit Worksheet'!I178</f>
        <v>0</v>
      </c>
      <c r="I159" s="38"/>
      <c r="J159" s="349">
        <v>191</v>
      </c>
      <c r="K159" s="348" t="s">
        <v>233</v>
      </c>
      <c r="L159" s="586">
        <f t="shared" si="17"/>
        <v>0</v>
      </c>
      <c r="P159" s="320"/>
      <c r="W159" s="3" t="b">
        <f t="shared" si="15"/>
        <v>1</v>
      </c>
      <c r="X159" s="583">
        <f t="shared" si="12"/>
        <v>0</v>
      </c>
      <c r="Y159" s="583">
        <f t="shared" si="13"/>
        <v>0</v>
      </c>
    </row>
    <row r="160" spans="1:25" ht="47.25" customHeight="1" x14ac:dyDescent="0.3">
      <c r="A160" s="338">
        <f>'Unit Data from Audit Worksheet'!A179</f>
        <v>352</v>
      </c>
      <c r="B160" s="352" t="str">
        <f>'Unit Data from Audit Worksheet'!C179</f>
        <v>Water Sewer Revenue, Expenses &amp; Changes in Fund Net Position</v>
      </c>
      <c r="C160" s="337" t="str">
        <f>'Unit Data from Audit Worksheet'!D179</f>
        <v>Total Transfers in - all funds (operating and capital)</v>
      </c>
      <c r="D160" s="144"/>
      <c r="E160" s="358">
        <f>'Unit Data from Audit Worksheet'!F179</f>
        <v>0</v>
      </c>
      <c r="F160" s="351"/>
      <c r="G160" s="353"/>
      <c r="H160" s="350">
        <f>'Unit Data from Audit Worksheet'!I179</f>
        <v>0</v>
      </c>
      <c r="I160" s="38"/>
      <c r="J160" s="349">
        <v>352</v>
      </c>
      <c r="K160" s="348" t="s">
        <v>234</v>
      </c>
      <c r="L160" s="586">
        <f t="shared" si="17"/>
        <v>0</v>
      </c>
      <c r="P160" s="320"/>
      <c r="W160" s="3" t="b">
        <f t="shared" si="15"/>
        <v>1</v>
      </c>
      <c r="X160" s="583">
        <f t="shared" si="12"/>
        <v>0</v>
      </c>
      <c r="Y160" s="583">
        <f t="shared" si="13"/>
        <v>0</v>
      </c>
    </row>
    <row r="161" spans="1:25" ht="70.5" customHeight="1" x14ac:dyDescent="0.3">
      <c r="A161" s="602">
        <f>'Unit Data from Audit Worksheet'!A180</f>
        <v>986</v>
      </c>
      <c r="B161" s="356" t="str">
        <f>'Unit Data from Audit Worksheet'!C180</f>
        <v>Water Sewer Revenue, Expenses &amp; Changes in Fund Net Position</v>
      </c>
      <c r="C161" s="603" t="str">
        <f>'Unit Data from Audit Worksheet'!D180</f>
        <v>Of the transfers-in above in acct # 352, list amount of transfers-in that were used to support Water Sewer operations  (exclude capital transfers)</v>
      </c>
      <c r="D161" s="144"/>
      <c r="E161" s="358">
        <f>'Unit Data from Audit Worksheet'!F180</f>
        <v>0</v>
      </c>
      <c r="F161" s="351"/>
      <c r="G161" s="353"/>
      <c r="H161" s="350"/>
      <c r="I161" s="38"/>
      <c r="J161" s="367">
        <v>986</v>
      </c>
      <c r="K161" s="603" t="s">
        <v>1077</v>
      </c>
      <c r="L161" s="604">
        <f t="shared" si="17"/>
        <v>0</v>
      </c>
      <c r="P161" s="320"/>
      <c r="W161" s="3" t="b">
        <f t="shared" si="15"/>
        <v>1</v>
      </c>
      <c r="X161" s="583"/>
      <c r="Y161" s="583"/>
    </row>
    <row r="162" spans="1:25" ht="47.25" customHeight="1" x14ac:dyDescent="0.3">
      <c r="A162" s="338">
        <f>'Unit Data from Audit Worksheet'!A181</f>
        <v>353</v>
      </c>
      <c r="B162" s="352" t="str">
        <f>'Unit Data from Audit Worksheet'!C181</f>
        <v>Water Sewer Revenue, Expenses &amp; Changes in Fund Net Position</v>
      </c>
      <c r="C162" s="337" t="str">
        <f>'Unit Data from Audit Worksheet'!D181</f>
        <v>Total Transfers out</v>
      </c>
      <c r="D162" s="144"/>
      <c r="E162" s="358">
        <f>'Unit Data from Audit Worksheet'!F181</f>
        <v>0</v>
      </c>
      <c r="F162" s="351">
        <f>IF(L162&lt;0,"Error: Enter as a positive.",)</f>
        <v>0</v>
      </c>
      <c r="G162" s="353"/>
      <c r="H162" s="350">
        <f>'Unit Data from Audit Worksheet'!I181</f>
        <v>0</v>
      </c>
      <c r="I162" s="38"/>
      <c r="J162" s="40">
        <v>353</v>
      </c>
      <c r="K162" s="348" t="s">
        <v>235</v>
      </c>
      <c r="L162" s="586">
        <f t="shared" si="17"/>
        <v>0</v>
      </c>
      <c r="P162" s="324"/>
      <c r="W162" s="3" t="b">
        <f t="shared" si="15"/>
        <v>1</v>
      </c>
      <c r="X162" s="583">
        <f t="shared" si="12"/>
        <v>0</v>
      </c>
      <c r="Y162" s="583">
        <f t="shared" si="13"/>
        <v>0</v>
      </c>
    </row>
    <row r="163" spans="1:25" ht="72.75" customHeight="1" x14ac:dyDescent="0.3">
      <c r="A163" s="338">
        <f>'Unit Data from Audit Worksheet'!A182</f>
        <v>50</v>
      </c>
      <c r="B163" s="352" t="str">
        <f>'Unit Data from Audit Worksheet'!C182</f>
        <v>Water Sewer Revenue, Expenses &amp; Changes in Fund Net Position</v>
      </c>
      <c r="C163" s="337" t="str">
        <f>'Unit Data from Audit Worksheet'!D182</f>
        <v>Change in net position - Increase in net position is recorded as a positive and a (Decrease) in net position is recorded as a negative.</v>
      </c>
      <c r="D163" s="144"/>
      <c r="E163" s="149">
        <f>'Unit Data from Audit Worksheet'!F182</f>
        <v>0</v>
      </c>
      <c r="F163" s="351">
        <f>IF(L153-L155+L157-L158+L160+L159-L162-L163=0,,"Error:Total revenues less total expenses do not equal total change in net position. Acct # 84-85+350-351+191+352-353-50")</f>
        <v>0</v>
      </c>
      <c r="G163" s="91">
        <f>+L153-L155+L157-L158+L160+L159-L162-L163</f>
        <v>0</v>
      </c>
      <c r="H163" s="350">
        <f>'Unit Data from Audit Worksheet'!I182</f>
        <v>0</v>
      </c>
      <c r="I163" s="38"/>
      <c r="J163" s="349">
        <v>50</v>
      </c>
      <c r="K163" s="348" t="s">
        <v>100</v>
      </c>
      <c r="L163" s="586">
        <f t="shared" si="17"/>
        <v>0</v>
      </c>
      <c r="P163" s="320"/>
      <c r="Q163" s="576">
        <f>IF(G163&lt;&gt;0,1,0)</f>
        <v>0</v>
      </c>
      <c r="W163" s="3" t="b">
        <f t="shared" si="15"/>
        <v>1</v>
      </c>
      <c r="X163" s="583">
        <f t="shared" si="12"/>
        <v>0</v>
      </c>
      <c r="Y163" s="583">
        <f t="shared" si="13"/>
        <v>0</v>
      </c>
    </row>
    <row r="164" spans="1:25" ht="144" customHeight="1" x14ac:dyDescent="0.3">
      <c r="A164" s="338">
        <f>'Unit Data from Audit Worksheet'!A183</f>
        <v>377</v>
      </c>
      <c r="B164" s="352" t="str">
        <f>'Unit Data from Audit Worksheet'!C183</f>
        <v>Water Sewer Revenue, Expenses &amp; Changes in Fund Net Position</v>
      </c>
      <c r="C164" s="337" t="str">
        <f>'Unit Data from Audit Worksheet'!D183</f>
        <v>Increases or (decreases) to beginning water sewer net position due to rounding, prior period adjustments and restatements.  Increase amounts to beginning net position should be entered as a positive amount and (decreases) should be entered as a negative amount.</v>
      </c>
      <c r="D164" s="144"/>
      <c r="E164" s="149">
        <f>'Unit Data from Audit Worksheet'!F183</f>
        <v>0</v>
      </c>
      <c r="F164" s="87" t="e">
        <f>IF(L133-L163-L164=O133,,"Error:Beginning Balance does not agree with out records.Acct # 83-50-377 = PY83")</f>
        <v>#N/A</v>
      </c>
      <c r="G164" s="91" t="e">
        <f>+L133-L163-L164-O133</f>
        <v>#N/A</v>
      </c>
      <c r="H164" s="350" t="str">
        <f>'Unit Data from Audit Worksheet'!I183</f>
        <v>Please do not enter prior's years beginning balance as an adjustment in column F.</v>
      </c>
      <c r="I164" s="38"/>
      <c r="J164" s="349">
        <v>377</v>
      </c>
      <c r="K164" s="348" t="s">
        <v>109</v>
      </c>
      <c r="L164" s="586">
        <f t="shared" si="17"/>
        <v>0</v>
      </c>
      <c r="P164" s="320"/>
      <c r="Q164" s="576" t="e">
        <f>IF(G164&lt;&gt;0,1,0)</f>
        <v>#N/A</v>
      </c>
      <c r="W164" s="3" t="b">
        <f t="shared" si="15"/>
        <v>1</v>
      </c>
      <c r="X164" s="583">
        <f t="shared" si="12"/>
        <v>0</v>
      </c>
      <c r="Y164" s="583">
        <f t="shared" si="13"/>
        <v>0</v>
      </c>
    </row>
    <row r="165" spans="1:25" ht="63" customHeight="1" x14ac:dyDescent="0.3">
      <c r="A165" s="611">
        <f>'Unit Data from Audit Worksheet'!A184</f>
        <v>537</v>
      </c>
      <c r="B165" s="352" t="str">
        <f>'Unit Data from Audit Worksheet'!C184</f>
        <v>Water Sewer Revenue, Expenses &amp; Changes in Fund Net Position</v>
      </c>
      <c r="C165" s="337" t="str">
        <f>'Unit Data from Audit Worksheet'!D184</f>
        <v>Did unit raise Water Sewer rates during the audited fiscal period? - answer Yes or No</v>
      </c>
      <c r="D165" s="139"/>
      <c r="E165" s="358">
        <f>'Unit Data from Audit Worksheet'!F184</f>
        <v>0</v>
      </c>
      <c r="F165" s="351" t="s">
        <v>556</v>
      </c>
      <c r="G165" s="353"/>
      <c r="H165" s="350">
        <f>'Unit Data from Audit Worksheet'!I184</f>
        <v>0</v>
      </c>
      <c r="I165" s="38"/>
      <c r="J165" s="67">
        <v>537</v>
      </c>
      <c r="K165" s="65" t="s">
        <v>295</v>
      </c>
      <c r="L165" s="612">
        <f>IF(E165="Yes",1,IF(E165="No",2,0))</f>
        <v>0</v>
      </c>
      <c r="N165" s="61" t="s">
        <v>546</v>
      </c>
      <c r="P165" s="325"/>
      <c r="W165" s="3" t="b">
        <f t="shared" ref="W165:W196" si="19">EXACT(A165,J165)</f>
        <v>1</v>
      </c>
      <c r="X165" s="583">
        <f t="shared" si="12"/>
        <v>0</v>
      </c>
      <c r="Y165" s="583">
        <f t="shared" si="13"/>
        <v>0</v>
      </c>
    </row>
    <row r="166" spans="1:25" ht="63.75" customHeight="1" x14ac:dyDescent="0.3">
      <c r="A166" s="611">
        <f>'Unit Data from Audit Worksheet'!A185</f>
        <v>538</v>
      </c>
      <c r="B166" s="352" t="str">
        <f>'Unit Data from Audit Worksheet'!C185</f>
        <v>Water Sewer Revenue, Expenses &amp; Changes in Fund Net Position</v>
      </c>
      <c r="C166" s="337" t="str">
        <f>'Unit Data from Audit Worksheet'!D185</f>
        <v>Did unit raise Water Sewer rates during the budget year following the audited fiscal year? - answer Yes or No</v>
      </c>
      <c r="D166" s="139"/>
      <c r="E166" s="358">
        <f>'Unit Data from Audit Worksheet'!F185</f>
        <v>0</v>
      </c>
      <c r="F166" s="351" t="s">
        <v>556</v>
      </c>
      <c r="G166" s="353"/>
      <c r="H166" s="350">
        <f>'Unit Data from Audit Worksheet'!I185</f>
        <v>0</v>
      </c>
      <c r="I166" s="38"/>
      <c r="J166" s="67">
        <v>538</v>
      </c>
      <c r="K166" s="65" t="s">
        <v>294</v>
      </c>
      <c r="L166" s="612">
        <f>IF(E166="Yes",1,IF(E166="No",2,0))</f>
        <v>0</v>
      </c>
      <c r="N166" s="61" t="s">
        <v>546</v>
      </c>
      <c r="P166" s="325"/>
      <c r="W166" s="3" t="b">
        <f t="shared" si="19"/>
        <v>1</v>
      </c>
      <c r="X166" s="583">
        <f t="shared" si="12"/>
        <v>0</v>
      </c>
      <c r="Y166" s="583">
        <f t="shared" si="13"/>
        <v>0</v>
      </c>
    </row>
    <row r="167" spans="1:25" ht="47.25" customHeight="1" x14ac:dyDescent="0.3">
      <c r="A167" s="338">
        <f>'Unit Data from Audit Worksheet'!A187</f>
        <v>97</v>
      </c>
      <c r="B167" s="352" t="str">
        <f>'Unit Data from Audit Worksheet'!C187</f>
        <v>Electric Fund Revenue, Expenses &amp; Changes in Fund Net Position</v>
      </c>
      <c r="C167" s="337" t="str">
        <f>'Unit Data from Audit Worksheet'!D187</f>
        <v>Charges for services</v>
      </c>
      <c r="D167" s="357"/>
      <c r="E167" s="358">
        <f>'Unit Data from Audit Worksheet'!F187</f>
        <v>0</v>
      </c>
      <c r="F167" s="351">
        <f>IF(L167&lt;0,"Error: Enter as a positive.",)</f>
        <v>0</v>
      </c>
      <c r="G167" s="353"/>
      <c r="H167" s="350">
        <f>'Unit Data from Audit Worksheet'!I187</f>
        <v>0</v>
      </c>
      <c r="I167" s="38"/>
      <c r="J167" s="349">
        <v>97</v>
      </c>
      <c r="K167" s="348" t="s">
        <v>236</v>
      </c>
      <c r="L167" s="586">
        <f t="shared" ref="L167:L234" si="20">IF(D167="",E167,D167)</f>
        <v>0</v>
      </c>
      <c r="P167" s="320"/>
      <c r="W167" s="3" t="b">
        <f t="shared" si="19"/>
        <v>1</v>
      </c>
      <c r="X167" s="583">
        <f t="shared" si="12"/>
        <v>0</v>
      </c>
      <c r="Y167" s="583">
        <f t="shared" si="13"/>
        <v>0</v>
      </c>
    </row>
    <row r="168" spans="1:25" ht="45.75" customHeight="1" x14ac:dyDescent="0.3">
      <c r="A168" s="338">
        <f>'Unit Data from Audit Worksheet'!A188</f>
        <v>93</v>
      </c>
      <c r="B168" s="352" t="str">
        <f>'Unit Data from Audit Worksheet'!C188</f>
        <v>Electric Fund Revenue, Expenses &amp; Changes in Fund Net Position</v>
      </c>
      <c r="C168" s="337" t="str">
        <f>'Unit Data from Audit Worksheet'!D188</f>
        <v>Total Operating revenues</v>
      </c>
      <c r="D168" s="357"/>
      <c r="E168" s="358">
        <f>'Unit Data from Audit Worksheet'!F188</f>
        <v>0</v>
      </c>
      <c r="F168" s="351" t="str">
        <f>IF(L167&gt;L168,"Error: Charges for services exceeds total operating revenues Acct 97&gt;=93"," ")</f>
        <v xml:space="preserve"> </v>
      </c>
      <c r="G168" s="353" t="str">
        <f>IF(Q168=1," Included in error count"," ")</f>
        <v xml:space="preserve"> </v>
      </c>
      <c r="H168" s="350">
        <f>'Unit Data from Audit Worksheet'!I188</f>
        <v>0</v>
      </c>
      <c r="I168" s="38"/>
      <c r="J168" s="349">
        <v>93</v>
      </c>
      <c r="K168" s="348" t="s">
        <v>237</v>
      </c>
      <c r="L168" s="586">
        <f t="shared" si="20"/>
        <v>0</v>
      </c>
      <c r="P168" s="320"/>
      <c r="Q168" s="576">
        <f>IF(L167&gt;L168,1,0)</f>
        <v>0</v>
      </c>
      <c r="W168" s="3" t="b">
        <f t="shared" si="19"/>
        <v>1</v>
      </c>
      <c r="X168" s="583">
        <f t="shared" si="12"/>
        <v>0</v>
      </c>
      <c r="Y168" s="583">
        <f t="shared" si="13"/>
        <v>0</v>
      </c>
    </row>
    <row r="169" spans="1:25" ht="45.75" customHeight="1" x14ac:dyDescent="0.3">
      <c r="A169" s="338">
        <f>'Unit Data from Audit Worksheet'!A189</f>
        <v>99</v>
      </c>
      <c r="B169" s="352" t="str">
        <f>'Unit Data from Audit Worksheet'!C189</f>
        <v>Electric Fund Revenue, Expenses &amp; Changes in Fund Net Position</v>
      </c>
      <c r="C169" s="337" t="str">
        <f>'Unit Data from Audit Worksheet'!D189</f>
        <v>Electrical power purchases</v>
      </c>
      <c r="D169" s="357"/>
      <c r="E169" s="358">
        <f>'Unit Data from Audit Worksheet'!F189</f>
        <v>0</v>
      </c>
      <c r="F169" s="351">
        <f>IF(L169&lt;0,"Error: Enter as a positive.",)</f>
        <v>0</v>
      </c>
      <c r="G169" s="353"/>
      <c r="H169" s="350">
        <f>'Unit Data from Audit Worksheet'!I189</f>
        <v>0</v>
      </c>
      <c r="I169" s="38"/>
      <c r="J169" s="349">
        <v>99</v>
      </c>
      <c r="K169" s="348" t="s">
        <v>238</v>
      </c>
      <c r="L169" s="586">
        <f t="shared" si="20"/>
        <v>0</v>
      </c>
      <c r="P169" s="320"/>
      <c r="W169" s="3" t="b">
        <f t="shared" si="19"/>
        <v>1</v>
      </c>
      <c r="X169" s="583">
        <f t="shared" si="12"/>
        <v>0</v>
      </c>
      <c r="Y169" s="583">
        <f t="shared" si="13"/>
        <v>0</v>
      </c>
    </row>
    <row r="170" spans="1:25" ht="45.75" customHeight="1" x14ac:dyDescent="0.3">
      <c r="A170" s="338">
        <f>'Unit Data from Audit Worksheet'!A190</f>
        <v>52</v>
      </c>
      <c r="B170" s="352" t="str">
        <f>'Unit Data from Audit Worksheet'!C190</f>
        <v>Electric Fund Revenue, Expenses &amp; Changes in Fund Net Position</v>
      </c>
      <c r="C170" s="337" t="str">
        <f>'Unit Data from Audit Worksheet'!D190</f>
        <v>Depreciation and amortization expense</v>
      </c>
      <c r="D170" s="357"/>
      <c r="E170" s="358">
        <f>'Unit Data from Audit Worksheet'!F190</f>
        <v>0</v>
      </c>
      <c r="F170" s="351">
        <f>IF(L170&lt;0,"Error: Enter as a positive.",)</f>
        <v>0</v>
      </c>
      <c r="G170" s="353"/>
      <c r="H170" s="350">
        <f>'Unit Data from Audit Worksheet'!I190</f>
        <v>0</v>
      </c>
      <c r="I170" s="38"/>
      <c r="J170" s="349">
        <v>52</v>
      </c>
      <c r="K170" s="348" t="s">
        <v>239</v>
      </c>
      <c r="L170" s="586">
        <f t="shared" si="20"/>
        <v>0</v>
      </c>
      <c r="P170" s="320"/>
      <c r="W170" s="3" t="b">
        <f t="shared" si="19"/>
        <v>1</v>
      </c>
      <c r="X170" s="583">
        <f t="shared" si="12"/>
        <v>0</v>
      </c>
      <c r="Y170" s="583">
        <f t="shared" si="13"/>
        <v>0</v>
      </c>
    </row>
    <row r="171" spans="1:25" ht="45.75" customHeight="1" x14ac:dyDescent="0.3">
      <c r="A171" s="338">
        <f>'Unit Data from Audit Worksheet'!A191</f>
        <v>94</v>
      </c>
      <c r="B171" s="352" t="str">
        <f>'Unit Data from Audit Worksheet'!C191</f>
        <v>Electric Fund Revenue, Expenses &amp; Changes in Fund Net Position</v>
      </c>
      <c r="C171" s="337" t="str">
        <f>'Unit Data from Audit Worksheet'!D191</f>
        <v>Total Operating expenses</v>
      </c>
      <c r="D171" s="357"/>
      <c r="E171" s="358">
        <f>'Unit Data from Audit Worksheet'!F191</f>
        <v>0</v>
      </c>
      <c r="F171" s="351">
        <f>IF(L171&lt;0,"Error: Enter as a positive.",)</f>
        <v>0</v>
      </c>
      <c r="G171" s="353"/>
      <c r="H171" s="350">
        <f>'Unit Data from Audit Worksheet'!I191</f>
        <v>0</v>
      </c>
      <c r="I171" s="38"/>
      <c r="J171" s="349">
        <v>94</v>
      </c>
      <c r="K171" s="348" t="s">
        <v>240</v>
      </c>
      <c r="L171" s="586">
        <f t="shared" si="20"/>
        <v>0</v>
      </c>
      <c r="P171" s="320"/>
      <c r="W171" s="3" t="b">
        <f t="shared" si="19"/>
        <v>1</v>
      </c>
      <c r="X171" s="583">
        <f t="shared" si="12"/>
        <v>0</v>
      </c>
      <c r="Y171" s="583">
        <f t="shared" si="13"/>
        <v>0</v>
      </c>
    </row>
    <row r="172" spans="1:25" ht="46.5" customHeight="1" x14ac:dyDescent="0.3">
      <c r="A172" s="338">
        <f>'Unit Data from Audit Worksheet'!A192</f>
        <v>98</v>
      </c>
      <c r="B172" s="352" t="str">
        <f>'Unit Data from Audit Worksheet'!C192</f>
        <v>Electric Fund Revenue, Expenses &amp; Changes in Fund Net Position</v>
      </c>
      <c r="C172" s="337" t="str">
        <f>'Unit Data from Audit Worksheet'!D192</f>
        <v>Interest expense</v>
      </c>
      <c r="D172" s="357"/>
      <c r="E172" s="358">
        <f>'Unit Data from Audit Worksheet'!F192</f>
        <v>0</v>
      </c>
      <c r="F172" s="351">
        <f>IF(L172&lt;0,"Error: Enter as a positive.",)</f>
        <v>0</v>
      </c>
      <c r="G172" s="353"/>
      <c r="H172" s="350">
        <f>'Unit Data from Audit Worksheet'!I192</f>
        <v>0</v>
      </c>
      <c r="I172" s="38"/>
      <c r="J172" s="349">
        <v>98</v>
      </c>
      <c r="K172" s="348" t="s">
        <v>241</v>
      </c>
      <c r="L172" s="586">
        <f t="shared" si="20"/>
        <v>0</v>
      </c>
      <c r="P172" s="320"/>
      <c r="W172" s="3" t="b">
        <f t="shared" si="19"/>
        <v>1</v>
      </c>
      <c r="X172" s="583">
        <f t="shared" si="12"/>
        <v>0</v>
      </c>
      <c r="Y172" s="583">
        <f t="shared" si="13"/>
        <v>0</v>
      </c>
    </row>
    <row r="173" spans="1:25" ht="51" customHeight="1" x14ac:dyDescent="0.3">
      <c r="A173" s="338">
        <f>'Unit Data from Audit Worksheet'!A193</f>
        <v>363</v>
      </c>
      <c r="B173" s="352" t="str">
        <f>'Unit Data from Audit Worksheet'!C193</f>
        <v>Electric Fund Revenue, Expenses &amp; Changes in Fund Net Position</v>
      </c>
      <c r="C173" s="337" t="str">
        <f>'Unit Data from Audit Worksheet'!D193</f>
        <v>Total all the non-operating revenues  
Exclude Capital Contributions.</v>
      </c>
      <c r="D173" s="357"/>
      <c r="E173" s="358">
        <f>'Unit Data from Audit Worksheet'!F193</f>
        <v>0</v>
      </c>
      <c r="F173" s="351"/>
      <c r="G173" s="353"/>
      <c r="H173" s="350">
        <f>'Unit Data from Audit Worksheet'!I193</f>
        <v>0</v>
      </c>
      <c r="I173" s="38"/>
      <c r="J173" s="349">
        <v>363</v>
      </c>
      <c r="K173" s="348" t="s">
        <v>242</v>
      </c>
      <c r="L173" s="586">
        <f t="shared" si="20"/>
        <v>0</v>
      </c>
      <c r="P173" s="320"/>
      <c r="W173" s="3" t="b">
        <f t="shared" si="19"/>
        <v>1</v>
      </c>
      <c r="X173" s="583">
        <f t="shared" si="12"/>
        <v>0</v>
      </c>
      <c r="Y173" s="583">
        <f t="shared" si="13"/>
        <v>0</v>
      </c>
    </row>
    <row r="174" spans="1:25" ht="60" customHeight="1" x14ac:dyDescent="0.3">
      <c r="A174" s="338">
        <f>'Unit Data from Audit Worksheet'!A194</f>
        <v>364</v>
      </c>
      <c r="B174" s="352" t="str">
        <f>'Unit Data from Audit Worksheet'!C194</f>
        <v>Electric Fund Revenue, Expenses &amp; Changes in Fund Net Position</v>
      </c>
      <c r="C174" s="337" t="str">
        <f>'Unit Data from Audit Worksheet'!D194</f>
        <v>Total all non-operating expenses.  
Include negative special, extraordinary, or capital contribution.</v>
      </c>
      <c r="D174" s="357"/>
      <c r="E174" s="358">
        <f>'Unit Data from Audit Worksheet'!F194</f>
        <v>0</v>
      </c>
      <c r="F174" s="351">
        <f>IF(L174&lt;0,"Error: Enter as a positive.",)</f>
        <v>0</v>
      </c>
      <c r="G174" s="353"/>
      <c r="H174" s="350">
        <f>'Unit Data from Audit Worksheet'!I194</f>
        <v>0</v>
      </c>
      <c r="I174" s="38"/>
      <c r="J174" s="349">
        <v>364</v>
      </c>
      <c r="K174" s="348" t="s">
        <v>243</v>
      </c>
      <c r="L174" s="586">
        <f t="shared" si="20"/>
        <v>0</v>
      </c>
      <c r="P174" s="320"/>
      <c r="W174" s="3" t="b">
        <f t="shared" si="19"/>
        <v>1</v>
      </c>
      <c r="X174" s="583">
        <f t="shared" si="12"/>
        <v>0</v>
      </c>
      <c r="Y174" s="583">
        <f t="shared" si="13"/>
        <v>0</v>
      </c>
    </row>
    <row r="175" spans="1:25" ht="89.25" customHeight="1" x14ac:dyDescent="0.3">
      <c r="A175" s="338">
        <f>'Unit Data from Audit Worksheet'!A195</f>
        <v>192</v>
      </c>
      <c r="B175" s="352" t="str">
        <f>'Unit Data from Audit Worksheet'!C195</f>
        <v>Electric Fund Revenue, Expenses &amp; Changes in Fund Net Position</v>
      </c>
      <c r="C175" s="337" t="str">
        <f>'Unit Data from Audit Worksheet'!D195</f>
        <v>Capital Contributions.  
Include only positive capital Contributions.  Negative capital contributions should be included with 'Total all non-operating expenses.'</v>
      </c>
      <c r="D175" s="357"/>
      <c r="E175" s="358">
        <f>'Unit Data from Audit Worksheet'!F195</f>
        <v>0</v>
      </c>
      <c r="F175" s="351">
        <f>IF(L175&lt;0,"Error: Enter as a positive.",)</f>
        <v>0</v>
      </c>
      <c r="G175" s="353"/>
      <c r="H175" s="350">
        <f>'Unit Data from Audit Worksheet'!I195</f>
        <v>0</v>
      </c>
      <c r="I175" s="38"/>
      <c r="J175" s="349">
        <v>192</v>
      </c>
      <c r="K175" s="348" t="s">
        <v>244</v>
      </c>
      <c r="L175" s="586">
        <f t="shared" si="20"/>
        <v>0</v>
      </c>
      <c r="P175" s="320"/>
      <c r="W175" s="3" t="b">
        <f t="shared" si="19"/>
        <v>1</v>
      </c>
      <c r="X175" s="583">
        <f t="shared" si="12"/>
        <v>0</v>
      </c>
      <c r="Y175" s="583">
        <f t="shared" si="13"/>
        <v>0</v>
      </c>
    </row>
    <row r="176" spans="1:25" ht="42.75" customHeight="1" x14ac:dyDescent="0.3">
      <c r="A176" s="338">
        <f>'Unit Data from Audit Worksheet'!A196</f>
        <v>365</v>
      </c>
      <c r="B176" s="352" t="str">
        <f>'Unit Data from Audit Worksheet'!C196</f>
        <v>Electric Fund Revenue, Expenses &amp; Changes in Fund Net Position</v>
      </c>
      <c r="C176" s="337" t="str">
        <f>'Unit Data from Audit Worksheet'!D196</f>
        <v>Total Transfers In (From all Funds)</v>
      </c>
      <c r="D176" s="357"/>
      <c r="E176" s="358">
        <f>'Unit Data from Audit Worksheet'!F196</f>
        <v>0</v>
      </c>
      <c r="F176" s="351"/>
      <c r="G176" s="353"/>
      <c r="H176" s="350">
        <f>'Unit Data from Audit Worksheet'!I196</f>
        <v>0</v>
      </c>
      <c r="I176" s="38"/>
      <c r="J176" s="349">
        <v>365</v>
      </c>
      <c r="K176" s="348" t="s">
        <v>245</v>
      </c>
      <c r="L176" s="586">
        <f t="shared" si="20"/>
        <v>0</v>
      </c>
      <c r="P176" s="320"/>
      <c r="W176" s="3" t="b">
        <f t="shared" si="19"/>
        <v>1</v>
      </c>
      <c r="X176" s="583">
        <f t="shared" si="12"/>
        <v>0</v>
      </c>
      <c r="Y176" s="583">
        <f t="shared" si="13"/>
        <v>0</v>
      </c>
    </row>
    <row r="177" spans="1:25" ht="42.75" customHeight="1" x14ac:dyDescent="0.3">
      <c r="A177" s="338">
        <f>'Unit Data from Audit Worksheet'!A197</f>
        <v>366</v>
      </c>
      <c r="B177" s="352" t="str">
        <f>'Unit Data from Audit Worksheet'!C197</f>
        <v>Electric Fund Revenue, Expenses &amp; Changes in Fund Net Position</v>
      </c>
      <c r="C177" s="337" t="str">
        <f>'Unit Data from Audit Worksheet'!D197</f>
        <v>Total Transfers Out (To all funds)</v>
      </c>
      <c r="D177" s="357"/>
      <c r="E177" s="358">
        <f>'Unit Data from Audit Worksheet'!F197</f>
        <v>0</v>
      </c>
      <c r="F177" s="351">
        <f>IF(L177&lt;0,"Error: Enter as a positive.",)</f>
        <v>0</v>
      </c>
      <c r="G177" s="353"/>
      <c r="H177" s="350">
        <f>'Unit Data from Audit Worksheet'!I197</f>
        <v>0</v>
      </c>
      <c r="I177" s="38"/>
      <c r="J177" s="349">
        <v>366</v>
      </c>
      <c r="K177" s="348" t="s">
        <v>536</v>
      </c>
      <c r="L177" s="586">
        <f t="shared" si="20"/>
        <v>0</v>
      </c>
      <c r="P177" s="320"/>
      <c r="W177" s="3" t="b">
        <f t="shared" si="19"/>
        <v>1</v>
      </c>
      <c r="X177" s="583">
        <f t="shared" si="12"/>
        <v>0</v>
      </c>
      <c r="Y177" s="583">
        <f t="shared" si="13"/>
        <v>0</v>
      </c>
    </row>
    <row r="178" spans="1:25" s="18" customFormat="1" ht="76.5" customHeight="1" x14ac:dyDescent="0.3">
      <c r="A178" s="338">
        <f>'Unit Data from Audit Worksheet'!A198</f>
        <v>53</v>
      </c>
      <c r="B178" s="352" t="str">
        <f>'Unit Data from Audit Worksheet'!C198</f>
        <v>Electric Fund Revenue, Expenses &amp; Changes in Fund Net Position</v>
      </c>
      <c r="C178" s="337" t="str">
        <f>'Unit Data from Audit Worksheet'!D198</f>
        <v>Change in net position - Increase in net position is recorded as a positive and a (decrease) in net position is recorded as a negative.</v>
      </c>
      <c r="D178" s="357"/>
      <c r="E178" s="358">
        <f>'Unit Data from Audit Worksheet'!F198</f>
        <v>0</v>
      </c>
      <c r="F178" s="351">
        <f>IF(L168-L171+L173-L174+L175+L176-L177-L178=0,,"Error: Total revenues less total exp. does not equal change in net position Acct 93-94+363-364+192+365-366-53=0")</f>
        <v>0</v>
      </c>
      <c r="G178" s="91">
        <f>+L168-L171+L173-L174+L175+L176-L177-L178</f>
        <v>0</v>
      </c>
      <c r="H178" s="350">
        <f>'Unit Data from Audit Worksheet'!I198</f>
        <v>0</v>
      </c>
      <c r="I178" s="38"/>
      <c r="J178" s="349">
        <v>53</v>
      </c>
      <c r="K178" s="348" t="s">
        <v>101</v>
      </c>
      <c r="L178" s="586">
        <f t="shared" si="20"/>
        <v>0</v>
      </c>
      <c r="P178" s="320"/>
      <c r="Q178" s="576">
        <f>IF(G178&lt;&gt;0,1,0)</f>
        <v>0</v>
      </c>
      <c r="R178" s="3"/>
      <c r="W178" s="3" t="b">
        <f t="shared" si="19"/>
        <v>1</v>
      </c>
      <c r="X178" s="583">
        <f t="shared" si="12"/>
        <v>0</v>
      </c>
      <c r="Y178" s="583">
        <f t="shared" si="13"/>
        <v>0</v>
      </c>
    </row>
    <row r="179" spans="1:25" ht="140.25" customHeight="1" x14ac:dyDescent="0.3">
      <c r="A179" s="338">
        <f>'Unit Data from Audit Worksheet'!A199</f>
        <v>378</v>
      </c>
      <c r="B179" s="352" t="str">
        <f>'Unit Data from Audit Worksheet'!C199</f>
        <v>Electric Fund Revenue, Expenses &amp; Changes in Fund Net Position</v>
      </c>
      <c r="C179" s="337" t="str">
        <f>'Unit Data from Audit Worksheet'!D199</f>
        <v>Increases or (decreases) to beginning electric net position due to rounding, prior period adjustments and restatements.  Increase amounts to beginning net position should be entered as a positive amount and (decreases) should be entered as a negative amount.</v>
      </c>
      <c r="D179" s="357"/>
      <c r="E179" s="358">
        <f>+'Unit Data from Audit Worksheet'!F199</f>
        <v>0</v>
      </c>
      <c r="F179" s="351" t="e">
        <f>IF(L151-L178-L179=O151,,"Error: Beg. Bal does not agree with our records Acct 362-53-378= pr yr 362")</f>
        <v>#N/A</v>
      </c>
      <c r="G179" s="91" t="e">
        <f>L151-L178-L179-O151</f>
        <v>#N/A</v>
      </c>
      <c r="H179" s="350" t="str">
        <f>'Unit Data from Audit Worksheet'!I199</f>
        <v>Please do not enter prior's years beginning balance as an adjustment in column F.</v>
      </c>
      <c r="I179" s="38"/>
      <c r="J179" s="349">
        <v>378</v>
      </c>
      <c r="K179" s="348" t="s">
        <v>110</v>
      </c>
      <c r="L179" s="586">
        <f t="shared" si="20"/>
        <v>0</v>
      </c>
      <c r="P179" s="320"/>
      <c r="Q179" s="576" t="e">
        <f>IF(G179&lt;&gt;0,1,0)</f>
        <v>#N/A</v>
      </c>
      <c r="W179" s="3" t="b">
        <f t="shared" si="19"/>
        <v>1</v>
      </c>
      <c r="X179" s="583">
        <f t="shared" si="12"/>
        <v>0</v>
      </c>
      <c r="Y179" s="583">
        <f t="shared" si="13"/>
        <v>0</v>
      </c>
    </row>
    <row r="180" spans="1:25" ht="28.8" x14ac:dyDescent="0.3">
      <c r="A180" s="338">
        <f>'Unit Data from Audit Worksheet'!A204</f>
        <v>51</v>
      </c>
      <c r="B180" s="352" t="str">
        <f>'Unit Data from Audit Worksheet'!C204</f>
        <v>Water Sewer Cash Flow Statement</v>
      </c>
      <c r="C180" s="337" t="str">
        <f>'Unit Data from Audit Worksheet'!D204</f>
        <v>Total Cash flow from operating activities  - (Enter negative cash flows as negative)</v>
      </c>
      <c r="D180" s="357"/>
      <c r="E180" s="358">
        <f>'Unit Data from Audit Worksheet'!F204</f>
        <v>0</v>
      </c>
      <c r="F180" s="351"/>
      <c r="G180" s="353"/>
      <c r="H180" s="350">
        <f>'Unit Data from Audit Worksheet'!I204</f>
        <v>0</v>
      </c>
      <c r="I180" s="38"/>
      <c r="J180" s="349">
        <v>51</v>
      </c>
      <c r="K180" s="348" t="s">
        <v>246</v>
      </c>
      <c r="L180" s="586">
        <f t="shared" si="20"/>
        <v>0</v>
      </c>
      <c r="P180" s="320"/>
      <c r="W180" s="3" t="b">
        <f t="shared" si="19"/>
        <v>1</v>
      </c>
      <c r="X180" s="583">
        <f t="shared" si="12"/>
        <v>0</v>
      </c>
      <c r="Y180" s="583">
        <f t="shared" si="13"/>
        <v>0</v>
      </c>
    </row>
    <row r="181" spans="1:25" ht="64.5" customHeight="1" x14ac:dyDescent="0.3">
      <c r="A181" s="338">
        <f>'Unit Data from Audit Worksheet'!A205</f>
        <v>332</v>
      </c>
      <c r="B181" s="352" t="str">
        <f>'Unit Data from Audit Worksheet'!C205</f>
        <v>Water Sewer Cash Flow Statement</v>
      </c>
      <c r="C181" s="337" t="str">
        <f>'Unit Data from Audit Worksheet'!D205</f>
        <v>Total Capital outlay. 
Include acquisition and construction of capital assets.</v>
      </c>
      <c r="D181" s="357"/>
      <c r="E181" s="358">
        <f>'Unit Data from Audit Worksheet'!F205</f>
        <v>0</v>
      </c>
      <c r="F181" s="351">
        <f>IF(L181&lt;0,"Error: Enter as a positive.",)</f>
        <v>0</v>
      </c>
      <c r="G181" s="353"/>
      <c r="H181" s="350">
        <f>'Unit Data from Audit Worksheet'!I205</f>
        <v>0</v>
      </c>
      <c r="I181" s="38"/>
      <c r="J181" s="349">
        <v>332</v>
      </c>
      <c r="K181" s="348" t="s">
        <v>248</v>
      </c>
      <c r="L181" s="586">
        <f t="shared" si="20"/>
        <v>0</v>
      </c>
      <c r="O181" s="594"/>
      <c r="P181" s="320"/>
      <c r="W181" s="3" t="b">
        <f t="shared" si="19"/>
        <v>1</v>
      </c>
      <c r="X181" s="583">
        <f t="shared" si="12"/>
        <v>0</v>
      </c>
      <c r="Y181" s="583">
        <f t="shared" si="13"/>
        <v>0</v>
      </c>
    </row>
    <row r="182" spans="1:25" ht="58.5" customHeight="1" x14ac:dyDescent="0.3">
      <c r="A182" s="338">
        <f>'Unit Data from Audit Worksheet'!A206</f>
        <v>331</v>
      </c>
      <c r="B182" s="352" t="str">
        <f>'Unit Data from Audit Worksheet'!C206</f>
        <v>Water Sewer Cash Flow Statement</v>
      </c>
      <c r="C182" s="337" t="str">
        <f>'Unit Data from Audit Worksheet'!D206</f>
        <v>Principal paid on long-term debt.  Amount should be reduced by principal payments for debt refunding.</v>
      </c>
      <c r="D182" s="357"/>
      <c r="E182" s="358">
        <f>'Unit Data from Audit Worksheet'!F206</f>
        <v>0</v>
      </c>
      <c r="F182" s="351">
        <f>IF(L182&lt;0,"Error: Enter as a positive.",)</f>
        <v>0</v>
      </c>
      <c r="G182" s="353"/>
      <c r="H182" s="350">
        <f>'Unit Data from Audit Worksheet'!I206</f>
        <v>0</v>
      </c>
      <c r="I182" s="38"/>
      <c r="J182" s="349">
        <v>331</v>
      </c>
      <c r="K182" s="348" t="s">
        <v>247</v>
      </c>
      <c r="L182" s="586">
        <f t="shared" si="20"/>
        <v>0</v>
      </c>
      <c r="O182" s="594"/>
      <c r="P182" s="320"/>
      <c r="W182" s="3" t="b">
        <f t="shared" si="19"/>
        <v>1</v>
      </c>
      <c r="X182" s="583">
        <f t="shared" ref="X182:X276" si="21">E182-L182</f>
        <v>0</v>
      </c>
      <c r="Y182" s="583">
        <f t="shared" ref="Y182:Y276" si="22">D182-L182</f>
        <v>0</v>
      </c>
    </row>
    <row r="183" spans="1:25" ht="51.75" customHeight="1" x14ac:dyDescent="0.3">
      <c r="A183" s="338">
        <f>'Unit Data from Audit Worksheet'!A208</f>
        <v>55</v>
      </c>
      <c r="B183" s="352" t="str">
        <f>'Unit Data from Audit Worksheet'!C208</f>
        <v>Electric Fund Cash Flow Statement</v>
      </c>
      <c r="C183" s="337" t="str">
        <f>'Unit Data from Audit Worksheet'!D208</f>
        <v>Cash flow from operating activities - (enter negative cash flows as negative)</v>
      </c>
      <c r="D183" s="357"/>
      <c r="E183" s="358">
        <f>'Unit Data from Audit Worksheet'!F208</f>
        <v>0</v>
      </c>
      <c r="F183" s="351"/>
      <c r="G183" s="353"/>
      <c r="H183" s="350">
        <f>'Unit Data from Audit Worksheet'!I208</f>
        <v>0</v>
      </c>
      <c r="I183" s="38"/>
      <c r="J183" s="349">
        <v>55</v>
      </c>
      <c r="K183" s="348" t="s">
        <v>249</v>
      </c>
      <c r="L183" s="586">
        <f t="shared" si="20"/>
        <v>0</v>
      </c>
      <c r="P183" s="320"/>
      <c r="W183" s="3" t="b">
        <f t="shared" si="19"/>
        <v>1</v>
      </c>
      <c r="X183" s="583">
        <f t="shared" si="21"/>
        <v>0</v>
      </c>
      <c r="Y183" s="583">
        <f t="shared" si="22"/>
        <v>0</v>
      </c>
    </row>
    <row r="184" spans="1:25" ht="58.5" customHeight="1" x14ac:dyDescent="0.3">
      <c r="A184" s="338">
        <f>'Unit Data from Audit Worksheet'!A209</f>
        <v>101</v>
      </c>
      <c r="B184" s="352" t="str">
        <f>'Unit Data from Audit Worksheet'!C209</f>
        <v>Electric Fund Cash Flow Statement</v>
      </c>
      <c r="C184" s="337" t="str">
        <f>'Unit Data from Audit Worksheet'!D209</f>
        <v>Total Capital outlay.  
Include acquisition and construction of capital assets.</v>
      </c>
      <c r="D184" s="357"/>
      <c r="E184" s="358">
        <f>'Unit Data from Audit Worksheet'!F209</f>
        <v>0</v>
      </c>
      <c r="F184" s="351">
        <f>IF(L184&lt;0,"Error: Enter as a positive.",)</f>
        <v>0</v>
      </c>
      <c r="G184" s="353"/>
      <c r="H184" s="350">
        <f>'Unit Data from Audit Worksheet'!I209</f>
        <v>0</v>
      </c>
      <c r="I184" s="38"/>
      <c r="J184" s="349">
        <v>101</v>
      </c>
      <c r="K184" s="348" t="s">
        <v>250</v>
      </c>
      <c r="L184" s="586">
        <f t="shared" si="20"/>
        <v>0</v>
      </c>
      <c r="P184" s="320"/>
      <c r="W184" s="3" t="b">
        <f t="shared" si="19"/>
        <v>1</v>
      </c>
      <c r="X184" s="583">
        <f t="shared" si="21"/>
        <v>0</v>
      </c>
      <c r="Y184" s="583">
        <f t="shared" si="22"/>
        <v>0</v>
      </c>
    </row>
    <row r="185" spans="1:25" ht="60.75" customHeight="1" x14ac:dyDescent="0.3">
      <c r="A185" s="338">
        <f>'Unit Data from Audit Worksheet'!A210</f>
        <v>100</v>
      </c>
      <c r="B185" s="352" t="str">
        <f>'Unit Data from Audit Worksheet'!C210</f>
        <v>Electric Fund Cash Flow Statement</v>
      </c>
      <c r="C185" s="337" t="str">
        <f>'Unit Data from Audit Worksheet'!D210</f>
        <v>Principal paid on long-term debt.  Amount should be reduced by principal payments for debt refunding.</v>
      </c>
      <c r="D185" s="357"/>
      <c r="E185" s="358">
        <f>'Unit Data from Audit Worksheet'!F210</f>
        <v>0</v>
      </c>
      <c r="F185" s="351">
        <f>IF(L185&lt;0,"Error: Enter as a positive.",)</f>
        <v>0</v>
      </c>
      <c r="G185" s="353"/>
      <c r="H185" s="350">
        <f>'Unit Data from Audit Worksheet'!I210</f>
        <v>0</v>
      </c>
      <c r="I185" s="38"/>
      <c r="J185" s="349">
        <v>100</v>
      </c>
      <c r="K185" s="348" t="s">
        <v>251</v>
      </c>
      <c r="L185" s="586">
        <f t="shared" si="20"/>
        <v>0</v>
      </c>
      <c r="P185" s="320"/>
      <c r="W185" s="3" t="b">
        <f t="shared" si="19"/>
        <v>1</v>
      </c>
      <c r="X185" s="583">
        <f t="shared" si="21"/>
        <v>0</v>
      </c>
      <c r="Y185" s="583">
        <f t="shared" si="22"/>
        <v>0</v>
      </c>
    </row>
    <row r="186" spans="1:25" ht="71.25" customHeight="1" x14ac:dyDescent="0.3">
      <c r="A186" s="338">
        <f>'Unit Data from Audit Worksheet'!A212</f>
        <v>512</v>
      </c>
      <c r="B186" s="352" t="str">
        <f>'Unit Data from Audit Worksheet'!C212</f>
        <v>Fiduciary Statements</v>
      </c>
      <c r="C186" s="337" t="str">
        <f>'Unit Data from Audit Worksheet'!D212</f>
        <v>Cash and investments.  
Include:  unrestricted and restricted.  
                   cash and investments held 
                   by a third party</v>
      </c>
      <c r="D186" s="357"/>
      <c r="E186" s="358">
        <f>'Unit Data from Audit Worksheet'!F212</f>
        <v>0</v>
      </c>
      <c r="F186" s="351">
        <f>IF(L186&lt;0,"Error: Number is normally positive.",)</f>
        <v>0</v>
      </c>
      <c r="G186" s="353"/>
      <c r="H186" s="350">
        <f>'Unit Data from Audit Worksheet'!I212</f>
        <v>0</v>
      </c>
      <c r="I186" s="38"/>
      <c r="J186" s="349">
        <v>512</v>
      </c>
      <c r="K186" s="348" t="s">
        <v>252</v>
      </c>
      <c r="L186" s="586">
        <f t="shared" si="20"/>
        <v>0</v>
      </c>
      <c r="P186" s="320"/>
      <c r="W186" s="3" t="b">
        <f t="shared" si="19"/>
        <v>1</v>
      </c>
      <c r="X186" s="583">
        <f t="shared" si="21"/>
        <v>0</v>
      </c>
      <c r="Y186" s="583">
        <f t="shared" si="22"/>
        <v>0</v>
      </c>
    </row>
    <row r="187" spans="1:25" ht="62.25" customHeight="1" x14ac:dyDescent="0.3">
      <c r="A187" s="338">
        <f>'Unit Data from Audit Worksheet'!A214</f>
        <v>656</v>
      </c>
      <c r="B187" s="352">
        <f>'Unit Data from Audit Worksheet'!C214</f>
        <v>0</v>
      </c>
      <c r="C187" s="337" t="str">
        <f>'Unit Data from Audit Worksheet'!D214</f>
        <v>Do you use prepared food/occupancy tax revenue stream to support debt?  Select "1" for Yes and "2" for No</v>
      </c>
      <c r="D187" s="139"/>
      <c r="E187" s="358">
        <f>'Unit Data from Audit Worksheet'!F214</f>
        <v>0</v>
      </c>
      <c r="F187" s="351"/>
      <c r="G187" s="353"/>
      <c r="H187" s="350"/>
      <c r="I187" s="38"/>
      <c r="J187" s="349">
        <v>656</v>
      </c>
      <c r="K187" s="355" t="s">
        <v>821</v>
      </c>
      <c r="L187" s="612">
        <f>E187</f>
        <v>0</v>
      </c>
      <c r="M187" s="18"/>
      <c r="N187" s="18"/>
      <c r="O187" s="18"/>
      <c r="P187" s="320"/>
      <c r="W187" s="3" t="b">
        <f t="shared" si="19"/>
        <v>1</v>
      </c>
      <c r="X187" s="583">
        <f t="shared" si="21"/>
        <v>0</v>
      </c>
      <c r="Y187" s="583">
        <f t="shared" si="22"/>
        <v>0</v>
      </c>
    </row>
    <row r="188" spans="1:25" s="18" customFormat="1" ht="102.75" customHeight="1" x14ac:dyDescent="0.3">
      <c r="A188" s="338">
        <f>'Unit Data from Audit Worksheet'!A216</f>
        <v>535</v>
      </c>
      <c r="B188" s="352" t="str">
        <f>'Unit Data from Audit Worksheet'!C216</f>
        <v>Cash and Investment Note</v>
      </c>
      <c r="C188" s="337" t="str">
        <f>'Unit Data from Audit Worksheet'!D216</f>
        <v>Cash and Investment - Please list the book value of any unspent debt proceeds (bonds, installment, etc.) in any funds as of June 30.  This information may be on the face of your statements or in the notes</v>
      </c>
      <c r="D188" s="357"/>
      <c r="E188" s="358">
        <f>'Unit Data from Audit Worksheet'!F216</f>
        <v>0</v>
      </c>
      <c r="F188" s="87" t="str">
        <f>IF(L188&gt;1,,"Reminder: Please make sure you have entered all cash and investments from bond proceeds, if applicable")</f>
        <v>Reminder: Please make sure you have entered all cash and investments from bond proceeds, if applicable</v>
      </c>
      <c r="G188" s="353"/>
      <c r="H188" s="350">
        <f>'Unit Data from Audit Worksheet'!I216</f>
        <v>0</v>
      </c>
      <c r="I188" s="38"/>
      <c r="J188" s="349">
        <v>535</v>
      </c>
      <c r="K188" s="62" t="s">
        <v>253</v>
      </c>
      <c r="L188" s="586">
        <f t="shared" si="20"/>
        <v>0</v>
      </c>
      <c r="P188" s="320"/>
      <c r="Q188" s="576"/>
      <c r="R188" s="3"/>
      <c r="W188" s="3" t="b">
        <f t="shared" si="19"/>
        <v>1</v>
      </c>
      <c r="X188" s="583">
        <f t="shared" si="21"/>
        <v>0</v>
      </c>
      <c r="Y188" s="583">
        <f t="shared" si="22"/>
        <v>0</v>
      </c>
    </row>
    <row r="189" spans="1:25" ht="45.75" customHeight="1" x14ac:dyDescent="0.3">
      <c r="A189" s="338">
        <f>'Unit Data from Audit Worksheet'!A220</f>
        <v>334</v>
      </c>
      <c r="B189" s="352" t="str">
        <f>'Unit Data from Audit Worksheet'!C220</f>
        <v>Gov.-Capital Assets Schedule in the Notes</v>
      </c>
      <c r="C189" s="337" t="str">
        <f>'Unit Data from Audit Worksheet'!D220</f>
        <v>Gross value.  
Exclude non-depreciable.</v>
      </c>
      <c r="D189" s="357"/>
      <c r="E189" s="358">
        <f>'Unit Data from Audit Worksheet'!F220</f>
        <v>0</v>
      </c>
      <c r="F189" s="87"/>
      <c r="G189" s="353"/>
      <c r="H189" s="350">
        <f>'Unit Data from Audit Worksheet'!I220</f>
        <v>0</v>
      </c>
      <c r="I189" s="38"/>
      <c r="J189" s="349">
        <v>334</v>
      </c>
      <c r="K189" s="62" t="s">
        <v>276</v>
      </c>
      <c r="L189" s="586">
        <f t="shared" si="20"/>
        <v>0</v>
      </c>
      <c r="P189" s="320"/>
      <c r="W189" s="3" t="b">
        <f t="shared" si="19"/>
        <v>1</v>
      </c>
      <c r="X189" s="583">
        <f t="shared" si="21"/>
        <v>0</v>
      </c>
      <c r="Y189" s="583">
        <f t="shared" si="22"/>
        <v>0</v>
      </c>
    </row>
    <row r="190" spans="1:25" ht="57" customHeight="1" x14ac:dyDescent="0.3">
      <c r="A190" s="338">
        <f>'Unit Data from Audit Worksheet'!A221</f>
        <v>373</v>
      </c>
      <c r="B190" s="352" t="str">
        <f>'Unit Data from Audit Worksheet'!C221</f>
        <v>Gov.-Capital Assets Schedule in the Notes</v>
      </c>
      <c r="C190" s="337" t="str">
        <f>'Unit Data from Audit Worksheet'!D221</f>
        <v>Accumulated depreciation</v>
      </c>
      <c r="D190" s="357"/>
      <c r="E190" s="358">
        <f>'Unit Data from Audit Worksheet'!F221</f>
        <v>0</v>
      </c>
      <c r="F190" s="87"/>
      <c r="G190" s="353"/>
      <c r="H190" s="350">
        <f>'Unit Data from Audit Worksheet'!I221</f>
        <v>0</v>
      </c>
      <c r="I190" s="38"/>
      <c r="J190" s="349">
        <v>373</v>
      </c>
      <c r="K190" s="58" t="s">
        <v>549</v>
      </c>
      <c r="L190" s="586">
        <f t="shared" si="20"/>
        <v>0</v>
      </c>
      <c r="P190" s="320"/>
      <c r="W190" s="3" t="b">
        <f t="shared" si="19"/>
        <v>1</v>
      </c>
      <c r="X190" s="583">
        <f t="shared" si="21"/>
        <v>0</v>
      </c>
      <c r="Y190" s="583">
        <f t="shared" si="22"/>
        <v>0</v>
      </c>
    </row>
    <row r="191" spans="1:25" ht="102.75" customHeight="1" x14ac:dyDescent="0.3">
      <c r="A191" s="602">
        <f>'Unit Data from Audit Worksheet'!A222</f>
        <v>987</v>
      </c>
      <c r="B191" s="356">
        <f>'Unit Data from Audit Worksheet'!C222</f>
        <v>0</v>
      </c>
      <c r="C191" s="603" t="str">
        <f>'Unit Data from Audit Worksheet'!D222</f>
        <v xml:space="preserve">Estimated cost not yet budgeted of any mandate placed on unit by DEQ, a court order or some similar requirement (that has no realistic appeal path). </v>
      </c>
      <c r="D191" s="357"/>
      <c r="E191" s="358">
        <f>'Unit Data from Audit Worksheet'!F222</f>
        <v>0</v>
      </c>
      <c r="F191" s="87"/>
      <c r="G191" s="353"/>
      <c r="H191" s="350">
        <f>'Unit Data from Audit Worksheet'!I222</f>
        <v>0</v>
      </c>
      <c r="I191" s="38"/>
      <c r="J191" s="367">
        <v>987</v>
      </c>
      <c r="K191" s="613" t="s">
        <v>1315</v>
      </c>
      <c r="L191" s="604">
        <f t="shared" si="20"/>
        <v>0</v>
      </c>
      <c r="P191" s="320"/>
      <c r="W191" s="3" t="b">
        <f t="shared" si="19"/>
        <v>1</v>
      </c>
      <c r="X191" s="583"/>
      <c r="Y191" s="583"/>
    </row>
    <row r="192" spans="1:25" ht="69" customHeight="1" x14ac:dyDescent="0.3">
      <c r="A192" s="602">
        <f>'Unit Data from Audit Worksheet'!A223</f>
        <v>988</v>
      </c>
      <c r="B192" s="356">
        <f>'Unit Data from Audit Worksheet'!C223</f>
        <v>0</v>
      </c>
      <c r="C192" s="603" t="str">
        <f>'Unit Data from Audit Worksheet'!D223</f>
        <v>Do you operate a landfill that will be closing  or have a significant portion closing within the next 5 years?  Select "1" for Yes and "2" for No</v>
      </c>
      <c r="D192" s="357"/>
      <c r="E192" s="358">
        <f>'Unit Data from Audit Worksheet'!F223</f>
        <v>0</v>
      </c>
      <c r="F192" s="87"/>
      <c r="G192" s="353"/>
      <c r="H192" s="350">
        <f>'Unit Data from Audit Worksheet'!I223</f>
        <v>0</v>
      </c>
      <c r="I192" s="38"/>
      <c r="J192" s="367">
        <v>988</v>
      </c>
      <c r="K192" s="613" t="s">
        <v>1795</v>
      </c>
      <c r="L192" s="604">
        <f t="shared" si="20"/>
        <v>0</v>
      </c>
      <c r="P192" s="320"/>
      <c r="W192" s="3" t="b">
        <f t="shared" si="19"/>
        <v>1</v>
      </c>
      <c r="X192" s="583"/>
      <c r="Y192" s="583"/>
    </row>
    <row r="193" spans="1:25" ht="95.25" customHeight="1" x14ac:dyDescent="0.3">
      <c r="A193" s="602">
        <f>'Unit Data from Audit Worksheet'!A224</f>
        <v>989</v>
      </c>
      <c r="B193" s="356">
        <f>'Unit Data from Audit Worksheet'!C224</f>
        <v>0</v>
      </c>
      <c r="C193" s="603" t="str">
        <f>'Unit Data from Audit Worksheet'!D224</f>
        <v>If you answered "yes" to question #988 above, will you have the closure/postclosure cost fully funded by the date of closure?  Select "1" for Yes,  "2" for No, or "3" for N/A.</v>
      </c>
      <c r="D193" s="357"/>
      <c r="E193" s="358">
        <f>'Unit Data from Audit Worksheet'!F224</f>
        <v>0</v>
      </c>
      <c r="F193" s="87"/>
      <c r="G193" s="353"/>
      <c r="H193" s="350">
        <f>'Unit Data from Audit Worksheet'!I224</f>
        <v>0</v>
      </c>
      <c r="I193" s="38"/>
      <c r="J193" s="367">
        <v>989</v>
      </c>
      <c r="K193" s="613" t="s">
        <v>1577</v>
      </c>
      <c r="L193" s="604">
        <f t="shared" si="20"/>
        <v>0</v>
      </c>
      <c r="P193" s="320"/>
      <c r="W193" s="3" t="b">
        <f t="shared" si="19"/>
        <v>1</v>
      </c>
      <c r="X193" s="583"/>
      <c r="Y193" s="583"/>
    </row>
    <row r="194" spans="1:25" ht="57" customHeight="1" x14ac:dyDescent="0.3">
      <c r="A194" s="338">
        <f>'Unit Data from Audit Worksheet'!A228</f>
        <v>327</v>
      </c>
      <c r="B194" s="352" t="str">
        <f>'Unit Data from Audit Worksheet'!C228</f>
        <v>WS-Capital Assets Schedule in the Notes</v>
      </c>
      <c r="C194" s="337" t="str">
        <f>'Unit Data from Audit Worksheet'!D228</f>
        <v>Land and all other non depreciable capital assets 
Exclude construction in progress</v>
      </c>
      <c r="D194" s="357"/>
      <c r="E194" s="358">
        <f>'Unit Data from Audit Worksheet'!F228</f>
        <v>0</v>
      </c>
      <c r="F194" s="87"/>
      <c r="G194" s="353"/>
      <c r="H194" s="350">
        <f>'Unit Data from Audit Worksheet'!I228</f>
        <v>0</v>
      </c>
      <c r="I194" s="38"/>
      <c r="J194" s="349">
        <v>327</v>
      </c>
      <c r="K194" s="58" t="s">
        <v>550</v>
      </c>
      <c r="L194" s="586">
        <f t="shared" si="20"/>
        <v>0</v>
      </c>
      <c r="P194" s="320"/>
      <c r="W194" s="3" t="b">
        <f t="shared" si="19"/>
        <v>1</v>
      </c>
      <c r="X194" s="583">
        <f t="shared" si="21"/>
        <v>0</v>
      </c>
      <c r="Y194" s="583">
        <f t="shared" si="22"/>
        <v>0</v>
      </c>
    </row>
    <row r="195" spans="1:25" ht="57" customHeight="1" x14ac:dyDescent="0.3">
      <c r="A195" s="338">
        <f>'Unit Data from Audit Worksheet'!A229</f>
        <v>328</v>
      </c>
      <c r="B195" s="352" t="str">
        <f>'Unit Data from Audit Worksheet'!C229</f>
        <v>WS-Capital Assets Schedule in the Notes</v>
      </c>
      <c r="C195" s="337" t="str">
        <f>'Unit Data from Audit Worksheet'!D229</f>
        <v>Construction in progress</v>
      </c>
      <c r="D195" s="357"/>
      <c r="E195" s="358">
        <f>'Unit Data from Audit Worksheet'!F229</f>
        <v>0</v>
      </c>
      <c r="F195" s="87"/>
      <c r="G195" s="353"/>
      <c r="H195" s="350">
        <f>'Unit Data from Audit Worksheet'!I229</f>
        <v>0</v>
      </c>
      <c r="I195" s="38"/>
      <c r="J195" s="349">
        <v>328</v>
      </c>
      <c r="K195" s="58" t="s">
        <v>551</v>
      </c>
      <c r="L195" s="586">
        <f t="shared" si="20"/>
        <v>0</v>
      </c>
      <c r="P195" s="320"/>
      <c r="W195" s="3" t="b">
        <f t="shared" si="19"/>
        <v>1</v>
      </c>
      <c r="X195" s="583">
        <f t="shared" si="21"/>
        <v>0</v>
      </c>
      <c r="Y195" s="583">
        <f t="shared" si="22"/>
        <v>0</v>
      </c>
    </row>
    <row r="196" spans="1:25" ht="46.5" customHeight="1" x14ac:dyDescent="0.3">
      <c r="A196" s="338">
        <f>'Unit Data from Audit Worksheet'!A233</f>
        <v>515</v>
      </c>
      <c r="B196" s="352" t="str">
        <f>'Unit Data from Audit Worksheet'!C233</f>
        <v>WS Capital Assets Schedule-Gross Value</v>
      </c>
      <c r="C196" s="337" t="str">
        <f>'Unit Data from Audit Worksheet'!D233</f>
        <v>Buildings</v>
      </c>
      <c r="D196" s="357"/>
      <c r="E196" s="358">
        <f>'Unit Data from Audit Worksheet'!F233</f>
        <v>0</v>
      </c>
      <c r="F196" s="87"/>
      <c r="G196" s="353"/>
      <c r="H196" s="350">
        <f>'Unit Data from Audit Worksheet'!I233</f>
        <v>0</v>
      </c>
      <c r="I196" s="38"/>
      <c r="J196" s="349">
        <v>515</v>
      </c>
      <c r="K196" s="58" t="s">
        <v>277</v>
      </c>
      <c r="L196" s="586">
        <f t="shared" si="20"/>
        <v>0</v>
      </c>
      <c r="P196" s="320"/>
      <c r="W196" s="3" t="b">
        <f t="shared" si="19"/>
        <v>1</v>
      </c>
      <c r="X196" s="583">
        <f t="shared" si="21"/>
        <v>0</v>
      </c>
      <c r="Y196" s="583">
        <f t="shared" si="22"/>
        <v>0</v>
      </c>
    </row>
    <row r="197" spans="1:25" ht="46.5" customHeight="1" x14ac:dyDescent="0.3">
      <c r="A197" s="338">
        <f>'Unit Data from Audit Worksheet'!A234</f>
        <v>516</v>
      </c>
      <c r="B197" s="352" t="str">
        <f>'Unit Data from Audit Worksheet'!C234</f>
        <v>WS Capital Assets Schedule-Gross Value</v>
      </c>
      <c r="C197" s="337" t="str">
        <f>'Unit Data from Audit Worksheet'!D234</f>
        <v>Plant / distributions systems / water lines</v>
      </c>
      <c r="D197" s="357"/>
      <c r="E197" s="358">
        <f>'Unit Data from Audit Worksheet'!F234</f>
        <v>0</v>
      </c>
      <c r="F197" s="87"/>
      <c r="G197" s="353"/>
      <c r="H197" s="350">
        <f>'Unit Data from Audit Worksheet'!I234</f>
        <v>0</v>
      </c>
      <c r="I197" s="38"/>
      <c r="J197" s="349">
        <v>516</v>
      </c>
      <c r="K197" s="58" t="s">
        <v>278</v>
      </c>
      <c r="L197" s="586">
        <f t="shared" si="20"/>
        <v>0</v>
      </c>
      <c r="P197" s="320"/>
      <c r="W197" s="3" t="b">
        <f t="shared" ref="W197:W228" si="23">EXACT(A197,J197)</f>
        <v>1</v>
      </c>
      <c r="X197" s="583">
        <f t="shared" si="21"/>
        <v>0</v>
      </c>
      <c r="Y197" s="583">
        <f t="shared" si="22"/>
        <v>0</v>
      </c>
    </row>
    <row r="198" spans="1:25" ht="46.5" customHeight="1" x14ac:dyDescent="0.3">
      <c r="A198" s="338">
        <f>'Unit Data from Audit Worksheet'!A235</f>
        <v>517</v>
      </c>
      <c r="B198" s="352" t="str">
        <f>'Unit Data from Audit Worksheet'!C235</f>
        <v>WS Capital Assets Schedule-Gross Value</v>
      </c>
      <c r="C198" s="337" t="str">
        <f>'Unit Data from Audit Worksheet'!D235</f>
        <v>Infrastructure(other infrastructure)</v>
      </c>
      <c r="D198" s="357"/>
      <c r="E198" s="358">
        <f>'Unit Data from Audit Worksheet'!F235</f>
        <v>0</v>
      </c>
      <c r="F198" s="87"/>
      <c r="G198" s="353"/>
      <c r="H198" s="350">
        <f>'Unit Data from Audit Worksheet'!I235</f>
        <v>0</v>
      </c>
      <c r="I198" s="38"/>
      <c r="J198" s="349">
        <v>517</v>
      </c>
      <c r="K198" s="614" t="s">
        <v>279</v>
      </c>
      <c r="L198" s="586">
        <f t="shared" si="20"/>
        <v>0</v>
      </c>
      <c r="P198" s="320"/>
      <c r="W198" s="3" t="b">
        <f t="shared" si="23"/>
        <v>1</v>
      </c>
      <c r="X198" s="583">
        <f t="shared" si="21"/>
        <v>0</v>
      </c>
      <c r="Y198" s="583">
        <f t="shared" si="22"/>
        <v>0</v>
      </c>
    </row>
    <row r="199" spans="1:25" ht="46.5" customHeight="1" x14ac:dyDescent="0.3">
      <c r="A199" s="338">
        <f>'Unit Data from Audit Worksheet'!A236</f>
        <v>518</v>
      </c>
      <c r="B199" s="352" t="str">
        <f>'Unit Data from Audit Worksheet'!C236</f>
        <v>WS Capital Assets Schedule-Gross Value</v>
      </c>
      <c r="C199" s="337" t="str">
        <f>'Unit Data from Audit Worksheet'!D236</f>
        <v>All other depreciable capital assets</v>
      </c>
      <c r="D199" s="357"/>
      <c r="E199" s="358">
        <f>'Unit Data from Audit Worksheet'!F236</f>
        <v>0</v>
      </c>
      <c r="F199" s="87"/>
      <c r="G199" s="353"/>
      <c r="H199" s="350">
        <f>'Unit Data from Audit Worksheet'!I236</f>
        <v>0</v>
      </c>
      <c r="I199" s="38"/>
      <c r="J199" s="349">
        <v>518</v>
      </c>
      <c r="K199" s="614" t="s">
        <v>280</v>
      </c>
      <c r="L199" s="586">
        <f t="shared" si="20"/>
        <v>0</v>
      </c>
      <c r="P199" s="320"/>
      <c r="W199" s="3" t="b">
        <f t="shared" si="23"/>
        <v>1</v>
      </c>
      <c r="X199" s="583">
        <f t="shared" si="21"/>
        <v>0</v>
      </c>
      <c r="Y199" s="583">
        <f t="shared" si="22"/>
        <v>0</v>
      </c>
    </row>
    <row r="200" spans="1:25" ht="52.5" customHeight="1" x14ac:dyDescent="0.3">
      <c r="A200" s="338">
        <f>'Unit Data from Audit Worksheet'!A239</f>
        <v>519</v>
      </c>
      <c r="B200" s="352" t="str">
        <f>'Unit Data from Audit Worksheet'!C239</f>
        <v>WS Capital Assets Schedule-Annual Depreciation</v>
      </c>
      <c r="C200" s="337" t="str">
        <f>'Unit Data from Audit Worksheet'!D239</f>
        <v>Buildings annual depreciation</v>
      </c>
      <c r="D200" s="357"/>
      <c r="E200" s="358">
        <f>'Unit Data from Audit Worksheet'!F239</f>
        <v>0</v>
      </c>
      <c r="F200" s="87"/>
      <c r="G200" s="353"/>
      <c r="H200" s="350">
        <f>'Unit Data from Audit Worksheet'!I239</f>
        <v>0</v>
      </c>
      <c r="I200" s="38"/>
      <c r="J200" s="349">
        <v>519</v>
      </c>
      <c r="K200" s="614" t="s">
        <v>281</v>
      </c>
      <c r="L200" s="586">
        <f t="shared" si="20"/>
        <v>0</v>
      </c>
      <c r="P200" s="320"/>
      <c r="W200" s="3" t="b">
        <f t="shared" si="23"/>
        <v>1</v>
      </c>
      <c r="X200" s="583">
        <f t="shared" si="21"/>
        <v>0</v>
      </c>
      <c r="Y200" s="583">
        <f t="shared" si="22"/>
        <v>0</v>
      </c>
    </row>
    <row r="201" spans="1:25" ht="52.5" customHeight="1" x14ac:dyDescent="0.3">
      <c r="A201" s="338">
        <f>'Unit Data from Audit Worksheet'!A240</f>
        <v>520</v>
      </c>
      <c r="B201" s="352" t="str">
        <f>'Unit Data from Audit Worksheet'!C240</f>
        <v>WS Capital Assets Schedule-Annual Depreciation</v>
      </c>
      <c r="C201" s="337" t="str">
        <f>'Unit Data from Audit Worksheet'!D240</f>
        <v>Plant / distributions systems / water lines annual depreciation</v>
      </c>
      <c r="D201" s="357"/>
      <c r="E201" s="358">
        <f>'Unit Data from Audit Worksheet'!F240</f>
        <v>0</v>
      </c>
      <c r="F201" s="87"/>
      <c r="G201" s="353"/>
      <c r="H201" s="350">
        <f>'Unit Data from Audit Worksheet'!I240</f>
        <v>0</v>
      </c>
      <c r="I201" s="38"/>
      <c r="J201" s="349">
        <v>520</v>
      </c>
      <c r="K201" s="614" t="s">
        <v>282</v>
      </c>
      <c r="L201" s="586">
        <f t="shared" si="20"/>
        <v>0</v>
      </c>
      <c r="P201" s="320"/>
      <c r="W201" s="3" t="b">
        <f t="shared" si="23"/>
        <v>1</v>
      </c>
      <c r="X201" s="583">
        <f t="shared" si="21"/>
        <v>0</v>
      </c>
      <c r="Y201" s="583">
        <f t="shared" si="22"/>
        <v>0</v>
      </c>
    </row>
    <row r="202" spans="1:25" ht="52.5" customHeight="1" x14ac:dyDescent="0.3">
      <c r="A202" s="338">
        <f>'Unit Data from Audit Worksheet'!A241</f>
        <v>521</v>
      </c>
      <c r="B202" s="352" t="str">
        <f>'Unit Data from Audit Worksheet'!C241</f>
        <v>WS Capital Assets Schedule-Annual Depreciation</v>
      </c>
      <c r="C202" s="337" t="str">
        <f>'Unit Data from Audit Worksheet'!D241</f>
        <v>Infrastructure(other infrastructure) annual depreciation</v>
      </c>
      <c r="D202" s="357"/>
      <c r="E202" s="358">
        <f>'Unit Data from Audit Worksheet'!F241</f>
        <v>0</v>
      </c>
      <c r="F202" s="87"/>
      <c r="G202" s="353"/>
      <c r="H202" s="350">
        <f>'Unit Data from Audit Worksheet'!I241</f>
        <v>0</v>
      </c>
      <c r="I202" s="38"/>
      <c r="J202" s="349">
        <v>521</v>
      </c>
      <c r="K202" s="58" t="s">
        <v>283</v>
      </c>
      <c r="L202" s="586">
        <f t="shared" si="20"/>
        <v>0</v>
      </c>
      <c r="P202" s="320"/>
      <c r="W202" s="3" t="b">
        <f t="shared" si="23"/>
        <v>1</v>
      </c>
      <c r="X202" s="583">
        <f t="shared" si="21"/>
        <v>0</v>
      </c>
      <c r="Y202" s="583">
        <f t="shared" si="22"/>
        <v>0</v>
      </c>
    </row>
    <row r="203" spans="1:25" ht="42.75" customHeight="1" x14ac:dyDescent="0.3">
      <c r="A203" s="338">
        <f>'Unit Data from Audit Worksheet'!A242</f>
        <v>522</v>
      </c>
      <c r="B203" s="352" t="str">
        <f>'Unit Data from Audit Worksheet'!C242</f>
        <v>WS Capital Assets Schedule-Annual Depreciation</v>
      </c>
      <c r="C203" s="337" t="str">
        <f>'Unit Data from Audit Worksheet'!D242</f>
        <v>All other depreciable capital assets annual depreciation</v>
      </c>
      <c r="D203" s="357"/>
      <c r="E203" s="358">
        <f>'Unit Data from Audit Worksheet'!F242</f>
        <v>0</v>
      </c>
      <c r="F203" s="87"/>
      <c r="G203" s="353"/>
      <c r="H203" s="350">
        <f>'Unit Data from Audit Worksheet'!I242</f>
        <v>0</v>
      </c>
      <c r="I203" s="38"/>
      <c r="J203" s="349">
        <v>522</v>
      </c>
      <c r="K203" s="58" t="s">
        <v>284</v>
      </c>
      <c r="L203" s="586">
        <f t="shared" si="20"/>
        <v>0</v>
      </c>
      <c r="P203" s="320"/>
      <c r="W203" s="3" t="b">
        <f t="shared" si="23"/>
        <v>1</v>
      </c>
      <c r="X203" s="583">
        <f t="shared" si="21"/>
        <v>0</v>
      </c>
      <c r="Y203" s="583">
        <f t="shared" si="22"/>
        <v>0</v>
      </c>
    </row>
    <row r="204" spans="1:25" ht="42.75" customHeight="1" x14ac:dyDescent="0.3">
      <c r="A204" s="338">
        <f>'Unit Data from Audit Worksheet'!A245</f>
        <v>523</v>
      </c>
      <c r="B204" s="352" t="str">
        <f>'Unit Data from Audit Worksheet'!C245</f>
        <v>WS Capital Assets Schedule-Accumulated Depreciation</v>
      </c>
      <c r="C204" s="337" t="str">
        <f>'Unit Data from Audit Worksheet'!D245</f>
        <v>Building accumulated depreciation</v>
      </c>
      <c r="D204" s="357"/>
      <c r="E204" s="358">
        <f>'Unit Data from Audit Worksheet'!F245</f>
        <v>0</v>
      </c>
      <c r="F204" s="87"/>
      <c r="G204" s="353"/>
      <c r="H204" s="350">
        <f>'Unit Data from Audit Worksheet'!I245</f>
        <v>0</v>
      </c>
      <c r="I204" s="38"/>
      <c r="J204" s="349">
        <v>523</v>
      </c>
      <c r="K204" s="58" t="s">
        <v>285</v>
      </c>
      <c r="L204" s="586">
        <f t="shared" si="20"/>
        <v>0</v>
      </c>
      <c r="P204" s="320"/>
      <c r="W204" s="3" t="b">
        <f t="shared" si="23"/>
        <v>1</v>
      </c>
      <c r="X204" s="583">
        <f t="shared" si="21"/>
        <v>0</v>
      </c>
      <c r="Y204" s="583">
        <f t="shared" si="22"/>
        <v>0</v>
      </c>
    </row>
    <row r="205" spans="1:25" ht="51" customHeight="1" x14ac:dyDescent="0.3">
      <c r="A205" s="338">
        <f>'Unit Data from Audit Worksheet'!A246</f>
        <v>524</v>
      </c>
      <c r="B205" s="352" t="str">
        <f>'Unit Data from Audit Worksheet'!C246</f>
        <v>WS Capital Assets Schedule-Accumulated Depreciation</v>
      </c>
      <c r="C205" s="337" t="str">
        <f>'Unit Data from Audit Worksheet'!D246</f>
        <v>Plant / distributions systems / water lines accumulated depreciation</v>
      </c>
      <c r="D205" s="357"/>
      <c r="E205" s="358">
        <f>'Unit Data from Audit Worksheet'!F246</f>
        <v>0</v>
      </c>
      <c r="F205" s="87"/>
      <c r="G205" s="353"/>
      <c r="H205" s="350">
        <f>'Unit Data from Audit Worksheet'!I246</f>
        <v>0</v>
      </c>
      <c r="I205" s="38"/>
      <c r="J205" s="349">
        <v>524</v>
      </c>
      <c r="K205" s="58" t="s">
        <v>286</v>
      </c>
      <c r="L205" s="586">
        <f t="shared" si="20"/>
        <v>0</v>
      </c>
      <c r="P205" s="320"/>
      <c r="W205" s="3" t="b">
        <f t="shared" si="23"/>
        <v>1</v>
      </c>
      <c r="X205" s="583">
        <f t="shared" si="21"/>
        <v>0</v>
      </c>
      <c r="Y205" s="583">
        <f t="shared" si="22"/>
        <v>0</v>
      </c>
    </row>
    <row r="206" spans="1:25" ht="57.75" customHeight="1" x14ac:dyDescent="0.3">
      <c r="A206" s="338">
        <f>'Unit Data from Audit Worksheet'!A247</f>
        <v>525</v>
      </c>
      <c r="B206" s="352" t="str">
        <f>'Unit Data from Audit Worksheet'!C247</f>
        <v>WS Capital Assets Schedule-Accumulated Depreciation</v>
      </c>
      <c r="C206" s="337" t="str">
        <f>'Unit Data from Audit Worksheet'!D247</f>
        <v>Infrastructure(other infrastructure) accumulated depreciation</v>
      </c>
      <c r="D206" s="357"/>
      <c r="E206" s="358">
        <f>'Unit Data from Audit Worksheet'!F247</f>
        <v>0</v>
      </c>
      <c r="F206" s="87"/>
      <c r="G206" s="353"/>
      <c r="H206" s="350">
        <f>'Unit Data from Audit Worksheet'!I247</f>
        <v>0</v>
      </c>
      <c r="I206" s="38"/>
      <c r="J206" s="349">
        <v>525</v>
      </c>
      <c r="K206" s="58" t="s">
        <v>287</v>
      </c>
      <c r="L206" s="586">
        <f t="shared" si="20"/>
        <v>0</v>
      </c>
      <c r="P206" s="320"/>
      <c r="W206" s="3" t="b">
        <f t="shared" si="23"/>
        <v>1</v>
      </c>
      <c r="X206" s="583">
        <f t="shared" si="21"/>
        <v>0</v>
      </c>
      <c r="Y206" s="583">
        <f t="shared" si="22"/>
        <v>0</v>
      </c>
    </row>
    <row r="207" spans="1:25" ht="48" customHeight="1" x14ac:dyDescent="0.3">
      <c r="A207" s="338">
        <f>'Unit Data from Audit Worksheet'!A248</f>
        <v>526</v>
      </c>
      <c r="B207" s="352" t="str">
        <f>'Unit Data from Audit Worksheet'!C248</f>
        <v>WS Capital Assets Schedule-Accumulated Depreciation</v>
      </c>
      <c r="C207" s="337" t="str">
        <f>'Unit Data from Audit Worksheet'!D248</f>
        <v>All other depreciable capital assets accumulated depreciation</v>
      </c>
      <c r="D207" s="357"/>
      <c r="E207" s="358">
        <f>'Unit Data from Audit Worksheet'!F248</f>
        <v>0</v>
      </c>
      <c r="F207" s="87"/>
      <c r="G207" s="353"/>
      <c r="H207" s="350">
        <f>'Unit Data from Audit Worksheet'!I248</f>
        <v>0</v>
      </c>
      <c r="I207" s="38"/>
      <c r="J207" s="349">
        <v>526</v>
      </c>
      <c r="K207" s="58" t="s">
        <v>288</v>
      </c>
      <c r="L207" s="586">
        <f t="shared" si="20"/>
        <v>0</v>
      </c>
      <c r="P207" s="320"/>
      <c r="W207" s="3" t="b">
        <f t="shared" si="23"/>
        <v>1</v>
      </c>
      <c r="X207" s="583">
        <f t="shared" si="21"/>
        <v>0</v>
      </c>
      <c r="Y207" s="583">
        <f t="shared" si="22"/>
        <v>0</v>
      </c>
    </row>
    <row r="208" spans="1:25" ht="50.25" customHeight="1" x14ac:dyDescent="0.3">
      <c r="A208" s="338">
        <f>'Unit Data from Audit Worksheet'!A253</f>
        <v>527</v>
      </c>
      <c r="B208" s="352" t="str">
        <f>'Unit Data from Audit Worksheet'!C253</f>
        <v>Electric Assets</v>
      </c>
      <c r="C208" s="337" t="str">
        <f>'Unit Data from Audit Worksheet'!D253</f>
        <v>Total Assets Gross value not being depreciated for Electric Fund</v>
      </c>
      <c r="D208" s="357"/>
      <c r="E208" s="358">
        <f>'Unit Data from Audit Worksheet'!F253</f>
        <v>0</v>
      </c>
      <c r="F208" s="87"/>
      <c r="G208" s="353"/>
      <c r="H208" s="350">
        <f>'Unit Data from Audit Worksheet'!I253</f>
        <v>0</v>
      </c>
      <c r="I208" s="38"/>
      <c r="J208" s="349">
        <v>527</v>
      </c>
      <c r="K208" s="58" t="s">
        <v>289</v>
      </c>
      <c r="L208" s="586">
        <f t="shared" si="20"/>
        <v>0</v>
      </c>
      <c r="P208" s="320"/>
      <c r="W208" s="3" t="b">
        <f t="shared" si="23"/>
        <v>1</v>
      </c>
      <c r="X208" s="583">
        <f t="shared" si="21"/>
        <v>0</v>
      </c>
      <c r="Y208" s="583">
        <f t="shared" si="22"/>
        <v>0</v>
      </c>
    </row>
    <row r="209" spans="1:27" ht="54.75" customHeight="1" x14ac:dyDescent="0.3">
      <c r="A209" s="338">
        <f>'Unit Data from Audit Worksheet'!A254</f>
        <v>356</v>
      </c>
      <c r="B209" s="352" t="str">
        <f>'Unit Data from Audit Worksheet'!C254</f>
        <v>Electric Assets</v>
      </c>
      <c r="C209" s="337" t="str">
        <f>'Unit Data from Audit Worksheet'!D254</f>
        <v>Total Assets Gross value of assets being depreciated for Electric Fund</v>
      </c>
      <c r="D209" s="357"/>
      <c r="E209" s="358">
        <f>'Unit Data from Audit Worksheet'!F254</f>
        <v>0</v>
      </c>
      <c r="F209" s="87"/>
      <c r="G209" s="353"/>
      <c r="H209" s="350">
        <f>'Unit Data from Audit Worksheet'!I254</f>
        <v>0</v>
      </c>
      <c r="I209" s="38"/>
      <c r="J209" s="349">
        <v>356</v>
      </c>
      <c r="K209" s="58" t="s">
        <v>552</v>
      </c>
      <c r="L209" s="586">
        <f t="shared" si="20"/>
        <v>0</v>
      </c>
      <c r="P209" s="320"/>
      <c r="W209" s="3" t="b">
        <f t="shared" si="23"/>
        <v>1</v>
      </c>
      <c r="X209" s="583">
        <f t="shared" si="21"/>
        <v>0</v>
      </c>
      <c r="Y209" s="583">
        <f t="shared" si="22"/>
        <v>0</v>
      </c>
    </row>
    <row r="210" spans="1:27" ht="54.75" customHeight="1" x14ac:dyDescent="0.3">
      <c r="A210" s="338">
        <f>'Unit Data from Audit Worksheet'!A255</f>
        <v>357</v>
      </c>
      <c r="B210" s="352" t="str">
        <f>'Unit Data from Audit Worksheet'!C255</f>
        <v>Electric Accumulated Depreciation</v>
      </c>
      <c r="C210" s="337" t="str">
        <f>'Unit Data from Audit Worksheet'!D255</f>
        <v>Total accumulated depreciation for Electric Fund assets</v>
      </c>
      <c r="D210" s="357"/>
      <c r="E210" s="358">
        <f>'Unit Data from Audit Worksheet'!F255</f>
        <v>0</v>
      </c>
      <c r="F210" s="87"/>
      <c r="G210" s="353"/>
      <c r="H210" s="350">
        <f>'Unit Data from Audit Worksheet'!I255</f>
        <v>0</v>
      </c>
      <c r="I210" s="38"/>
      <c r="J210" s="349">
        <v>357</v>
      </c>
      <c r="K210" s="58" t="s">
        <v>553</v>
      </c>
      <c r="L210" s="586">
        <f t="shared" si="20"/>
        <v>0</v>
      </c>
      <c r="P210" s="320"/>
      <c r="W210" s="3" t="b">
        <f t="shared" si="23"/>
        <v>1</v>
      </c>
      <c r="X210" s="583">
        <f t="shared" si="21"/>
        <v>0</v>
      </c>
      <c r="Y210" s="583">
        <f t="shared" si="22"/>
        <v>0</v>
      </c>
    </row>
    <row r="211" spans="1:27" ht="191.25" customHeight="1" x14ac:dyDescent="0.3">
      <c r="A211" s="338">
        <f>'Unit Data from Audit Worksheet'!A257</f>
        <v>337</v>
      </c>
      <c r="B211" s="352" t="str">
        <f>'Unit Data from Audit Worksheet'!C257</f>
        <v>Long-Term Liability Note - Governmental Activities</v>
      </c>
      <c r="C211" s="352" t="str">
        <f>'Unit Data from Audit Worksheet'!D257</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1" s="357"/>
      <c r="E211" s="358">
        <f>'Unit Data from Audit Worksheet'!F257</f>
        <v>0</v>
      </c>
      <c r="F211" s="351">
        <f>IF(L211&lt;0,"Error: Enter as a positive.",)</f>
        <v>0</v>
      </c>
      <c r="G211" s="353"/>
      <c r="H211" s="350">
        <f>'Unit Data from Audit Worksheet'!I257</f>
        <v>0</v>
      </c>
      <c r="I211" s="38"/>
      <c r="J211" s="349">
        <v>337</v>
      </c>
      <c r="K211" s="348" t="s">
        <v>254</v>
      </c>
      <c r="L211" s="586">
        <f t="shared" si="20"/>
        <v>0</v>
      </c>
      <c r="P211" s="320"/>
      <c r="W211" s="3" t="b">
        <f t="shared" si="23"/>
        <v>1</v>
      </c>
      <c r="X211" s="583">
        <f t="shared" si="21"/>
        <v>0</v>
      </c>
      <c r="Y211" s="583">
        <f t="shared" si="22"/>
        <v>0</v>
      </c>
    </row>
    <row r="212" spans="1:27" ht="76.5" customHeight="1" x14ac:dyDescent="0.3">
      <c r="A212" s="338">
        <f>'Unit Data from Audit Worksheet'!A258</f>
        <v>343</v>
      </c>
      <c r="B212" s="352" t="str">
        <f>'Unit Data from Audit Worksheet'!C258</f>
        <v>Long-Term Liability Note - Governmental Activities</v>
      </c>
      <c r="C212" s="337" t="str">
        <f>'Unit Data from Audit Worksheet'!D258</f>
        <v>Decreases made (principal paid) on Long-Term Debt in current fiscal year.  Reduce for debt refunding.</v>
      </c>
      <c r="D212" s="357"/>
      <c r="E212" s="358">
        <f>'Unit Data from Audit Worksheet'!F258</f>
        <v>0</v>
      </c>
      <c r="F212" s="351">
        <f>IF(L212&lt;0,"Error: Enter as a positive.",)</f>
        <v>0</v>
      </c>
      <c r="G212" s="353"/>
      <c r="H212" s="350">
        <f>'Unit Data from Audit Worksheet'!I258</f>
        <v>0</v>
      </c>
      <c r="I212" s="38"/>
      <c r="J212" s="349">
        <v>343</v>
      </c>
      <c r="K212" s="348" t="s">
        <v>255</v>
      </c>
      <c r="L212" s="586">
        <f t="shared" si="20"/>
        <v>0</v>
      </c>
      <c r="P212" s="320"/>
      <c r="W212" s="3" t="b">
        <f t="shared" si="23"/>
        <v>1</v>
      </c>
      <c r="X212" s="583">
        <f t="shared" si="21"/>
        <v>0</v>
      </c>
      <c r="Y212" s="583">
        <f t="shared" si="22"/>
        <v>0</v>
      </c>
    </row>
    <row r="213" spans="1:27" ht="193.5" customHeight="1" x14ac:dyDescent="0.3">
      <c r="A213" s="338">
        <f>'Unit Data from Audit Worksheet'!A259</f>
        <v>82</v>
      </c>
      <c r="B213" s="352" t="str">
        <f>'Unit Data from Audit Worksheet'!C259</f>
        <v>Long-Term Liability Note - Water Sewer Activities</v>
      </c>
      <c r="C213" s="352" t="str">
        <f>'Unit Data from Audit Worksheet'!D259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3" s="357"/>
      <c r="E213" s="358">
        <f>'Unit Data from Audit Worksheet'!F259</f>
        <v>0</v>
      </c>
      <c r="F213" s="351">
        <f>IF(L213&lt;0,"Error: Enter as a positive.",)</f>
        <v>0</v>
      </c>
      <c r="G213" s="353"/>
      <c r="H213" s="350">
        <f>'Unit Data from Audit Worksheet'!I259</f>
        <v>0</v>
      </c>
      <c r="I213" s="38"/>
      <c r="J213" s="349">
        <v>82</v>
      </c>
      <c r="K213" s="69" t="s">
        <v>554</v>
      </c>
      <c r="L213" s="586">
        <f t="shared" si="20"/>
        <v>0</v>
      </c>
      <c r="P213" s="320"/>
      <c r="W213" s="3" t="b">
        <f t="shared" si="23"/>
        <v>1</v>
      </c>
      <c r="X213" s="583">
        <f t="shared" si="21"/>
        <v>0</v>
      </c>
      <c r="Y213" s="583">
        <f t="shared" si="22"/>
        <v>0</v>
      </c>
    </row>
    <row r="214" spans="1:27" ht="206.25" customHeight="1" x14ac:dyDescent="0.3">
      <c r="A214" s="338">
        <f>'Unit Data from Audit Worksheet'!A260</f>
        <v>359</v>
      </c>
      <c r="B214" s="352" t="str">
        <f>'Unit Data from Audit Worksheet'!C260</f>
        <v>Long-Term Liability Note - Electric Activities</v>
      </c>
      <c r="C214" s="352" t="str">
        <f>'Unit Data from Audit Worksheet'!D260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4" s="357"/>
      <c r="E214" s="358">
        <f>'Unit Data from Audit Worksheet'!F260</f>
        <v>0</v>
      </c>
      <c r="F214" s="351">
        <f>IF(L214&lt;0,"Error: Enter as a positive.",)</f>
        <v>0</v>
      </c>
      <c r="G214" s="353"/>
      <c r="H214" s="350">
        <f>'Unit Data from Audit Worksheet'!I260</f>
        <v>0</v>
      </c>
      <c r="I214" s="38"/>
      <c r="J214" s="349">
        <v>359</v>
      </c>
      <c r="K214" s="348" t="s">
        <v>256</v>
      </c>
      <c r="L214" s="586">
        <f t="shared" si="20"/>
        <v>0</v>
      </c>
      <c r="P214" s="320"/>
      <c r="W214" s="3" t="b">
        <f t="shared" si="23"/>
        <v>1</v>
      </c>
      <c r="X214" s="583">
        <f t="shared" si="21"/>
        <v>0</v>
      </c>
      <c r="Y214" s="583">
        <f t="shared" si="22"/>
        <v>0</v>
      </c>
    </row>
    <row r="215" spans="1:27" ht="76.5" customHeight="1" x14ac:dyDescent="0.3">
      <c r="A215" s="338">
        <f>'Unit Data from Audit Worksheet'!A262</f>
        <v>622</v>
      </c>
      <c r="B215" s="352" t="str">
        <f>'Unit Data from Audit Worksheet'!C262</f>
        <v>FS., Pension note or RSI</v>
      </c>
      <c r="C215" s="352" t="str">
        <f>'Unit Data from Audit Worksheet'!D262</f>
        <v xml:space="preserve">Unit's Share of Net Pension Liability ($s)
- unit of government is a participating employer in the State's TSERS (Teachers' and State Employees' Retirement System) or the LGERS (Local Governmental Employees' Retirement System).  </v>
      </c>
      <c r="D215" s="357"/>
      <c r="E215" s="358">
        <f>'Unit Data from Audit Worksheet'!F262</f>
        <v>0</v>
      </c>
      <c r="F215" s="351"/>
      <c r="G215" s="353"/>
      <c r="H215" s="350"/>
      <c r="I215" s="38"/>
      <c r="J215" s="349">
        <v>622</v>
      </c>
      <c r="K215" s="355" t="s">
        <v>721</v>
      </c>
      <c r="L215" s="586">
        <f t="shared" si="20"/>
        <v>0</v>
      </c>
      <c r="P215" s="320"/>
      <c r="W215" s="3" t="b">
        <f t="shared" si="23"/>
        <v>1</v>
      </c>
      <c r="X215" s="583">
        <f t="shared" si="21"/>
        <v>0</v>
      </c>
      <c r="Y215" s="583">
        <f t="shared" si="22"/>
        <v>0</v>
      </c>
    </row>
    <row r="216" spans="1:27" ht="138.75" customHeight="1" x14ac:dyDescent="0.3">
      <c r="A216" s="338">
        <f>'Unit Data from Audit Worksheet'!A263</f>
        <v>577</v>
      </c>
      <c r="B216" s="352" t="str">
        <f>'Unit Data from Audit Worksheet'!C263</f>
        <v>Pension Notes</v>
      </c>
      <c r="C216" s="352" t="str">
        <f>'Unit Data from Audit Worksheet'!D263</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216" s="357"/>
      <c r="E216" s="358" t="str">
        <f>IF('Unit Data from Audit Worksheet'!F263="Yes",1,IF('Unit Data from Audit Worksheet'!F263="No",2,IF('Unit Data from Audit Worksheet'!F263&lt;1,"",IF('Unit Data from Audit Worksheet'!F263=0&gt;2,""))))</f>
        <v/>
      </c>
      <c r="F216" s="351"/>
      <c r="G216" s="353"/>
      <c r="H216" s="350"/>
      <c r="I216" s="38"/>
      <c r="J216" s="349">
        <v>577</v>
      </c>
      <c r="K216" s="355" t="s">
        <v>611</v>
      </c>
      <c r="L216" s="586" t="str">
        <f t="shared" si="20"/>
        <v/>
      </c>
      <c r="P216" s="320"/>
      <c r="W216" s="3" t="b">
        <f t="shared" si="23"/>
        <v>1</v>
      </c>
      <c r="X216" s="583" t="e">
        <f t="shared" si="21"/>
        <v>#VALUE!</v>
      </c>
      <c r="Y216" s="583" t="e">
        <f t="shared" si="22"/>
        <v>#VALUE!</v>
      </c>
    </row>
    <row r="217" spans="1:27" ht="115.5" customHeight="1" x14ac:dyDescent="0.3">
      <c r="A217" s="615">
        <f>'Unit Data from Audit Worksheet'!A265</f>
        <v>598</v>
      </c>
      <c r="B217" s="352" t="str">
        <f>'Unit Data from Audit Worksheet'!C265</f>
        <v>LEO Note</v>
      </c>
      <c r="C217" s="337" t="str">
        <f>'Unit Data from Audit Worksheet'!D265</f>
        <v>Amount the unit paid out in benefits under LEO special separation allowance to retired law enforcement officers this fiscal year if you report under GASB 68 or GASB 73.</v>
      </c>
      <c r="D217" s="357"/>
      <c r="E217" s="358">
        <f>'Unit Data from Audit Worksheet'!F265</f>
        <v>0</v>
      </c>
      <c r="F217" s="351">
        <f>IF(L217&lt;0,"Error: Enter as a positive.",)</f>
        <v>0</v>
      </c>
      <c r="G217" s="353"/>
      <c r="H217" s="350">
        <f>'Unit Data from Audit Worksheet'!I265</f>
        <v>0</v>
      </c>
      <c r="I217" s="38"/>
      <c r="J217" s="349">
        <v>598</v>
      </c>
      <c r="K217" s="94" t="s">
        <v>680</v>
      </c>
      <c r="L217" s="586">
        <f t="shared" si="20"/>
        <v>0</v>
      </c>
      <c r="P217" s="320"/>
      <c r="W217" s="3" t="b">
        <f t="shared" si="23"/>
        <v>1</v>
      </c>
      <c r="X217" s="583">
        <f t="shared" si="21"/>
        <v>0</v>
      </c>
      <c r="Y217" s="583">
        <f t="shared" si="22"/>
        <v>0</v>
      </c>
    </row>
    <row r="218" spans="1:27" ht="84" customHeight="1" x14ac:dyDescent="0.3">
      <c r="A218" s="338">
        <f>'Unit Data from Audit Worksheet'!A266</f>
        <v>599</v>
      </c>
      <c r="B218" s="352" t="str">
        <f>'Unit Data from Audit Worksheet'!C266</f>
        <v>LEO Note</v>
      </c>
      <c r="C218" s="337" t="str">
        <f>'Unit Data from Audit Worksheet'!D266</f>
        <v>The total LEO pension liability if you report under GASB 68 or GASB 73.</v>
      </c>
      <c r="D218" s="357"/>
      <c r="E218" s="358">
        <f>'Unit Data from Audit Worksheet'!F266</f>
        <v>0</v>
      </c>
      <c r="F218" s="351">
        <f>IF(L218&lt;0,"Error: Enter as a positive.",)</f>
        <v>0</v>
      </c>
      <c r="G218" s="353"/>
      <c r="H218" s="350">
        <f>'Unit Data from Audit Worksheet'!I266</f>
        <v>0</v>
      </c>
      <c r="I218" s="38"/>
      <c r="J218" s="349">
        <v>599</v>
      </c>
      <c r="K218" s="93" t="s">
        <v>679</v>
      </c>
      <c r="L218" s="586">
        <f t="shared" si="20"/>
        <v>0</v>
      </c>
      <c r="M218" s="616"/>
      <c r="P218" s="320"/>
      <c r="W218" s="3" t="b">
        <f t="shared" si="23"/>
        <v>1</v>
      </c>
      <c r="X218" s="583">
        <f t="shared" si="21"/>
        <v>0</v>
      </c>
      <c r="Y218" s="583">
        <f t="shared" si="22"/>
        <v>0</v>
      </c>
    </row>
    <row r="219" spans="1:27" ht="102.75" customHeight="1" x14ac:dyDescent="0.3">
      <c r="A219" s="338">
        <f>'Unit Data from Audit Worksheet'!A267</f>
        <v>602</v>
      </c>
      <c r="B219" s="352" t="str">
        <f>'Unit Data from Audit Worksheet'!C267</f>
        <v>LEO Note</v>
      </c>
      <c r="C219" s="337" t="str">
        <f>'Unit Data from Audit Worksheet'!D267</f>
        <v>If you have LEO pension assets and are reporting under GASB 68 please enter "Plan Fiduciary Net Position" which can be found on your RSI schedules and the Notes.</v>
      </c>
      <c r="D219" s="357"/>
      <c r="E219" s="358">
        <f>'Unit Data from Audit Worksheet'!F267</f>
        <v>0</v>
      </c>
      <c r="F219" s="351">
        <f>IF(L219&lt;0,"Error: Enter as a positive.",)</f>
        <v>0</v>
      </c>
      <c r="G219" s="353"/>
      <c r="H219" s="350">
        <f>'Unit Data from Audit Worksheet'!I267</f>
        <v>0</v>
      </c>
      <c r="I219" s="38"/>
      <c r="J219" s="349">
        <v>602</v>
      </c>
      <c r="K219" s="26" t="s">
        <v>681</v>
      </c>
      <c r="L219" s="586">
        <f t="shared" si="20"/>
        <v>0</v>
      </c>
      <c r="M219" s="616"/>
      <c r="P219" s="320"/>
      <c r="W219" s="3" t="b">
        <f t="shared" si="23"/>
        <v>1</v>
      </c>
      <c r="X219" s="583">
        <f t="shared" si="21"/>
        <v>0</v>
      </c>
      <c r="Y219" s="583">
        <f t="shared" si="22"/>
        <v>0</v>
      </c>
    </row>
    <row r="220" spans="1:27" ht="123" customHeight="1" x14ac:dyDescent="0.3">
      <c r="A220" s="338">
        <f>'Unit Data from Audit Worksheet'!A268</f>
        <v>619</v>
      </c>
      <c r="B220" s="352" t="str">
        <f>'Unit Data from Audit Worksheet'!C268</f>
        <v>LEO
RSI</v>
      </c>
      <c r="C220" s="94" t="str">
        <f>'Unit Data from Audit Worksheet'!D268</f>
        <v>LEOSSA – What is the plan’s fiduciary net position as a percentage of the total pension liability?  Please enter as percentage value; for example, 83.5% should be entered as 83.5.  If assets have not been set aside in a trust, please enter 0.0</v>
      </c>
      <c r="D220" s="95"/>
      <c r="E220" s="150">
        <f>'Unit Data from Audit Worksheet'!F268</f>
        <v>0</v>
      </c>
      <c r="F220" s="351" t="str">
        <f>IF(H220=L220,"","Column L does not equal Column H")</f>
        <v/>
      </c>
      <c r="G220" s="353"/>
      <c r="H220" s="103">
        <f>ROUND(IFERROR((L219/L218)*100,0),1)</f>
        <v>0</v>
      </c>
      <c r="I220" s="38"/>
      <c r="J220" s="340">
        <v>619</v>
      </c>
      <c r="K220" s="102" t="s">
        <v>855</v>
      </c>
      <c r="L220" s="923">
        <f t="shared" si="20"/>
        <v>0</v>
      </c>
      <c r="M220" s="616"/>
      <c r="P220" s="617"/>
      <c r="Q220" s="618">
        <f>IF(H220=L220,0,1)</f>
        <v>0</v>
      </c>
      <c r="W220" s="3" t="b">
        <f t="shared" si="23"/>
        <v>1</v>
      </c>
      <c r="X220" s="583">
        <f t="shared" si="21"/>
        <v>0</v>
      </c>
      <c r="Y220" s="583">
        <f t="shared" si="22"/>
        <v>0</v>
      </c>
    </row>
    <row r="221" spans="1:27" ht="113.25" customHeight="1" x14ac:dyDescent="0.3">
      <c r="A221" s="338">
        <v>621</v>
      </c>
      <c r="B221" s="57" t="s">
        <v>712</v>
      </c>
      <c r="C221" s="619" t="str">
        <f>'Unit Data from Audit Worksheet'!D270</f>
        <v xml:space="preserve">Unit's share of Retirement Health Benefit Fund Net OPEB Liability ($s)
- unit of government is a participating employer in the State's RHBF </v>
      </c>
      <c r="D221" s="95"/>
      <c r="E221" s="358">
        <f>'Unit Data from Audit Worksheet'!F270</f>
        <v>0</v>
      </c>
      <c r="F221" s="351">
        <f>IF(L221&lt;0,"Error: Enter as a positive.",)</f>
        <v>0</v>
      </c>
      <c r="G221" s="128"/>
      <c r="H221" s="350"/>
      <c r="I221" s="38"/>
      <c r="J221" s="620">
        <v>621</v>
      </c>
      <c r="K221" s="129" t="s">
        <v>860</v>
      </c>
      <c r="L221" s="586">
        <f t="shared" si="20"/>
        <v>0</v>
      </c>
      <c r="M221" s="616"/>
      <c r="P221" s="620"/>
      <c r="Q221" s="298"/>
      <c r="W221" s="3" t="b">
        <f t="shared" si="23"/>
        <v>1</v>
      </c>
      <c r="X221" s="583">
        <f t="shared" si="21"/>
        <v>0</v>
      </c>
      <c r="Y221" s="583">
        <f t="shared" si="22"/>
        <v>0</v>
      </c>
    </row>
    <row r="222" spans="1:27" s="18" customFormat="1" ht="127.5" customHeight="1" x14ac:dyDescent="0.3">
      <c r="A222" s="615">
        <f>'Unit Data from Audit Worksheet'!A271</f>
        <v>547</v>
      </c>
      <c r="B222" s="352" t="str">
        <f>'Unit Data from Audit Worksheet'!C271</f>
        <v>OPEB Note</v>
      </c>
      <c r="C222" s="352" t="str">
        <f>'Unit Data from Audit Worksheet'!D271</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222" s="357"/>
      <c r="E222" s="358">
        <f>'Unit Data from Audit Worksheet'!F271</f>
        <v>0</v>
      </c>
      <c r="F222" s="351" t="str">
        <f>IF(L225&lt;1,"Please answer this question","")</f>
        <v>Please answer this question</v>
      </c>
      <c r="G222" s="353"/>
      <c r="H222" s="350">
        <f>'Unit Data from Audit Worksheet'!I271</f>
        <v>0</v>
      </c>
      <c r="I222" s="38"/>
      <c r="J222" s="349">
        <v>547</v>
      </c>
      <c r="K222" s="621" t="s">
        <v>541</v>
      </c>
      <c r="L222" s="586">
        <f t="shared" si="20"/>
        <v>0</v>
      </c>
      <c r="M222" s="607"/>
      <c r="P222" s="320"/>
      <c r="Q222" s="576"/>
      <c r="R222" s="3"/>
      <c r="W222" s="3" t="b">
        <f t="shared" si="23"/>
        <v>1</v>
      </c>
      <c r="X222" s="583">
        <f t="shared" si="21"/>
        <v>0</v>
      </c>
      <c r="Y222" s="583">
        <f t="shared" si="22"/>
        <v>0</v>
      </c>
      <c r="AA222" s="3"/>
    </row>
    <row r="223" spans="1:27" s="18" customFormat="1" ht="99" customHeight="1" x14ac:dyDescent="0.3">
      <c r="A223" s="338">
        <f>'Unit Data from Audit Worksheet'!A272</f>
        <v>659</v>
      </c>
      <c r="B223" s="352" t="str">
        <f>'Unit Data from Audit Worksheet'!C272</f>
        <v>OPEB
 Note or RSI</v>
      </c>
      <c r="C223" s="337" t="str">
        <f>'Unit Data from Audit Worksheet'!D272</f>
        <v>Total OPEB benefits - total OPEB liability
If you do not provide benefit, please enter 0</v>
      </c>
      <c r="D223" s="357"/>
      <c r="E223" s="358">
        <f>'Unit Data from Audit Worksheet'!F272</f>
        <v>0</v>
      </c>
      <c r="F223" s="351">
        <f>IF(L223&lt;0,"Error: Enter as a positive.",)</f>
        <v>0</v>
      </c>
      <c r="G223" s="622" t="s">
        <v>1326</v>
      </c>
      <c r="H223" s="350">
        <f>'Unit Data from Audit Worksheet'!I272</f>
        <v>0</v>
      </c>
      <c r="I223" s="38"/>
      <c r="J223" s="340">
        <v>659</v>
      </c>
      <c r="K223" s="339" t="s">
        <v>816</v>
      </c>
      <c r="L223" s="600">
        <f t="shared" si="20"/>
        <v>0</v>
      </c>
      <c r="M223" s="607"/>
      <c r="P223" s="617"/>
      <c r="Q223" s="576"/>
      <c r="R223" s="3"/>
      <c r="W223" s="3" t="b">
        <f t="shared" si="23"/>
        <v>1</v>
      </c>
      <c r="X223" s="583">
        <f t="shared" si="21"/>
        <v>0</v>
      </c>
      <c r="Y223" s="583">
        <f t="shared" si="22"/>
        <v>0</v>
      </c>
      <c r="AA223" s="3"/>
    </row>
    <row r="224" spans="1:27" s="18" customFormat="1" ht="131.25" customHeight="1" x14ac:dyDescent="0.3">
      <c r="A224" s="338">
        <f>'Unit Data from Audit Worksheet'!A273</f>
        <v>660</v>
      </c>
      <c r="B224" s="352" t="str">
        <f>'Unit Data from Audit Worksheet'!C273</f>
        <v>OPEB
 Note or RSI</v>
      </c>
      <c r="C224" s="337" t="str">
        <f>'Unit Data from Audit Worksheet'!D273</f>
        <v>Total OPEB benefits- OPEB plan fiduciary net position
If no fiduciary net position, enter 0</v>
      </c>
      <c r="D224" s="357"/>
      <c r="E224" s="358">
        <f>'Unit Data from Audit Worksheet'!F273</f>
        <v>0</v>
      </c>
      <c r="F224" s="347">
        <f>IF(L224&lt;0,"Note: Number is normally positive.",)</f>
        <v>0</v>
      </c>
      <c r="G224" s="622" t="s">
        <v>1326</v>
      </c>
      <c r="H224" s="350">
        <f>'Unit Data from Audit Worksheet'!I273</f>
        <v>0</v>
      </c>
      <c r="I224" s="38"/>
      <c r="J224" s="340">
        <v>660</v>
      </c>
      <c r="K224" s="339" t="s">
        <v>817</v>
      </c>
      <c r="L224" s="600">
        <f t="shared" si="20"/>
        <v>0</v>
      </c>
      <c r="M224" s="607"/>
      <c r="P224" s="617"/>
      <c r="Q224" s="576"/>
      <c r="R224" s="3"/>
      <c r="W224" s="3" t="b">
        <f t="shared" si="23"/>
        <v>1</v>
      </c>
      <c r="X224" s="583">
        <f t="shared" si="21"/>
        <v>0</v>
      </c>
      <c r="Y224" s="583">
        <f t="shared" si="22"/>
        <v>0</v>
      </c>
      <c r="AA224" s="3"/>
    </row>
    <row r="225" spans="1:27" ht="134.25" customHeight="1" x14ac:dyDescent="0.3">
      <c r="A225" s="338">
        <f>'Unit Data from Audit Worksheet'!A274</f>
        <v>661</v>
      </c>
      <c r="B225" s="352" t="str">
        <f>'Unit Data from Audit Worksheet'!C274</f>
        <v>OPEB
RSI</v>
      </c>
      <c r="C225" s="337" t="str">
        <f>'Unit Data from Audit Worksheet'!D274</f>
        <v>Total OPEB benefits - What is the plan’s fiduciary net position as a percentage of the total OPEB liability?  Please enter as percentage value; for example, 83.5% should be entered as 83.5.  If assets have not been set aside in a trust, please enter 0.0</v>
      </c>
      <c r="D225" s="95"/>
      <c r="E225" s="336">
        <f>'Unit Data from Audit Worksheet'!F274</f>
        <v>0</v>
      </c>
      <c r="F225" s="351" t="str">
        <f>IF(H225=L225,"","Column L does not equal Column H")</f>
        <v/>
      </c>
      <c r="G225" s="622" t="s">
        <v>1326</v>
      </c>
      <c r="H225" s="176">
        <f>ROUND(IFERROR((L224/L223)*100,0),1)</f>
        <v>0</v>
      </c>
      <c r="I225" s="38"/>
      <c r="J225" s="340">
        <v>661</v>
      </c>
      <c r="K225" s="355" t="s">
        <v>820</v>
      </c>
      <c r="L225" s="623">
        <f>IF(D225="",E225,D225)</f>
        <v>0</v>
      </c>
      <c r="P225" s="617"/>
      <c r="Q225" s="618">
        <f>IF(H225=L225,0,1)</f>
        <v>0</v>
      </c>
      <c r="W225" s="3" t="b">
        <f t="shared" si="23"/>
        <v>1</v>
      </c>
      <c r="X225" s="583">
        <f t="shared" si="21"/>
        <v>0</v>
      </c>
      <c r="Y225" s="583">
        <f t="shared" si="22"/>
        <v>0</v>
      </c>
    </row>
    <row r="226" spans="1:27" ht="65.25" customHeight="1" x14ac:dyDescent="0.3">
      <c r="A226" s="338">
        <f>'Unit Data from Audit Worksheet'!A277</f>
        <v>371</v>
      </c>
      <c r="B226" s="352" t="str">
        <f>'Unit Data from Audit Worksheet'!C277</f>
        <v>Transfer Note</v>
      </c>
      <c r="C226" s="337" t="str">
        <f>'Unit Data from Audit Worksheet'!D277</f>
        <v>Amount of Transfers from the General Fund to the Debt Service Fund (Enter as positive)</v>
      </c>
      <c r="D226" s="357"/>
      <c r="E226" s="358">
        <f>'Unit Data from Audit Worksheet'!F277</f>
        <v>0</v>
      </c>
      <c r="F226" s="351">
        <f>IF(L226&lt;0,"Error: Enter as a positive.",)</f>
        <v>0</v>
      </c>
      <c r="G226" s="353"/>
      <c r="H226" s="350">
        <f>'Unit Data from Audit Worksheet'!I277</f>
        <v>0</v>
      </c>
      <c r="I226" s="38"/>
      <c r="J226" s="39">
        <v>371</v>
      </c>
      <c r="K226" s="348" t="s">
        <v>262</v>
      </c>
      <c r="L226" s="586">
        <f t="shared" si="20"/>
        <v>0</v>
      </c>
      <c r="P226" s="326"/>
      <c r="Q226" s="3"/>
      <c r="W226" s="3" t="b">
        <f t="shared" si="23"/>
        <v>1</v>
      </c>
      <c r="X226" s="583">
        <f t="shared" si="21"/>
        <v>0</v>
      </c>
      <c r="Y226" s="583">
        <f t="shared" si="22"/>
        <v>0</v>
      </c>
    </row>
    <row r="227" spans="1:27" ht="63" customHeight="1" x14ac:dyDescent="0.3">
      <c r="A227" s="338">
        <f>'Unit Data from Audit Worksheet'!A278</f>
        <v>513</v>
      </c>
      <c r="B227" s="352" t="str">
        <f>'Unit Data from Audit Worksheet'!C278</f>
        <v>Transfer Note</v>
      </c>
      <c r="C227" s="337" t="str">
        <f>'Unit Data from Audit Worksheet'!D278</f>
        <v>Amount of Transfers from the General Fund to the Electric Fund  (Enter as positive)</v>
      </c>
      <c r="D227" s="357"/>
      <c r="E227" s="358">
        <f>'Unit Data from Audit Worksheet'!F278</f>
        <v>0</v>
      </c>
      <c r="F227" s="351">
        <f>IF(L227&lt;0,"Error: Enter as a positive.",)</f>
        <v>0</v>
      </c>
      <c r="G227" s="353"/>
      <c r="H227" s="350">
        <f>'Unit Data from Audit Worksheet'!I278</f>
        <v>0</v>
      </c>
      <c r="I227" s="38"/>
      <c r="J227" s="349">
        <v>513</v>
      </c>
      <c r="K227" s="348" t="s">
        <v>263</v>
      </c>
      <c r="L227" s="586">
        <f t="shared" si="20"/>
        <v>0</v>
      </c>
      <c r="P227" s="320"/>
      <c r="W227" s="3" t="b">
        <f t="shared" si="23"/>
        <v>1</v>
      </c>
      <c r="X227" s="583">
        <f t="shared" si="21"/>
        <v>0</v>
      </c>
      <c r="Y227" s="583">
        <f t="shared" si="22"/>
        <v>0</v>
      </c>
    </row>
    <row r="228" spans="1:27" ht="89.25" customHeight="1" x14ac:dyDescent="0.3">
      <c r="A228" s="338">
        <f>'Unit Data from Audit Worksheet'!A279</f>
        <v>514</v>
      </c>
      <c r="B228" s="352" t="str">
        <f>'Unit Data from Audit Worksheet'!C279</f>
        <v>Transfer Note</v>
      </c>
      <c r="C228" s="337" t="str">
        <f>'Unit Data from Audit Worksheet'!D279</f>
        <v>Amount of Transfers from the Electric Fund to the General Fund  (Enter as positive)
Include:  Payment in Lieu of Taxes (PILOT)</v>
      </c>
      <c r="D228" s="357"/>
      <c r="E228" s="358">
        <f>'Unit Data from Audit Worksheet'!F279</f>
        <v>0</v>
      </c>
      <c r="F228" s="351">
        <f>IF(L228&lt;0,"Error: Enter as a positive.",)</f>
        <v>0</v>
      </c>
      <c r="G228" s="353"/>
      <c r="H228" s="350">
        <f>'Unit Data from Audit Worksheet'!I279</f>
        <v>0</v>
      </c>
      <c r="I228" s="38"/>
      <c r="J228" s="349">
        <v>514</v>
      </c>
      <c r="K228" s="348" t="s">
        <v>264</v>
      </c>
      <c r="L228" s="586">
        <f t="shared" si="20"/>
        <v>0</v>
      </c>
      <c r="P228" s="320"/>
      <c r="W228" s="3" t="b">
        <f t="shared" si="23"/>
        <v>1</v>
      </c>
      <c r="X228" s="583">
        <f t="shared" si="21"/>
        <v>0</v>
      </c>
      <c r="Y228" s="583">
        <f t="shared" si="22"/>
        <v>0</v>
      </c>
    </row>
    <row r="229" spans="1:27" ht="89.25" customHeight="1" x14ac:dyDescent="0.3">
      <c r="A229" s="602">
        <f>'Unit Data from Audit Worksheet'!A280</f>
        <v>990</v>
      </c>
      <c r="B229" s="356" t="str">
        <f>'Unit Data from Audit Worksheet'!C280</f>
        <v>Transfer Note</v>
      </c>
      <c r="C229" s="603" t="str">
        <f>'Unit Data from Audit Worksheet'!D280</f>
        <v>Amount of transfer out to the General Fund that is for Payment in Lieu of Taxes (PILOT)</v>
      </c>
      <c r="D229" s="357"/>
      <c r="E229" s="358">
        <f>'Unit Data from Audit Worksheet'!F280</f>
        <v>0</v>
      </c>
      <c r="F229" s="351"/>
      <c r="G229" s="353"/>
      <c r="H229" s="350">
        <f>'Unit Data from Audit Worksheet'!I280</f>
        <v>0</v>
      </c>
      <c r="I229" s="38"/>
      <c r="J229" s="367">
        <v>990</v>
      </c>
      <c r="K229" s="126" t="s">
        <v>1042</v>
      </c>
      <c r="L229" s="586">
        <f t="shared" si="20"/>
        <v>0</v>
      </c>
      <c r="P229" s="320"/>
      <c r="X229" s="583"/>
      <c r="Y229" s="583"/>
    </row>
    <row r="230" spans="1:27" ht="84.75" customHeight="1" x14ac:dyDescent="0.3">
      <c r="A230" s="624">
        <f>'Unit Data from Audit Worksheet'!A282</f>
        <v>6</v>
      </c>
      <c r="B230" s="53" t="str">
        <f>'Unit Data from Audit Worksheet'!C282</f>
        <v>Fund Balance Note</v>
      </c>
      <c r="C230" s="596" t="str">
        <f>'Unit Data from Audit Worksheet'!D282</f>
        <v>General Fund -  Total Encumbrances.  You will probably have to refer to the note disclosure where the amount of encumbrances is listed.</v>
      </c>
      <c r="D230" s="357"/>
      <c r="E230" s="154">
        <f>'Unit Data from Audit Worksheet'!F282</f>
        <v>0</v>
      </c>
      <c r="F230" s="37">
        <f>IF(L230&lt;0,"Error: Enter as a positive.",)</f>
        <v>0</v>
      </c>
      <c r="G230" s="73"/>
      <c r="H230" s="350">
        <f>'Unit Data from Audit Worksheet'!I282</f>
        <v>0</v>
      </c>
      <c r="I230" s="38"/>
      <c r="J230" s="41">
        <v>6</v>
      </c>
      <c r="K230" s="133" t="s">
        <v>265</v>
      </c>
      <c r="L230" s="586">
        <f t="shared" si="20"/>
        <v>0</v>
      </c>
      <c r="P230" s="320"/>
      <c r="W230" s="3" t="b">
        <f t="shared" ref="W230:W258" si="24">EXACT(A230,J230)</f>
        <v>1</v>
      </c>
      <c r="X230" s="583">
        <f t="shared" si="21"/>
        <v>0</v>
      </c>
      <c r="Y230" s="583">
        <f t="shared" si="22"/>
        <v>0</v>
      </c>
    </row>
    <row r="231" spans="1:27" ht="117.75" customHeight="1" x14ac:dyDescent="0.3">
      <c r="A231" s="338">
        <f>'Unit Data from Audit Worksheet'!A284</f>
        <v>541</v>
      </c>
      <c r="B231" s="352" t="str">
        <f>'Unit Data from Audit Worksheet'!C284</f>
        <v>Water Sewer - Budget Actual Statement</v>
      </c>
      <c r="C231" s="352" t="str">
        <f>'Unit Data from Audit Worksheet'!D284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231" s="357"/>
      <c r="E231" s="358">
        <f>'Unit Data from Audit Worksheet'!F284</f>
        <v>0</v>
      </c>
      <c r="F231" s="351"/>
      <c r="G231" s="353"/>
      <c r="H231" s="350">
        <f>'Unit Data from Audit Worksheet'!I284</f>
        <v>0</v>
      </c>
      <c r="I231" s="38"/>
      <c r="J231" s="349">
        <v>541</v>
      </c>
      <c r="K231" s="88" t="s">
        <v>555</v>
      </c>
      <c r="L231" s="586">
        <f t="shared" si="20"/>
        <v>0</v>
      </c>
      <c r="P231" s="320"/>
      <c r="W231" s="3" t="b">
        <f t="shared" si="24"/>
        <v>1</v>
      </c>
      <c r="X231" s="583">
        <f t="shared" si="21"/>
        <v>0</v>
      </c>
      <c r="Y231" s="583">
        <f t="shared" si="22"/>
        <v>0</v>
      </c>
    </row>
    <row r="232" spans="1:27" ht="94.5" customHeight="1" x14ac:dyDescent="0.3">
      <c r="A232" s="338">
        <f>'Unit Data from Audit Worksheet'!A286</f>
        <v>542</v>
      </c>
      <c r="B232" s="352" t="str">
        <f>'Unit Data from Audit Worksheet'!C286</f>
        <v>Water Sewer - Disclosed in the Notes or in the recently approved Budget for next year.</v>
      </c>
      <c r="C232" s="337" t="str">
        <f>'Unit Data from Audit Worksheet'!D286</f>
        <v>Amount of the Water Sewer Fund Balance appropriated in next year's budget?</v>
      </c>
      <c r="D232" s="357"/>
      <c r="E232" s="358">
        <f>'Unit Data from Audit Worksheet'!F286</f>
        <v>0</v>
      </c>
      <c r="F232" s="351"/>
      <c r="G232" s="353"/>
      <c r="H232" s="350">
        <f>'Unit Data from Audit Worksheet'!I286</f>
        <v>0</v>
      </c>
      <c r="I232" s="38"/>
      <c r="J232" s="349">
        <v>542</v>
      </c>
      <c r="K232" s="348" t="s">
        <v>266</v>
      </c>
      <c r="L232" s="586">
        <f t="shared" si="20"/>
        <v>0</v>
      </c>
      <c r="N232" s="61" t="s">
        <v>546</v>
      </c>
      <c r="P232" s="320"/>
      <c r="W232" s="3" t="b">
        <f t="shared" si="24"/>
        <v>1</v>
      </c>
      <c r="X232" s="583">
        <f t="shared" si="21"/>
        <v>0</v>
      </c>
      <c r="Y232" s="583">
        <f t="shared" si="22"/>
        <v>0</v>
      </c>
    </row>
    <row r="233" spans="1:27" ht="93.75" customHeight="1" x14ac:dyDescent="0.3">
      <c r="A233" s="338">
        <f>'Unit Data from Audit Worksheet'!A289</f>
        <v>528</v>
      </c>
      <c r="B233" s="352" t="str">
        <f>'Unit Data from Audit Worksheet'!C289</f>
        <v>Analysis of Current Tax Levy Schedule</v>
      </c>
      <c r="C233" s="337" t="str">
        <f>'Unit Data from Audit Worksheet'!D289</f>
        <v>Please enter the Net Current year's levy for property excluding registered motor vehicles-- (after adjusting for discoveries and abatements)
Exclude Supplemental Taxes</v>
      </c>
      <c r="D233" s="357"/>
      <c r="E233" s="358">
        <f>'Unit Data from Audit Worksheet'!F289</f>
        <v>0</v>
      </c>
      <c r="F233" s="82" t="str">
        <f>IF(L233=0,"Must be completed if unit levys taxes","")</f>
        <v>Must be completed if unit levys taxes</v>
      </c>
      <c r="G233" s="353"/>
      <c r="H233" s="350"/>
      <c r="I233" s="38"/>
      <c r="J233" s="349">
        <v>528</v>
      </c>
      <c r="K233" s="625" t="s">
        <v>271</v>
      </c>
      <c r="L233" s="586">
        <f t="shared" si="20"/>
        <v>0</v>
      </c>
      <c r="N233" s="83"/>
      <c r="P233" s="320"/>
      <c r="W233" s="3" t="b">
        <f t="shared" si="24"/>
        <v>1</v>
      </c>
      <c r="X233" s="583">
        <f t="shared" si="21"/>
        <v>0</v>
      </c>
      <c r="Y233" s="583">
        <f t="shared" si="22"/>
        <v>0</v>
      </c>
    </row>
    <row r="234" spans="1:27" s="18" customFormat="1" ht="79.5" customHeight="1" x14ac:dyDescent="0.3">
      <c r="A234" s="338">
        <f>'Unit Data from Audit Worksheet'!A290</f>
        <v>529</v>
      </c>
      <c r="B234" s="352" t="str">
        <f>'Unit Data from Audit Worksheet'!C290</f>
        <v>Analysis of Current Tax Levy Schedule</v>
      </c>
      <c r="C234" s="337" t="str">
        <f>'Unit Data from Audit Worksheet'!D290</f>
        <v>Please enter the Net Current year's levy -- Motor vehicles (only) (after adjusting for discoveries and abatements)
Exclude supplemental taxes</v>
      </c>
      <c r="D234" s="357"/>
      <c r="E234" s="358">
        <f>'Unit Data from Audit Worksheet'!F290</f>
        <v>0</v>
      </c>
      <c r="F234" s="82" t="str">
        <f>IF(L234=0,"Must be completed if unit levys taxes","")</f>
        <v>Must be completed if unit levys taxes</v>
      </c>
      <c r="G234" s="353"/>
      <c r="H234" s="350"/>
      <c r="I234" s="38"/>
      <c r="J234" s="349">
        <v>529</v>
      </c>
      <c r="K234" s="625" t="s">
        <v>272</v>
      </c>
      <c r="L234" s="586">
        <f t="shared" si="20"/>
        <v>0</v>
      </c>
      <c r="N234" s="83"/>
      <c r="P234" s="320"/>
      <c r="Q234" s="576"/>
      <c r="R234" s="3"/>
      <c r="W234" s="3" t="b">
        <f t="shared" si="24"/>
        <v>1</v>
      </c>
      <c r="X234" s="583">
        <f t="shared" si="21"/>
        <v>0</v>
      </c>
      <c r="Y234" s="583">
        <f t="shared" si="22"/>
        <v>0</v>
      </c>
      <c r="AA234" s="3"/>
    </row>
    <row r="235" spans="1:27" s="18" customFormat="1" ht="75" customHeight="1" x14ac:dyDescent="0.3">
      <c r="A235" s="338">
        <f>'Unit Data from Audit Worksheet'!A291</f>
        <v>530</v>
      </c>
      <c r="B235" s="352" t="str">
        <f>'Unit Data from Audit Worksheet'!C291</f>
        <v>Analysis of Current Tax Levy Schedule</v>
      </c>
      <c r="C235" s="337" t="str">
        <f>'Unit Data from Audit Worksheet'!D291</f>
        <v>Uncollected Taxes - Curr Year's Levy Exclude Motor Vehicles
Exclude supplemental taxes</v>
      </c>
      <c r="D235" s="357"/>
      <c r="E235" s="358">
        <f>'Unit Data from Audit Worksheet'!F291</f>
        <v>0</v>
      </c>
      <c r="F235" s="82" t="str">
        <f>IF(L235=0,"Must be completed if unit levys taxes","")</f>
        <v>Must be completed if unit levys taxes</v>
      </c>
      <c r="G235" s="353"/>
      <c r="H235" s="350"/>
      <c r="I235" s="38"/>
      <c r="J235" s="349">
        <v>530</v>
      </c>
      <c r="K235" s="625" t="s">
        <v>273</v>
      </c>
      <c r="L235" s="586">
        <f t="shared" ref="L235:L241" si="25">IF(D235="",E235,D235)</f>
        <v>0</v>
      </c>
      <c r="N235" s="83"/>
      <c r="P235" s="320"/>
      <c r="Q235" s="576"/>
      <c r="R235" s="3"/>
      <c r="W235" s="3" t="b">
        <f t="shared" si="24"/>
        <v>1</v>
      </c>
      <c r="X235" s="583">
        <f t="shared" si="21"/>
        <v>0</v>
      </c>
      <c r="Y235" s="583">
        <f t="shared" si="22"/>
        <v>0</v>
      </c>
      <c r="AA235" s="3"/>
    </row>
    <row r="236" spans="1:27" s="18" customFormat="1" ht="68.25" customHeight="1" x14ac:dyDescent="0.3">
      <c r="A236" s="338">
        <f>'Unit Data from Audit Worksheet'!A292</f>
        <v>531</v>
      </c>
      <c r="B236" s="352" t="str">
        <f>'Unit Data from Audit Worksheet'!C292</f>
        <v>Analysis of Current Tax Levy Schedule</v>
      </c>
      <c r="C236" s="337" t="str">
        <f>'Unit Data from Audit Worksheet'!D292</f>
        <v>Uncollected Taxes - Curr Year's Levy Motor Vehicles
Exclude supplemental taxes</v>
      </c>
      <c r="D236" s="357"/>
      <c r="E236" s="358">
        <f>'Unit Data from Audit Worksheet'!F292</f>
        <v>0</v>
      </c>
      <c r="F236" s="82" t="str">
        <f>IF(L236=0,"Must be completed if unit levys taxes","")</f>
        <v>Must be completed if unit levys taxes</v>
      </c>
      <c r="G236" s="353"/>
      <c r="H236" s="350"/>
      <c r="I236" s="38"/>
      <c r="J236" s="349">
        <v>531</v>
      </c>
      <c r="K236" s="625" t="s">
        <v>274</v>
      </c>
      <c r="L236" s="586">
        <f t="shared" si="25"/>
        <v>0</v>
      </c>
      <c r="N236" s="83" t="str">
        <f>IF(T240=0,"Must be completed if unit levys taxes, zero acceptable if Motor Vehicle collection rate is 100%","")</f>
        <v>Must be completed if unit levys taxes, zero acceptable if Motor Vehicle collection rate is 100%</v>
      </c>
      <c r="P236" s="320"/>
      <c r="Q236" s="576"/>
      <c r="R236" s="3"/>
      <c r="W236" s="3" t="b">
        <f t="shared" si="24"/>
        <v>1</v>
      </c>
      <c r="X236" s="583">
        <f t="shared" si="21"/>
        <v>0</v>
      </c>
      <c r="Y236" s="583">
        <f t="shared" si="22"/>
        <v>0</v>
      </c>
      <c r="AA236" s="3"/>
    </row>
    <row r="237" spans="1:27" ht="90.75" customHeight="1" x14ac:dyDescent="0.3">
      <c r="A237" s="338">
        <f>'Unit Data from Audit Worksheet'!A293</f>
        <v>61</v>
      </c>
      <c r="B237" s="352" t="str">
        <f>'Unit Data from Audit Worksheet'!C293</f>
        <v>Analysis of Current Tax Levy Schedule</v>
      </c>
      <c r="C237" s="337" t="str">
        <f>'Unit Data from Audit Worksheet'!D293</f>
        <v>Tax collection rate- Total Levy UNIT-WIDE
Exclude supplemental taxes
(Enter as a percentage with two decimal places)</v>
      </c>
      <c r="D237" s="89"/>
      <c r="E237" s="151">
        <f>'Unit Data from Audit Worksheet'!F293</f>
        <v>0</v>
      </c>
      <c r="F237" s="87" t="str">
        <f>IF(L237=H237,"","Column H calculates the percentage using accounts 528, 529, 530, 531, please enter the correct amounts from the audit schedule for these cells")</f>
        <v/>
      </c>
      <c r="G237" s="353" t="str">
        <f>IF(Q237=1," Included in error count"," ")</f>
        <v xml:space="preserve"> </v>
      </c>
      <c r="H237" s="353">
        <f>ROUND(IFERROR(((L233+L234)-(L235+L236))/(L233+L234)*100,0),2)</f>
        <v>0</v>
      </c>
      <c r="I237" s="38"/>
      <c r="J237" s="349">
        <v>61</v>
      </c>
      <c r="K237" s="58" t="s">
        <v>268</v>
      </c>
      <c r="L237" s="626">
        <f t="shared" si="25"/>
        <v>0</v>
      </c>
      <c r="N237" s="83"/>
      <c r="P237" s="320"/>
      <c r="Q237" s="576">
        <f>IF(L237-H237&lt;&gt;0,1,0)</f>
        <v>0</v>
      </c>
      <c r="W237" s="3" t="b">
        <f t="shared" si="24"/>
        <v>1</v>
      </c>
      <c r="X237" s="583">
        <f t="shared" si="21"/>
        <v>0</v>
      </c>
      <c r="Y237" s="583">
        <f t="shared" si="22"/>
        <v>0</v>
      </c>
    </row>
    <row r="238" spans="1:27" ht="89.25" customHeight="1" x14ac:dyDescent="0.3">
      <c r="A238" s="338">
        <f>'Unit Data from Audit Worksheet'!A294</f>
        <v>102</v>
      </c>
      <c r="B238" s="352" t="str">
        <f>'Unit Data from Audit Worksheet'!C294</f>
        <v>Analysis of Current Tax Levy Schedule</v>
      </c>
      <c r="C238" s="337" t="str">
        <f>'Unit Data from Audit Worksheet'!D294</f>
        <v>Tax collection rate - Excluding Registered motor vehicles
Exclude supplemental taxes
(Enter as a percentage with two decimal places)</v>
      </c>
      <c r="D238" s="89"/>
      <c r="E238" s="151">
        <f>'Unit Data from Audit Worksheet'!F294</f>
        <v>0</v>
      </c>
      <c r="F238" s="87" t="str">
        <f>IF(L238=H238,"","Column H calculates the percentage using accounts 528 and 530,  please enter the correct amounts from the audit schedule for these cells")</f>
        <v/>
      </c>
      <c r="G238" s="353" t="str">
        <f>IF(Q238=1," Included in error count"," ")</f>
        <v xml:space="preserve"> </v>
      </c>
      <c r="H238" s="353">
        <f>ROUND(IFERROR(((L233)-(L235))/(L233)*100,0),2)</f>
        <v>0</v>
      </c>
      <c r="I238" s="38"/>
      <c r="J238" s="349">
        <v>102</v>
      </c>
      <c r="K238" s="58" t="s">
        <v>269</v>
      </c>
      <c r="L238" s="626">
        <f t="shared" si="25"/>
        <v>0</v>
      </c>
      <c r="N238" s="83"/>
      <c r="P238" s="320"/>
      <c r="Q238" s="576">
        <f>IF(L238-H238&lt;&gt;0,1,0)</f>
        <v>0</v>
      </c>
      <c r="W238" s="3" t="b">
        <f t="shared" si="24"/>
        <v>1</v>
      </c>
      <c r="X238" s="583">
        <f t="shared" si="21"/>
        <v>0</v>
      </c>
      <c r="Y238" s="583">
        <f t="shared" si="22"/>
        <v>0</v>
      </c>
    </row>
    <row r="239" spans="1:27" ht="87.75" customHeight="1" x14ac:dyDescent="0.3">
      <c r="A239" s="338">
        <f>'Unit Data from Audit Worksheet'!A295</f>
        <v>103</v>
      </c>
      <c r="B239" s="352" t="str">
        <f>'Unit Data from Audit Worksheet'!C295</f>
        <v>Analysis of Current Tax Levy Schedule</v>
      </c>
      <c r="C239" s="337" t="str">
        <f>'Unit Data from Audit Worksheet'!D295</f>
        <v>Tax collection rate - Registered motor vehicles
Exclude supplemental taxes
(Enter as a percentage with two decimal places)</v>
      </c>
      <c r="D239" s="89"/>
      <c r="E239" s="151">
        <f>'Unit Data from Audit Worksheet'!F295</f>
        <v>0</v>
      </c>
      <c r="F239" s="87" t="str">
        <f>IF(L239=H239,"","Column H calculates the percentage using accounts 529 and 531, please enter the correct amounts from the audit schedule for these cells")</f>
        <v/>
      </c>
      <c r="G239" s="353" t="str">
        <f>IF(Q239=1," Included in error count"," ")</f>
        <v xml:space="preserve"> </v>
      </c>
      <c r="H239" s="353">
        <f>ROUND(IFERROR(((L234)-(L236))/(L234)*100,0),2)</f>
        <v>0</v>
      </c>
      <c r="I239" s="38"/>
      <c r="J239" s="349">
        <v>103</v>
      </c>
      <c r="K239" s="58" t="s">
        <v>270</v>
      </c>
      <c r="L239" s="626">
        <f t="shared" si="25"/>
        <v>0</v>
      </c>
      <c r="N239" s="83"/>
      <c r="P239" s="320"/>
      <c r="Q239" s="576">
        <f>IF(L239-H239&lt;&gt;0,1,0)</f>
        <v>0</v>
      </c>
      <c r="W239" s="3" t="b">
        <f t="shared" si="24"/>
        <v>1</v>
      </c>
      <c r="X239" s="583">
        <f t="shared" si="21"/>
        <v>0</v>
      </c>
      <c r="Y239" s="583">
        <f t="shared" si="22"/>
        <v>0</v>
      </c>
    </row>
    <row r="240" spans="1:27" ht="86.25" customHeight="1" x14ac:dyDescent="0.3">
      <c r="A240" s="338">
        <f>'Unit Data from Audit Worksheet'!A296</f>
        <v>544</v>
      </c>
      <c r="B240" s="352" t="str">
        <f>'Unit Data from Audit Worksheet'!C296</f>
        <v>Analysis of Current Tax Levy Schedule</v>
      </c>
      <c r="C240" s="337" t="str">
        <f>'Unit Data from Audit Worksheet'!D296</f>
        <v>Property Tax Increase for Year Audited- enter amount of  increase in cents per $100 - leave blank if no increase 
Exclude supplemental taxes</v>
      </c>
      <c r="D240" s="357"/>
      <c r="E240" s="148">
        <f>'Unit Data from Audit Worksheet'!F296</f>
        <v>0</v>
      </c>
      <c r="F240" s="104"/>
      <c r="G240" s="353"/>
      <c r="H240" s="350">
        <f>'Unit Data from Audit Worksheet'!I296</f>
        <v>0</v>
      </c>
      <c r="I240" s="38"/>
      <c r="J240" s="349">
        <v>544</v>
      </c>
      <c r="K240" s="58" t="s">
        <v>53</v>
      </c>
      <c r="L240" s="627">
        <f t="shared" si="25"/>
        <v>0</v>
      </c>
      <c r="N240" s="61" t="s">
        <v>546</v>
      </c>
      <c r="P240" s="320"/>
      <c r="W240" s="3" t="b">
        <f t="shared" si="24"/>
        <v>1</v>
      </c>
      <c r="X240" s="583">
        <f t="shared" si="21"/>
        <v>0</v>
      </c>
      <c r="Y240" s="583">
        <f t="shared" si="22"/>
        <v>0</v>
      </c>
    </row>
    <row r="241" spans="1:25" ht="93.75" customHeight="1" x14ac:dyDescent="0.3">
      <c r="A241" s="338">
        <f>'Unit Data from Audit Worksheet'!A297</f>
        <v>545</v>
      </c>
      <c r="B241" s="352" t="str">
        <f>'Unit Data from Audit Worksheet'!C297</f>
        <v>Analysis of Current Tax Levy Schedule</v>
      </c>
      <c r="C241" s="337" t="str">
        <f>'Unit Data from Audit Worksheet'!D297</f>
        <v>Property Tax Increase for budget year after fiscal year being reported - enter amount of increase in cents per $100- leave blank if no increase
Exclude supplemental taxes</v>
      </c>
      <c r="D241" s="357"/>
      <c r="E241" s="148">
        <f>'Unit Data from Audit Worksheet'!F297</f>
        <v>0</v>
      </c>
      <c r="F241" s="351"/>
      <c r="G241" s="353"/>
      <c r="H241" s="350">
        <f>'Unit Data from Audit Worksheet'!I297</f>
        <v>0</v>
      </c>
      <c r="I241" s="38"/>
      <c r="J241" s="105">
        <v>545</v>
      </c>
      <c r="K241" s="58" t="s">
        <v>54</v>
      </c>
      <c r="L241" s="627">
        <f t="shared" si="25"/>
        <v>0</v>
      </c>
      <c r="N241" s="61" t="s">
        <v>546</v>
      </c>
      <c r="O241" s="595"/>
      <c r="P241" s="321"/>
      <c r="W241" s="3" t="b">
        <f t="shared" si="24"/>
        <v>1</v>
      </c>
      <c r="X241" s="583">
        <f t="shared" si="21"/>
        <v>0</v>
      </c>
      <c r="Y241" s="583">
        <f t="shared" si="22"/>
        <v>0</v>
      </c>
    </row>
    <row r="242" spans="1:25" ht="72.75" customHeight="1" x14ac:dyDescent="0.3">
      <c r="A242" s="338">
        <f>'Unit Data from Audit Worksheet'!A298</f>
        <v>624</v>
      </c>
      <c r="B242" s="352"/>
      <c r="C242" s="337" t="str">
        <f>'Unit Data from Audit Worksheet'!D298</f>
        <v>Does the County collect real estate property taxes on your behalf? Select "1" for "yes and "2" for "No"</v>
      </c>
      <c r="D242" s="357"/>
      <c r="E242" s="156">
        <f>'Unit Data from Audit Worksheet'!F298</f>
        <v>0</v>
      </c>
      <c r="F242" s="351"/>
      <c r="G242" s="353"/>
      <c r="H242" s="350"/>
      <c r="I242" s="38"/>
      <c r="J242" s="105">
        <v>624</v>
      </c>
      <c r="K242" s="58" t="s">
        <v>720</v>
      </c>
      <c r="L242" s="586">
        <f t="shared" ref="L242:L258" si="26">IF(D242="",E242,D242)</f>
        <v>0</v>
      </c>
      <c r="P242" s="321"/>
      <c r="W242" s="3" t="b">
        <f t="shared" si="24"/>
        <v>1</v>
      </c>
      <c r="X242" s="583">
        <f t="shared" si="21"/>
        <v>0</v>
      </c>
      <c r="Y242" s="583">
        <f t="shared" si="22"/>
        <v>0</v>
      </c>
    </row>
    <row r="243" spans="1:25" ht="72.75" customHeight="1" x14ac:dyDescent="0.3">
      <c r="A243" s="338">
        <f>'Unit Data from Audit Worksheet'!A299</f>
        <v>648</v>
      </c>
      <c r="B243" s="352"/>
      <c r="C243" s="337" t="str">
        <f>'Unit Data from Audit Worksheet'!D299</f>
        <v>Please enter your tax rate for ad valorem in effect for fiscal year audited.  Example 60 cents per 100 would be entered as .60</v>
      </c>
      <c r="D243" s="357"/>
      <c r="E243" s="156">
        <f>'Unit Data from Audit Worksheet'!F299</f>
        <v>0</v>
      </c>
      <c r="F243" s="351"/>
      <c r="G243" s="353"/>
      <c r="H243" s="350"/>
      <c r="I243" s="38"/>
      <c r="J243" s="105">
        <v>648</v>
      </c>
      <c r="K243" s="628" t="s">
        <v>1127</v>
      </c>
      <c r="L243" s="629">
        <f t="shared" si="26"/>
        <v>0</v>
      </c>
      <c r="P243" s="321"/>
      <c r="W243" s="3" t="b">
        <f t="shared" si="24"/>
        <v>1</v>
      </c>
      <c r="X243" s="583"/>
      <c r="Y243" s="583"/>
    </row>
    <row r="244" spans="1:25" ht="161.25" customHeight="1" x14ac:dyDescent="0.3">
      <c r="A244" s="602">
        <f>'Unit Data from Audit Worksheet'!A300</f>
        <v>991</v>
      </c>
      <c r="B244" s="356"/>
      <c r="C244" s="603" t="str">
        <f>'Unit Data from Audit Worksheet'!D300</f>
        <v>The Counties listed in cell H256 are scheduled to revalue property listing by 1/1/2022 according to the Dept. of Revenue records.  Please indicate if you expect your revaluation to: 
Enter  "20" for increase, 
            "21" for decrease, 
            "22" for no change,
            "23" if this question is not applicable</v>
      </c>
      <c r="D244" s="357"/>
      <c r="E244" s="156">
        <f>'Unit Data from Audit Worksheet'!F300</f>
        <v>0</v>
      </c>
      <c r="F244" s="351"/>
      <c r="G244" s="353"/>
      <c r="H244" s="350" t="str">
        <f>'Unit Data from Audit Worksheet'!H300</f>
        <v>Avery, Bladen, Chowan, Craven, Duplin, Guilford, Harnett, Hoke, Jones, Mitchell, Onslow, Pasquotank, Watauga</v>
      </c>
      <c r="I244" s="38"/>
      <c r="J244" s="335">
        <v>991</v>
      </c>
      <c r="K244" s="613" t="s">
        <v>1791</v>
      </c>
      <c r="L244" s="586">
        <f t="shared" si="26"/>
        <v>0</v>
      </c>
      <c r="P244" s="321"/>
      <c r="W244" s="3" t="b">
        <f t="shared" si="24"/>
        <v>1</v>
      </c>
      <c r="X244" s="583"/>
      <c r="Y244" s="583"/>
    </row>
    <row r="245" spans="1:25" ht="87.75" customHeight="1" x14ac:dyDescent="0.3">
      <c r="A245" s="338">
        <f>'Unit Data from Audit Worksheet'!A302</f>
        <v>620</v>
      </c>
      <c r="B245" s="352"/>
      <c r="C245" s="337" t="str">
        <f>'Unit Data from Audit Worksheet'!D302</f>
        <v>Do you expect to issue debt requiring LGC approval within 12 months from the date that the audit is submitted - select "1" for yes and "2" for no</v>
      </c>
      <c r="D245" s="357"/>
      <c r="E245" s="156">
        <f>'Unit Data from Audit Worksheet'!F302</f>
        <v>0</v>
      </c>
      <c r="F245" s="351"/>
      <c r="G245" s="353"/>
      <c r="H245" s="350">
        <f>'Unit Data from Audit Worksheet'!I302</f>
        <v>0</v>
      </c>
      <c r="I245" s="38"/>
      <c r="J245" s="105">
        <v>620</v>
      </c>
      <c r="K245" s="58" t="s">
        <v>1116</v>
      </c>
      <c r="L245" s="586">
        <f t="shared" si="26"/>
        <v>0</v>
      </c>
      <c r="N245" s="138"/>
      <c r="P245" s="321"/>
      <c r="W245" s="3" t="b">
        <f t="shared" si="24"/>
        <v>1</v>
      </c>
      <c r="X245" s="583">
        <f t="shared" si="21"/>
        <v>0</v>
      </c>
      <c r="Y245" s="583">
        <f t="shared" si="22"/>
        <v>0</v>
      </c>
    </row>
    <row r="246" spans="1:25" ht="87.75" customHeight="1" x14ac:dyDescent="0.3">
      <c r="A246" s="602">
        <f>+'TD Info Completed by Auditor'!D41</f>
        <v>906</v>
      </c>
      <c r="B246" s="334" t="s">
        <v>1113</v>
      </c>
      <c r="C246" s="602" t="str">
        <f>+'TD Info Completed by Auditor'!E41</f>
        <v>Is the Independent Auditor's Report Opinion Unmodified?</v>
      </c>
      <c r="D246" s="357"/>
      <c r="E246" s="340">
        <f>IF(+'TD Info Completed by Auditor'!G41="Yes",1,IF(+'TD Info Completed by Auditor'!G41="No",2,IF(+'TD Info Completed by Auditor'!G41="N/A",3,0)))</f>
        <v>0</v>
      </c>
      <c r="F246" s="351"/>
      <c r="G246" s="353"/>
      <c r="H246" s="350"/>
      <c r="I246" s="38"/>
      <c r="J246" s="127">
        <v>906</v>
      </c>
      <c r="K246" s="613" t="s">
        <v>910</v>
      </c>
      <c r="L246" s="586">
        <f t="shared" si="26"/>
        <v>0</v>
      </c>
      <c r="N246" s="138" t="s">
        <v>1327</v>
      </c>
      <c r="P246" s="323"/>
      <c r="W246" s="3" t="b">
        <f t="shared" si="24"/>
        <v>1</v>
      </c>
      <c r="X246" s="583"/>
      <c r="Y246" s="583"/>
    </row>
    <row r="247" spans="1:25" ht="87.75" customHeight="1" x14ac:dyDescent="0.3">
      <c r="A247" s="602">
        <f>+'TD Info Completed by Auditor'!D43</f>
        <v>907</v>
      </c>
      <c r="B247" s="334" t="s">
        <v>1113</v>
      </c>
      <c r="C247" s="602" t="str">
        <f>+'TD Info Completed by Auditor'!E43</f>
        <v xml:space="preserve">Is there a finding for lack of segregation of duties at this unit? </v>
      </c>
      <c r="D247" s="357"/>
      <c r="E247" s="340">
        <f>IF(+'TD Info Completed by Auditor'!G43="Yes",1,IF(+'TD Info Completed by Auditor'!G43="No",2,IF(+'TD Info Completed by Auditor'!G43="N/A",3,0)))</f>
        <v>0</v>
      </c>
      <c r="F247" s="351"/>
      <c r="G247" s="353"/>
      <c r="H247" s="350"/>
      <c r="I247" s="38"/>
      <c r="J247" s="127">
        <v>907</v>
      </c>
      <c r="K247" s="613" t="s">
        <v>911</v>
      </c>
      <c r="L247" s="586">
        <f t="shared" si="26"/>
        <v>0</v>
      </c>
      <c r="N247" s="138" t="s">
        <v>1327</v>
      </c>
      <c r="P247" s="323"/>
      <c r="W247" s="3" t="b">
        <f t="shared" si="24"/>
        <v>1</v>
      </c>
      <c r="X247" s="583"/>
      <c r="Y247" s="583"/>
    </row>
    <row r="248" spans="1:25" ht="87.75" customHeight="1" x14ac:dyDescent="0.3">
      <c r="A248" s="602">
        <f>+'TD Info Completed by Auditor'!D45</f>
        <v>951</v>
      </c>
      <c r="B248" s="334" t="s">
        <v>1113</v>
      </c>
      <c r="C248" s="603" t="str">
        <f>+'TD Info Completed by Auditor'!E45</f>
        <v>Is there a finding for lack of technical skills, knowledge and experience (SKE) at this unit?</v>
      </c>
      <c r="D248" s="357"/>
      <c r="E248" s="340">
        <f>IF(+'TD Info Completed by Auditor'!G45="Yes",1,IF(+'TD Info Completed by Auditor'!G45="No",2,IF(+'TD Info Completed by Auditor'!G45="N/A",3,0)))</f>
        <v>0</v>
      </c>
      <c r="F248" s="351"/>
      <c r="G248" s="353"/>
      <c r="H248" s="350"/>
      <c r="I248" s="38"/>
      <c r="J248" s="127">
        <v>951</v>
      </c>
      <c r="K248" s="613" t="s">
        <v>912</v>
      </c>
      <c r="L248" s="586">
        <f t="shared" si="26"/>
        <v>0</v>
      </c>
      <c r="N248" s="138" t="s">
        <v>1327</v>
      </c>
      <c r="P248" s="323"/>
      <c r="W248" s="3" t="b">
        <f t="shared" si="24"/>
        <v>1</v>
      </c>
      <c r="X248" s="583"/>
      <c r="Y248" s="583"/>
    </row>
    <row r="249" spans="1:25" ht="87.75" customHeight="1" x14ac:dyDescent="0.3">
      <c r="A249" s="602">
        <f>+'TD Info Completed by Auditor'!D47</f>
        <v>953</v>
      </c>
      <c r="B249" s="334" t="s">
        <v>1113</v>
      </c>
      <c r="C249" s="603" t="str">
        <f>+'TD Info Completed by Auditor'!E47</f>
        <v xml:space="preserve">Is there is a going concern finding noted in the audit report? </v>
      </c>
      <c r="D249" s="357"/>
      <c r="E249" s="340">
        <f>IF(+'TD Info Completed by Auditor'!G47="Yes",1,IF(+'TD Info Completed by Auditor'!G47="No",2,IF(+'TD Info Completed by Auditor'!G47="N/A",3,0)))</f>
        <v>0</v>
      </c>
      <c r="F249" s="351"/>
      <c r="G249" s="353"/>
      <c r="H249" s="350"/>
      <c r="I249" s="38"/>
      <c r="J249" s="127">
        <v>953</v>
      </c>
      <c r="K249" s="613" t="s">
        <v>1573</v>
      </c>
      <c r="L249" s="586">
        <f t="shared" si="26"/>
        <v>0</v>
      </c>
      <c r="N249" s="138" t="s">
        <v>1327</v>
      </c>
      <c r="P249" s="323"/>
      <c r="W249" s="3" t="b">
        <f t="shared" si="24"/>
        <v>1</v>
      </c>
      <c r="X249" s="583"/>
      <c r="Y249" s="583"/>
    </row>
    <row r="250" spans="1:25" ht="87.75" customHeight="1" x14ac:dyDescent="0.3">
      <c r="A250" s="602">
        <f>+'TD Info Completed by Auditor'!D49</f>
        <v>955</v>
      </c>
      <c r="B250" s="334" t="s">
        <v>1113</v>
      </c>
      <c r="C250" s="603" t="str">
        <f>+'TD Info Completed by Auditor'!E49</f>
        <v>Number of significant deficiency findings (other than in Questions 15-18 )</v>
      </c>
      <c r="D250" s="357"/>
      <c r="E250" s="1165" t="str">
        <f>IF(ISBLANK('TD Info Completed by Auditor'!G49),"",'TD Info Completed by Auditor'!G49)</f>
        <v/>
      </c>
      <c r="F250" s="351"/>
      <c r="G250" s="353"/>
      <c r="H250" s="1164" t="s">
        <v>1822</v>
      </c>
      <c r="I250" s="38"/>
      <c r="J250" s="127">
        <v>955</v>
      </c>
      <c r="K250" s="613" t="s">
        <v>1117</v>
      </c>
      <c r="L250" s="586" t="str">
        <f t="shared" si="26"/>
        <v/>
      </c>
      <c r="N250" s="138" t="s">
        <v>1327</v>
      </c>
      <c r="P250" s="323"/>
      <c r="W250" s="3" t="b">
        <f t="shared" si="24"/>
        <v>1</v>
      </c>
      <c r="X250" s="583"/>
      <c r="Y250" s="583"/>
    </row>
    <row r="251" spans="1:25" ht="87.75" customHeight="1" x14ac:dyDescent="0.3">
      <c r="A251" s="602">
        <f>+'TD Info Completed by Auditor'!D51</f>
        <v>957</v>
      </c>
      <c r="B251" s="334" t="s">
        <v>1113</v>
      </c>
      <c r="C251" s="603" t="str">
        <f>+'TD Info Completed by Auditor'!E51</f>
        <v>Number of material weaknesses findings (other than in Questions 15-18)</v>
      </c>
      <c r="D251" s="357"/>
      <c r="E251" s="1165" t="str">
        <f>IF(ISBLANK('TD Info Completed by Auditor'!G51),"",'TD Info Completed by Auditor'!G51)</f>
        <v/>
      </c>
      <c r="F251" s="351"/>
      <c r="G251" s="353"/>
      <c r="H251" s="1164" t="s">
        <v>1823</v>
      </c>
      <c r="I251" s="38"/>
      <c r="J251" s="127">
        <v>957</v>
      </c>
      <c r="K251" s="613" t="s">
        <v>1118</v>
      </c>
      <c r="L251" s="586" t="str">
        <f t="shared" si="26"/>
        <v/>
      </c>
      <c r="N251" s="138" t="s">
        <v>1327</v>
      </c>
      <c r="P251" s="323"/>
      <c r="W251" s="3" t="b">
        <f t="shared" si="24"/>
        <v>1</v>
      </c>
      <c r="X251" s="583"/>
      <c r="Y251" s="583"/>
    </row>
    <row r="252" spans="1:25" ht="87.75" customHeight="1" x14ac:dyDescent="0.3">
      <c r="A252" s="602">
        <f>+'TD Info Completed by Auditor'!D53</f>
        <v>959</v>
      </c>
      <c r="B252" s="334" t="s">
        <v>1113</v>
      </c>
      <c r="C252" s="603" t="str">
        <f>+'TD Info Completed by Auditor'!E53</f>
        <v>Did the Unit have debt service payments deferred or restructured in this fiscal year? (does not include refinancings designed to take advantage of lower interest rates)  Select Yes, No, or NA</v>
      </c>
      <c r="D252" s="357"/>
      <c r="E252" s="340">
        <f>IF(+'TD Info Completed by Auditor'!G53="Yes",1,IF(+'TD Info Completed by Auditor'!G53="No",2,IF(+'TD Info Completed by Auditor'!G53="N/A",3,0)))</f>
        <v>0</v>
      </c>
      <c r="F252" s="351"/>
      <c r="G252" s="353"/>
      <c r="H252" s="350"/>
      <c r="I252" s="38"/>
      <c r="J252" s="127">
        <v>959</v>
      </c>
      <c r="K252" s="613" t="s">
        <v>1329</v>
      </c>
      <c r="L252" s="586">
        <f t="shared" si="26"/>
        <v>0</v>
      </c>
      <c r="N252" s="138" t="s">
        <v>1327</v>
      </c>
      <c r="P252" s="323"/>
      <c r="W252" s="3" t="b">
        <f t="shared" si="24"/>
        <v>1</v>
      </c>
      <c r="X252" s="583"/>
      <c r="Y252" s="583"/>
    </row>
    <row r="253" spans="1:25" ht="222" customHeight="1" x14ac:dyDescent="0.3">
      <c r="A253" s="602">
        <f>+'TD Info Completed by Auditor'!D57</f>
        <v>974</v>
      </c>
      <c r="B253" s="334" t="s">
        <v>1113</v>
      </c>
      <c r="C253" s="603" t="str">
        <f>+'TD Info Completed by Auditor'!E57</f>
        <v>Did the Unit have any of the following occur:
1.  Bond covenants were not met
2.  Debt service payments made late?  Deferred payments authorized by LGC or other state
     agencies should not be counted as late for purposes of this question.</v>
      </c>
      <c r="D253" s="357"/>
      <c r="E253" s="340">
        <f>IF(+'TD Info Completed by Auditor'!G57="Yes",1,IF(+'TD Info Completed by Auditor'!G57="No",2,IF(+'TD Info Completed by Auditor'!G57="N/A",3,0)))</f>
        <v>0</v>
      </c>
      <c r="F253" s="351"/>
      <c r="G253" s="353"/>
      <c r="H253" s="350"/>
      <c r="I253" s="38"/>
      <c r="J253" s="127">
        <v>974</v>
      </c>
      <c r="K253" s="613" t="s">
        <v>1574</v>
      </c>
      <c r="L253" s="586">
        <f t="shared" si="26"/>
        <v>0</v>
      </c>
      <c r="N253" s="138" t="s">
        <v>1327</v>
      </c>
      <c r="P253" s="323"/>
      <c r="W253" s="3" t="b">
        <f t="shared" si="24"/>
        <v>1</v>
      </c>
      <c r="X253" s="583"/>
      <c r="Y253" s="583"/>
    </row>
    <row r="254" spans="1:25" ht="177.75" customHeight="1" x14ac:dyDescent="0.3">
      <c r="A254" s="602">
        <f>+'TD Info Completed by Auditor'!D55</f>
        <v>973</v>
      </c>
      <c r="B254" s="334" t="s">
        <v>1113</v>
      </c>
      <c r="C254" s="333" t="str">
        <f>+'TD Info Completed by Auditor'!E55</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v>
      </c>
      <c r="D254" s="357"/>
      <c r="E254" s="340">
        <f>+'TD Info Completed by Auditor'!G55</f>
        <v>0</v>
      </c>
      <c r="F254" s="351"/>
      <c r="G254" s="353"/>
      <c r="H254" s="350"/>
      <c r="I254" s="38"/>
      <c r="J254" s="127">
        <v>973</v>
      </c>
      <c r="K254" s="613" t="s">
        <v>1284</v>
      </c>
      <c r="L254" s="586">
        <f t="shared" si="26"/>
        <v>0</v>
      </c>
      <c r="N254" s="138" t="s">
        <v>1327</v>
      </c>
      <c r="P254" s="323"/>
      <c r="W254" s="3" t="b">
        <f t="shared" si="24"/>
        <v>1</v>
      </c>
      <c r="X254" s="583"/>
      <c r="Y254" s="583"/>
    </row>
    <row r="255" spans="1:25" ht="87.75" customHeight="1" x14ac:dyDescent="0.3">
      <c r="A255" s="602">
        <f>+'TD Info Completed by Auditor'!D60</f>
        <v>965</v>
      </c>
      <c r="B255" s="334" t="s">
        <v>1113</v>
      </c>
      <c r="C255" s="603" t="str">
        <f>+'TD Info Completed by Auditor'!E60</f>
        <v xml:space="preserve">Is the Finance Officer bonded for at least $50,000? (GS 159-42(h) </v>
      </c>
      <c r="D255" s="357"/>
      <c r="E255" s="340">
        <f>IF(+'TD Info Completed by Auditor'!G60="Yes",1,IF(+'TD Info Completed by Auditor'!G60="No",2,IF(+'TD Info Completed by Auditor'!G60="N/A",3,0)))</f>
        <v>0</v>
      </c>
      <c r="F255" s="351"/>
      <c r="G255" s="353"/>
      <c r="H255" s="350"/>
      <c r="I255" s="38"/>
      <c r="J255" s="127">
        <v>965</v>
      </c>
      <c r="K255" s="613" t="s">
        <v>917</v>
      </c>
      <c r="L255" s="586">
        <f t="shared" si="26"/>
        <v>0</v>
      </c>
      <c r="N255" s="1134" t="s">
        <v>1327</v>
      </c>
      <c r="P255" s="323"/>
      <c r="W255" s="3" t="b">
        <f t="shared" si="24"/>
        <v>1</v>
      </c>
      <c r="X255" s="583"/>
      <c r="Y255" s="583"/>
    </row>
    <row r="256" spans="1:25" ht="87.75" customHeight="1" x14ac:dyDescent="0.3">
      <c r="A256" s="602">
        <f>+'TD Info Completed by Auditor'!D68</f>
        <v>977</v>
      </c>
      <c r="B256" s="334" t="s">
        <v>1113</v>
      </c>
      <c r="C256" s="603" t="str">
        <f>+'TD Info Completed by Auditor'!E68</f>
        <v>Does the entity have an  effective pre-audit process to ensure that pervasive budgetary over- expenditures do not occur at the budget ordinance level? Select Yes or No</v>
      </c>
      <c r="D256" s="357"/>
      <c r="E256" s="340">
        <f>IF(+'TD Info Completed by Auditor'!G68="Yes",1,IF(+'TD Info Completed by Auditor'!G68="No",2,0))</f>
        <v>0</v>
      </c>
      <c r="F256" s="351"/>
      <c r="G256" s="353"/>
      <c r="H256" s="350"/>
      <c r="I256" s="38"/>
      <c r="J256" s="127">
        <v>977</v>
      </c>
      <c r="K256" s="613" t="s">
        <v>1576</v>
      </c>
      <c r="L256" s="586">
        <f t="shared" si="26"/>
        <v>0</v>
      </c>
      <c r="N256" s="138" t="s">
        <v>1327</v>
      </c>
      <c r="P256" s="323"/>
      <c r="W256" s="3" t="b">
        <f t="shared" si="24"/>
        <v>1</v>
      </c>
      <c r="X256" s="583"/>
      <c r="Y256" s="583"/>
    </row>
    <row r="257" spans="1:25" ht="87.75" customHeight="1" x14ac:dyDescent="0.3">
      <c r="A257" s="602">
        <f>+'TD Info Completed by Auditor'!D70</f>
        <v>978</v>
      </c>
      <c r="B257" s="334" t="s">
        <v>1113</v>
      </c>
      <c r="C257" s="603" t="str">
        <f>+'TD Info Completed by Auditor'!E70</f>
        <v>Did the audit disclose any statutory violations in the notes that were not covered by findings?  Select Yes or No</v>
      </c>
      <c r="D257" s="357"/>
      <c r="E257" s="340" t="str">
        <f>IF(+'TD Info Completed by Auditor'!G70="Yes",1,IF(+'TD Info Completed by Auditor'!G70="No",2,IF(+'TD Info Completed by Auditor'!G70="","0")))</f>
        <v>0</v>
      </c>
      <c r="F257" s="351"/>
      <c r="G257" s="353"/>
      <c r="H257" s="350"/>
      <c r="I257" s="38"/>
      <c r="J257" s="127">
        <v>978</v>
      </c>
      <c r="K257" s="613" t="s">
        <v>1575</v>
      </c>
      <c r="L257" s="586" t="str">
        <f t="shared" si="26"/>
        <v>0</v>
      </c>
      <c r="N257" s="138" t="s">
        <v>1327</v>
      </c>
      <c r="P257" s="323"/>
      <c r="W257" s="3" t="b">
        <f t="shared" si="24"/>
        <v>1</v>
      </c>
      <c r="X257" s="583"/>
      <c r="Y257" s="583"/>
    </row>
    <row r="258" spans="1:25" ht="87.75" customHeight="1" x14ac:dyDescent="0.3">
      <c r="A258" s="602">
        <f>+'TD Info Completed by Auditor'!D72</f>
        <v>979</v>
      </c>
      <c r="B258" s="334" t="s">
        <v>1113</v>
      </c>
      <c r="C258" s="603" t="str">
        <f>+'TD Info Completed by Auditor'!E72</f>
        <v>The Auditor will submit the Audit Report to the LGC within five months plus one day after the fiscal year end.  (for units with a June 30th fiscal year-end this would be December 1)   Select Yes or No</v>
      </c>
      <c r="D258" s="357"/>
      <c r="E258" s="340">
        <f>IF(+'TD Info Completed by Auditor'!G72="Yes",1,IF(+'TD Info Completed by Auditor'!G72="No",2,IF(+'TD Info Completed by Auditor'!G72="N/A",3,0)))</f>
        <v>0</v>
      </c>
      <c r="F258" s="351"/>
      <c r="G258" s="353"/>
      <c r="H258" s="350"/>
      <c r="I258" s="38"/>
      <c r="J258" s="127">
        <v>979</v>
      </c>
      <c r="K258" s="613" t="s">
        <v>1072</v>
      </c>
      <c r="L258" s="586">
        <f t="shared" si="26"/>
        <v>0</v>
      </c>
      <c r="N258" s="138" t="s">
        <v>1327</v>
      </c>
      <c r="P258" s="323"/>
      <c r="W258" s="3" t="b">
        <f t="shared" si="24"/>
        <v>1</v>
      </c>
      <c r="X258" s="583"/>
      <c r="Y258" s="583"/>
    </row>
    <row r="259" spans="1:25" ht="87.75" customHeight="1" x14ac:dyDescent="0.3">
      <c r="A259" s="602">
        <f>+'TD Info Completed by Auditor'!D76</f>
        <v>975</v>
      </c>
      <c r="B259" s="334" t="s">
        <v>1113</v>
      </c>
      <c r="C259" s="603" t="str">
        <f>+'TD Info Completed by Auditor'!E76</f>
        <v>The Performance Indicator Tab in this worksheet has at least one performance indicator of concern (indicated by a red shaded cell)</v>
      </c>
      <c r="D259" s="357"/>
      <c r="E259" s="340">
        <f>IF(+'TD Info Completed by Auditor'!G76="Yes",1,IF(+'TD Info Completed by Auditor'!G76="No",2,IF(+'TD Info Completed by Auditor'!G76="N/A",3,0)))</f>
        <v>0</v>
      </c>
      <c r="F259" s="351"/>
      <c r="G259" s="353"/>
      <c r="H259" s="350"/>
      <c r="I259" s="38"/>
      <c r="J259" s="127">
        <v>975</v>
      </c>
      <c r="K259" s="613" t="s">
        <v>1119</v>
      </c>
      <c r="L259" s="586">
        <f>IF(D259="",E259,D259)</f>
        <v>0</v>
      </c>
      <c r="N259" s="138" t="s">
        <v>1327</v>
      </c>
      <c r="P259" s="323"/>
      <c r="W259" s="3" t="b">
        <f>EXACT(A259,J259)</f>
        <v>1</v>
      </c>
      <c r="X259" s="583"/>
      <c r="Y259" s="583"/>
    </row>
    <row r="260" spans="1:25" ht="112.5" customHeight="1" x14ac:dyDescent="0.3">
      <c r="A260" s="602">
        <f>+'TD Info Completed by Auditor'!D78</f>
        <v>976</v>
      </c>
      <c r="B260" s="334" t="s">
        <v>1113</v>
      </c>
      <c r="C260" s="333" t="str">
        <f>+'TD Info Completed by Auditor'!E78</f>
        <v>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v>
      </c>
      <c r="D260" s="357"/>
      <c r="E260" s="340">
        <f>IF(+'TD Info Completed by Auditor'!G78="Yes",1,IF(+'TD Info Completed by Auditor'!G78="No",2,IF(+'TD Info Completed by Auditor'!G78="N/A",3,0)))</f>
        <v>0</v>
      </c>
      <c r="F260" s="351"/>
      <c r="G260" s="353"/>
      <c r="H260" s="350"/>
      <c r="I260" s="38"/>
      <c r="J260" s="127">
        <v>976</v>
      </c>
      <c r="K260" s="613" t="s">
        <v>1286</v>
      </c>
      <c r="L260" s="586">
        <f>IF(D260="",E260,D260)</f>
        <v>0</v>
      </c>
      <c r="N260" s="138" t="s">
        <v>1327</v>
      </c>
      <c r="P260" s="323"/>
      <c r="W260" s="3" t="b">
        <f>EXACT(A260,J260)</f>
        <v>1</v>
      </c>
      <c r="X260" s="583"/>
      <c r="Y260" s="583"/>
    </row>
    <row r="261" spans="1:25" ht="109.95" customHeight="1" x14ac:dyDescent="0.3">
      <c r="A261" s="630">
        <v>336</v>
      </c>
      <c r="B261" s="370"/>
      <c r="C261" s="631" t="s">
        <v>1382</v>
      </c>
      <c r="D261" s="632" t="s">
        <v>1297</v>
      </c>
      <c r="E261" s="633" t="s">
        <v>1298</v>
      </c>
      <c r="F261" s="371" t="s">
        <v>1296</v>
      </c>
      <c r="G261" s="353"/>
      <c r="H261" s="350"/>
      <c r="I261" s="38"/>
      <c r="J261" s="372">
        <v>336</v>
      </c>
      <c r="K261" s="634" t="s">
        <v>1301</v>
      </c>
      <c r="L261" s="635">
        <f>L10-L11-L12-L13-L14-L15-L16</f>
        <v>0</v>
      </c>
      <c r="M261" s="636"/>
      <c r="N261" s="384" t="s">
        <v>1299</v>
      </c>
      <c r="P261" s="323"/>
      <c r="X261" s="583"/>
      <c r="Y261" s="583"/>
    </row>
    <row r="262" spans="1:25" ht="129" customHeight="1" x14ac:dyDescent="0.3">
      <c r="A262" s="630">
        <v>44</v>
      </c>
      <c r="B262" s="370"/>
      <c r="C262" s="637" t="s">
        <v>1383</v>
      </c>
      <c r="D262" s="632" t="s">
        <v>1288</v>
      </c>
      <c r="E262" s="638" t="s">
        <v>1289</v>
      </c>
      <c r="F262" s="371" t="s">
        <v>1296</v>
      </c>
      <c r="G262" s="353"/>
      <c r="H262" s="350"/>
      <c r="I262" s="38"/>
      <c r="J262" s="372">
        <v>44</v>
      </c>
      <c r="K262" s="634" t="s">
        <v>1302</v>
      </c>
      <c r="L262" s="635">
        <f>L120-L121-L118</f>
        <v>0</v>
      </c>
      <c r="M262" s="636"/>
      <c r="N262" s="384" t="s">
        <v>1300</v>
      </c>
      <c r="P262" s="323"/>
      <c r="X262" s="583"/>
      <c r="Y262" s="583"/>
    </row>
    <row r="263" spans="1:25" ht="169.5" customHeight="1" x14ac:dyDescent="0.3">
      <c r="A263" s="630">
        <v>45</v>
      </c>
      <c r="B263" s="370"/>
      <c r="C263" s="639" t="s">
        <v>1384</v>
      </c>
      <c r="D263" s="632" t="s">
        <v>1290</v>
      </c>
      <c r="E263" s="633" t="s">
        <v>1291</v>
      </c>
      <c r="F263" s="371" t="s">
        <v>1296</v>
      </c>
      <c r="G263" s="353"/>
      <c r="H263" s="350"/>
      <c r="I263" s="38"/>
      <c r="J263" s="372">
        <v>45</v>
      </c>
      <c r="K263" s="634" t="s">
        <v>1303</v>
      </c>
      <c r="L263" s="635">
        <f>L124-L125-L126-L127-L128-L129-L123</f>
        <v>0</v>
      </c>
      <c r="M263" s="636"/>
      <c r="N263" s="384" t="s">
        <v>1318</v>
      </c>
      <c r="P263" s="323"/>
      <c r="X263" s="583"/>
      <c r="Y263" s="583"/>
    </row>
    <row r="264" spans="1:25" ht="87.75" customHeight="1" x14ac:dyDescent="0.3">
      <c r="A264" s="630">
        <v>47</v>
      </c>
      <c r="B264" s="370"/>
      <c r="C264" s="371" t="s">
        <v>1305</v>
      </c>
      <c r="D264" s="632" t="s">
        <v>1292</v>
      </c>
      <c r="E264" s="633" t="s">
        <v>1294</v>
      </c>
      <c r="F264" s="371" t="s">
        <v>1296</v>
      </c>
      <c r="G264" s="353"/>
      <c r="H264" s="350"/>
      <c r="I264" s="38"/>
      <c r="J264" s="372">
        <v>47</v>
      </c>
      <c r="K264" s="634" t="s">
        <v>1304</v>
      </c>
      <c r="L264" s="635">
        <f>L138-L139-L136</f>
        <v>0</v>
      </c>
      <c r="M264" s="636"/>
      <c r="N264" s="384" t="s">
        <v>1319</v>
      </c>
      <c r="P264" s="323"/>
      <c r="X264" s="583"/>
      <c r="Y264" s="583"/>
    </row>
    <row r="265" spans="1:25" ht="152.25" customHeight="1" x14ac:dyDescent="0.3">
      <c r="A265" s="630">
        <v>48</v>
      </c>
      <c r="B265" s="370"/>
      <c r="C265" s="371" t="s">
        <v>1306</v>
      </c>
      <c r="D265" s="632" t="s">
        <v>1293</v>
      </c>
      <c r="E265" s="633" t="s">
        <v>1295</v>
      </c>
      <c r="F265" s="371" t="s">
        <v>1296</v>
      </c>
      <c r="G265" s="353"/>
      <c r="H265" s="350"/>
      <c r="I265" s="38"/>
      <c r="J265" s="372">
        <v>48</v>
      </c>
      <c r="K265" s="634" t="s">
        <v>123</v>
      </c>
      <c r="L265" s="635">
        <f>L143-L144-L145-L146-L147-L148-L142</f>
        <v>0</v>
      </c>
      <c r="M265" s="636"/>
      <c r="N265" s="384" t="s">
        <v>1320</v>
      </c>
      <c r="P265" s="323"/>
      <c r="X265" s="583"/>
      <c r="Y265" s="583"/>
    </row>
    <row r="266" spans="1:25" ht="113.4" customHeight="1" x14ac:dyDescent="0.3">
      <c r="A266" s="640"/>
      <c r="B266" s="97"/>
      <c r="C266" s="641"/>
      <c r="D266" s="139"/>
      <c r="E266" s="147"/>
      <c r="F266" s="66"/>
      <c r="G266" s="141"/>
      <c r="H266" s="142"/>
      <c r="I266" s="38"/>
      <c r="J266" s="373">
        <v>998</v>
      </c>
      <c r="K266" s="374" t="s">
        <v>292</v>
      </c>
      <c r="L266" s="642" t="e">
        <f>HLOOKUP('Unit Data from Audit Worksheet'!$D$2,'2020 Data(H)'!A1:CR373,247,FALSE)</f>
        <v>#N/A</v>
      </c>
      <c r="M266" s="636"/>
      <c r="N266" s="384" t="s">
        <v>1307</v>
      </c>
      <c r="P266" s="319"/>
      <c r="W266" s="3" t="b">
        <f>EXACT(A266,J266)</f>
        <v>0</v>
      </c>
      <c r="X266" s="583" t="e">
        <f t="shared" si="21"/>
        <v>#N/A</v>
      </c>
      <c r="Y266" s="583" t="e">
        <f t="shared" si="22"/>
        <v>#N/A</v>
      </c>
    </row>
    <row r="267" spans="1:25" ht="119.4" customHeight="1" x14ac:dyDescent="0.3">
      <c r="A267" s="640"/>
      <c r="B267" s="97"/>
      <c r="C267" s="641"/>
      <c r="D267" s="643"/>
      <c r="E267" s="644"/>
      <c r="F267" s="645"/>
      <c r="G267" s="646"/>
      <c r="H267" s="647"/>
      <c r="I267" s="38"/>
      <c r="J267" s="375">
        <v>995</v>
      </c>
      <c r="K267" s="376" t="s">
        <v>290</v>
      </c>
      <c r="L267" s="648" t="e">
        <f>HLOOKUP('Unit Data from Audit Worksheet'!$D$2,'2020 Data(H)'!A1:CR373,244,FALSE)</f>
        <v>#N/A</v>
      </c>
      <c r="M267" s="636"/>
      <c r="N267" s="384" t="s">
        <v>1321</v>
      </c>
      <c r="P267" s="320"/>
      <c r="W267" s="3" t="b">
        <f>EXACT(A267,J267)</f>
        <v>0</v>
      </c>
      <c r="X267" s="649" t="e">
        <f t="shared" si="21"/>
        <v>#N/A</v>
      </c>
      <c r="Y267" s="583" t="e">
        <f t="shared" si="22"/>
        <v>#N/A</v>
      </c>
    </row>
    <row r="268" spans="1:25" ht="104.4" customHeight="1" x14ac:dyDescent="0.3">
      <c r="A268" s="640"/>
      <c r="B268" s="97"/>
      <c r="C268" s="641"/>
      <c r="D268" s="643"/>
      <c r="E268" s="644"/>
      <c r="F268" s="645"/>
      <c r="G268" s="646"/>
      <c r="H268" s="647"/>
      <c r="I268" s="38"/>
      <c r="J268" s="375">
        <v>996</v>
      </c>
      <c r="K268" s="376" t="s">
        <v>291</v>
      </c>
      <c r="L268" s="648" t="e">
        <f>HLOOKUP('Unit Data from Audit Worksheet'!$D$2,'2020 Data(H)'!A1:CR373,245,FALSE)</f>
        <v>#N/A</v>
      </c>
      <c r="M268" s="636"/>
      <c r="N268" s="384" t="s">
        <v>1322</v>
      </c>
      <c r="P268" s="320"/>
      <c r="W268" s="3" t="b">
        <f>EXACT(A268,J268)</f>
        <v>0</v>
      </c>
      <c r="X268" s="649" t="e">
        <f t="shared" si="21"/>
        <v>#N/A</v>
      </c>
      <c r="Y268" s="583" t="e">
        <f t="shared" si="22"/>
        <v>#N/A</v>
      </c>
    </row>
    <row r="269" spans="1:25" ht="43.2" x14ac:dyDescent="0.3">
      <c r="A269" s="640"/>
      <c r="B269" s="97"/>
      <c r="C269" s="641"/>
      <c r="D269" s="643"/>
      <c r="E269" s="644"/>
      <c r="F269" s="645"/>
      <c r="G269" s="646"/>
      <c r="H269" s="650"/>
      <c r="I269" s="38"/>
      <c r="J269" s="173">
        <v>554</v>
      </c>
      <c r="K269" s="651" t="s">
        <v>577</v>
      </c>
      <c r="L269" s="612"/>
      <c r="N269" s="652"/>
      <c r="P269" s="321"/>
      <c r="X269" s="649"/>
      <c r="Y269" s="583"/>
    </row>
    <row r="270" spans="1:25" ht="43.2" x14ac:dyDescent="0.3">
      <c r="A270" s="640"/>
      <c r="B270" s="97"/>
      <c r="C270" s="641"/>
      <c r="D270" s="643"/>
      <c r="E270" s="644"/>
      <c r="F270" s="645"/>
      <c r="G270" s="646"/>
      <c r="H270" s="650"/>
      <c r="I270" s="38"/>
      <c r="J270" s="173">
        <v>555</v>
      </c>
      <c r="K270" s="651" t="s">
        <v>579</v>
      </c>
      <c r="L270" s="612"/>
      <c r="N270" s="652"/>
      <c r="P270" s="321"/>
      <c r="X270" s="649"/>
      <c r="Y270" s="583"/>
    </row>
    <row r="271" spans="1:25" ht="43.2" x14ac:dyDescent="0.3">
      <c r="A271" s="640"/>
      <c r="B271" s="97"/>
      <c r="C271" s="641"/>
      <c r="D271" s="643"/>
      <c r="E271" s="644"/>
      <c r="F271" s="645"/>
      <c r="G271" s="646"/>
      <c r="H271" s="650"/>
      <c r="I271" s="38"/>
      <c r="J271" s="173">
        <v>556</v>
      </c>
      <c r="K271" s="651" t="s">
        <v>581</v>
      </c>
      <c r="L271" s="612"/>
      <c r="N271" s="652"/>
      <c r="P271" s="321"/>
      <c r="X271" s="649"/>
      <c r="Y271" s="583"/>
    </row>
    <row r="272" spans="1:25" ht="43.2" x14ac:dyDescent="0.3">
      <c r="A272" s="640"/>
      <c r="B272" s="97"/>
      <c r="C272" s="641"/>
      <c r="D272" s="643"/>
      <c r="E272" s="644"/>
      <c r="F272" s="645"/>
      <c r="G272" s="646"/>
      <c r="H272" s="650"/>
      <c r="I272" s="38"/>
      <c r="J272" s="173">
        <v>557</v>
      </c>
      <c r="K272" s="651" t="s">
        <v>583</v>
      </c>
      <c r="L272" s="612"/>
      <c r="N272" s="652"/>
      <c r="P272" s="321"/>
      <c r="X272" s="649"/>
      <c r="Y272" s="583"/>
    </row>
    <row r="273" spans="1:25" ht="43.2" x14ac:dyDescent="0.3">
      <c r="A273" s="640"/>
      <c r="B273" s="97"/>
      <c r="C273" s="641"/>
      <c r="D273" s="643"/>
      <c r="E273" s="644"/>
      <c r="F273" s="645"/>
      <c r="G273" s="646"/>
      <c r="H273" s="650"/>
      <c r="I273" s="38"/>
      <c r="J273" s="173">
        <v>606</v>
      </c>
      <c r="K273" s="651" t="s">
        <v>856</v>
      </c>
      <c r="L273" s="612"/>
      <c r="N273" s="652"/>
      <c r="P273" s="321"/>
      <c r="X273" s="649"/>
      <c r="Y273" s="583"/>
    </row>
    <row r="274" spans="1:25" ht="39.75" customHeight="1" x14ac:dyDescent="0.3">
      <c r="A274" s="640"/>
      <c r="B274" s="97"/>
      <c r="C274" s="641"/>
      <c r="D274" s="643"/>
      <c r="E274" s="644"/>
      <c r="F274" s="645"/>
      <c r="G274" s="646"/>
      <c r="H274" s="650"/>
      <c r="I274" s="38"/>
      <c r="J274" s="327">
        <v>662</v>
      </c>
      <c r="K274" s="653" t="s">
        <v>857</v>
      </c>
      <c r="L274" s="654"/>
      <c r="N274" s="652"/>
      <c r="P274" s="327"/>
      <c r="X274" s="649"/>
      <c r="Y274" s="583"/>
    </row>
    <row r="275" spans="1:25" ht="39" customHeight="1" x14ac:dyDescent="0.3">
      <c r="A275" s="640"/>
      <c r="B275" s="97"/>
      <c r="C275" s="641"/>
      <c r="D275" s="643"/>
      <c r="E275" s="644"/>
      <c r="F275" s="645"/>
      <c r="G275" s="646"/>
      <c r="H275" s="650"/>
      <c r="I275" s="38"/>
      <c r="J275" s="327">
        <v>663</v>
      </c>
      <c r="K275" s="655" t="s">
        <v>858</v>
      </c>
      <c r="L275" s="654"/>
      <c r="N275" s="652"/>
      <c r="P275" s="327"/>
      <c r="X275" s="649"/>
      <c r="Y275" s="583"/>
    </row>
    <row r="276" spans="1:25" s="18" customFormat="1" ht="22.5" customHeight="1" x14ac:dyDescent="0.3">
      <c r="A276" s="640"/>
      <c r="B276" s="97"/>
      <c r="C276" s="641"/>
      <c r="D276" s="139"/>
      <c r="E276" s="140"/>
      <c r="F276" s="66"/>
      <c r="G276" s="141"/>
      <c r="H276" s="142"/>
      <c r="I276" s="38"/>
      <c r="J276" s="143"/>
      <c r="K276" s="656"/>
      <c r="L276" s="657"/>
      <c r="N276" s="382"/>
      <c r="P276" s="321"/>
      <c r="Q276" s="576"/>
      <c r="W276" s="18" t="b">
        <f t="shared" ref="W276:W284" si="27">EXACT(A276,J276)</f>
        <v>1</v>
      </c>
      <c r="X276" s="592">
        <f t="shared" si="21"/>
        <v>0</v>
      </c>
      <c r="Y276" s="592">
        <f t="shared" si="22"/>
        <v>0</v>
      </c>
    </row>
    <row r="277" spans="1:25" ht="99" customHeight="1" x14ac:dyDescent="0.3">
      <c r="A277" s="338">
        <f>'Unit Data from Audit Worksheet'!A304</f>
        <v>947</v>
      </c>
      <c r="B277" s="132"/>
      <c r="C277" s="337" t="str">
        <f>'Unit Data from Audit Worksheet'!D304</f>
        <v>First name of finance officer or interim finance officer (please enter “vacant” for first name if the position is currently vacant)</v>
      </c>
      <c r="D277" s="360"/>
      <c r="E277" s="188">
        <f>'Unit Data from Audit Worksheet'!F304</f>
        <v>0</v>
      </c>
      <c r="F277" s="351" t="str">
        <f>'Unit Data from Audit Worksheet'!G304</f>
        <v>Please do not leave blank</v>
      </c>
      <c r="G277" s="353"/>
      <c r="H277" s="350"/>
      <c r="I277" s="38"/>
      <c r="J277" s="177">
        <v>947</v>
      </c>
      <c r="K277" s="658" t="s">
        <v>805</v>
      </c>
      <c r="L277" s="659">
        <f t="shared" ref="L277:L290" si="28">IF(D277="",E277,D277)</f>
        <v>0</v>
      </c>
      <c r="N277" s="652"/>
      <c r="P277" s="327"/>
      <c r="Q277" s="618">
        <f t="shared" ref="Q277:Q284" si="29">IF(L277=0,1,0)</f>
        <v>1</v>
      </c>
      <c r="W277" s="3" t="b">
        <f t="shared" si="27"/>
        <v>1</v>
      </c>
      <c r="X277" s="583">
        <f t="shared" ref="X277:X291" si="30">E277-L277</f>
        <v>0</v>
      </c>
      <c r="Y277" s="583">
        <f t="shared" ref="Y277:Y291" si="31">D277-L277</f>
        <v>0</v>
      </c>
    </row>
    <row r="278" spans="1:25" ht="128.25" customHeight="1" x14ac:dyDescent="0.3">
      <c r="A278" s="338">
        <f>'Unit Data from Audit Worksheet'!A305</f>
        <v>948</v>
      </c>
      <c r="B278" s="132"/>
      <c r="C278" s="337" t="str">
        <f>'Unit Data from Audit Worksheet'!D305</f>
        <v>Last name of finance officer or interim finance officer (please enter “vacant” for last name if the position is currently vacant)</v>
      </c>
      <c r="D278" s="360"/>
      <c r="E278" s="660">
        <f>'Unit Data from Audit Worksheet'!F305</f>
        <v>0</v>
      </c>
      <c r="F278" s="351" t="str">
        <f>'Unit Data from Audit Worksheet'!G305</f>
        <v>Please do not leave blank</v>
      </c>
      <c r="G278" s="353"/>
      <c r="H278" s="350"/>
      <c r="I278" s="38"/>
      <c r="J278" s="177">
        <v>948</v>
      </c>
      <c r="K278" s="658" t="s">
        <v>806</v>
      </c>
      <c r="L278" s="659">
        <f t="shared" si="28"/>
        <v>0</v>
      </c>
      <c r="N278" s="652"/>
      <c r="P278" s="327"/>
      <c r="Q278" s="618">
        <f t="shared" si="29"/>
        <v>1</v>
      </c>
      <c r="W278" s="3" t="b">
        <f t="shared" si="27"/>
        <v>1</v>
      </c>
      <c r="X278" s="583">
        <f t="shared" si="30"/>
        <v>0</v>
      </c>
      <c r="Y278" s="583">
        <f t="shared" si="31"/>
        <v>0</v>
      </c>
    </row>
    <row r="279" spans="1:25" ht="61.5" customHeight="1" x14ac:dyDescent="0.3">
      <c r="A279" s="338">
        <f>'Unit Data from Audit Worksheet'!A306</f>
        <v>949</v>
      </c>
      <c r="B279" s="132"/>
      <c r="C279" s="337" t="str">
        <f>'Unit Data from Audit Worksheet'!D306</f>
        <v>Is the finance officer serving in a permanent role or an interim role? (select permanent/interim/vacant)</v>
      </c>
      <c r="D279" s="360"/>
      <c r="E279" s="188">
        <f>'Unit Data from Audit Worksheet'!F306</f>
        <v>0</v>
      </c>
      <c r="F279" s="351" t="str">
        <f>'Unit Data from Audit Worksheet'!G306</f>
        <v>Please do not leave blank</v>
      </c>
      <c r="G279" s="353"/>
      <c r="H279" s="350"/>
      <c r="I279" s="38"/>
      <c r="J279" s="177">
        <v>949</v>
      </c>
      <c r="K279" s="658" t="s">
        <v>834</v>
      </c>
      <c r="L279" s="659">
        <f t="shared" si="28"/>
        <v>0</v>
      </c>
      <c r="N279" s="652"/>
      <c r="P279" s="327"/>
      <c r="Q279" s="618">
        <f t="shared" si="29"/>
        <v>1</v>
      </c>
      <c r="W279" s="3" t="b">
        <f t="shared" si="27"/>
        <v>1</v>
      </c>
      <c r="X279" s="583">
        <f t="shared" si="30"/>
        <v>0</v>
      </c>
      <c r="Y279" s="583">
        <f t="shared" si="31"/>
        <v>0</v>
      </c>
    </row>
    <row r="280" spans="1:25" ht="93.75" customHeight="1" x14ac:dyDescent="0.3">
      <c r="A280" s="338">
        <f>'Unit Data from Audit Worksheet'!A307</f>
        <v>950</v>
      </c>
      <c r="B280" s="132"/>
      <c r="C280" s="337" t="str">
        <f>'Unit Data from Audit Worksheet'!D307</f>
        <v>Has the finance officer been formally appointed by the local government, public authority, or designated official?  (Y/N)</v>
      </c>
      <c r="D280" s="360"/>
      <c r="E280" s="188">
        <f>'Unit Data from Audit Worksheet'!F307</f>
        <v>0</v>
      </c>
      <c r="F280" s="351" t="str">
        <f>'Unit Data from Audit Worksheet'!G307</f>
        <v>Please do not leave blank</v>
      </c>
      <c r="G280" s="353"/>
      <c r="H280" s="350"/>
      <c r="I280" s="38"/>
      <c r="J280" s="177">
        <v>950</v>
      </c>
      <c r="K280" s="658" t="s">
        <v>835</v>
      </c>
      <c r="L280" s="659">
        <f t="shared" si="28"/>
        <v>0</v>
      </c>
      <c r="N280" s="652"/>
      <c r="P280" s="327"/>
      <c r="Q280" s="618">
        <f t="shared" si="29"/>
        <v>1</v>
      </c>
      <c r="W280" s="3" t="b">
        <f t="shared" si="27"/>
        <v>1</v>
      </c>
      <c r="X280" s="583">
        <f t="shared" si="30"/>
        <v>0</v>
      </c>
      <c r="Y280" s="583">
        <f t="shared" si="31"/>
        <v>0</v>
      </c>
    </row>
    <row r="281" spans="1:25" ht="153.75" customHeight="1" x14ac:dyDescent="0.3">
      <c r="A281" s="338">
        <f>'Unit Data from Audit Worksheet'!A308</f>
        <v>952</v>
      </c>
      <c r="B281" s="132"/>
      <c r="C281" s="337" t="str">
        <f>'Unit Data from Audit Worksheet'!D308</f>
        <v>Date on which the local government, public authority, or designated official appointed the finance officer? (If the date of appointment by the board is difficult to find you may enter January 1 and the year)      Date Format  MM/DD/YYYY</v>
      </c>
      <c r="D281" s="360"/>
      <c r="E281" s="136" t="str">
        <f>IF('Unit Data from Audit Worksheet'!F308&gt;0,'Unit Data from Audit Worksheet'!F308," ")</f>
        <v xml:space="preserve"> </v>
      </c>
      <c r="F281" s="351" t="str">
        <f>'Unit Data from Audit Worksheet'!G308</f>
        <v>Leave blank if data not available</v>
      </c>
      <c r="G281" s="353"/>
      <c r="H281" s="350"/>
      <c r="I281" s="38"/>
      <c r="J281" s="177">
        <v>952</v>
      </c>
      <c r="K281" s="658" t="s">
        <v>836</v>
      </c>
      <c r="L281" s="661" t="str">
        <f t="shared" si="28"/>
        <v xml:space="preserve"> </v>
      </c>
      <c r="N281" s="652"/>
      <c r="P281" s="327"/>
      <c r="Q281" s="618">
        <f t="shared" si="29"/>
        <v>0</v>
      </c>
      <c r="W281" s="3" t="b">
        <f t="shared" si="27"/>
        <v>1</v>
      </c>
      <c r="X281" s="583" t="e">
        <f t="shared" si="30"/>
        <v>#VALUE!</v>
      </c>
      <c r="Y281" s="583" t="e">
        <f t="shared" si="31"/>
        <v>#VALUE!</v>
      </c>
    </row>
    <row r="282" spans="1:25" ht="153.75" customHeight="1" x14ac:dyDescent="0.3">
      <c r="A282" s="338">
        <f>'Unit Data from Audit Worksheet'!A309</f>
        <v>954</v>
      </c>
      <c r="B282" s="132"/>
      <c r="C282" s="337" t="str">
        <f>'Unit Data from Audit Worksheet'!D309</f>
        <v>Has the finance officer or interim finance officer read, understand, and is in compliance with the requirements of N.C.G.S. 159, as applicable based on unit type and circumstances? (Y/N)</v>
      </c>
      <c r="D282" s="360"/>
      <c r="E282" s="188">
        <f>'Unit Data from Audit Worksheet'!F309</f>
        <v>0</v>
      </c>
      <c r="F282" s="351" t="str">
        <f>'Unit Data from Audit Worksheet'!G309</f>
        <v>Please do not leave blank</v>
      </c>
      <c r="G282" s="353"/>
      <c r="H282" s="350"/>
      <c r="I282" s="38"/>
      <c r="J282" s="177">
        <v>954</v>
      </c>
      <c r="K282" s="658" t="s">
        <v>837</v>
      </c>
      <c r="L282" s="659">
        <f t="shared" si="28"/>
        <v>0</v>
      </c>
      <c r="N282" s="652"/>
      <c r="P282" s="327"/>
      <c r="Q282" s="618">
        <f t="shared" si="29"/>
        <v>1</v>
      </c>
      <c r="W282" s="3" t="b">
        <f t="shared" si="27"/>
        <v>1</v>
      </c>
      <c r="X282" s="583">
        <f t="shared" si="30"/>
        <v>0</v>
      </c>
      <c r="Y282" s="583">
        <f t="shared" si="31"/>
        <v>0</v>
      </c>
    </row>
    <row r="283" spans="1:25" ht="153.75" customHeight="1" x14ac:dyDescent="0.3">
      <c r="A283" s="338">
        <f>'Unit Data from Audit Worksheet'!A310</f>
        <v>956</v>
      </c>
      <c r="B283" s="132"/>
      <c r="C283" s="337" t="str">
        <f>'Unit Data from Audit Worksheet'!D310</f>
        <v>Does the finance officer or interim finance officer maintain and update (or ensures the maintenance and update of)  financial records monthly, including reconciliation of bank accounts to the general ledger? (Y/N)</v>
      </c>
      <c r="D283" s="360"/>
      <c r="E283" s="188">
        <f>'Unit Data from Audit Worksheet'!F310</f>
        <v>0</v>
      </c>
      <c r="F283" s="351" t="str">
        <f>'Unit Data from Audit Worksheet'!G310</f>
        <v>Please do not leave blank</v>
      </c>
      <c r="G283" s="353"/>
      <c r="H283" s="350"/>
      <c r="I283" s="38"/>
      <c r="J283" s="177">
        <v>956</v>
      </c>
      <c r="K283" s="658" t="s">
        <v>838</v>
      </c>
      <c r="L283" s="659">
        <f t="shared" si="28"/>
        <v>0</v>
      </c>
      <c r="N283" s="652"/>
      <c r="P283" s="327"/>
      <c r="Q283" s="618">
        <f t="shared" si="29"/>
        <v>1</v>
      </c>
      <c r="W283" s="3" t="b">
        <f t="shared" si="27"/>
        <v>1</v>
      </c>
      <c r="X283" s="583">
        <f t="shared" si="30"/>
        <v>0</v>
      </c>
      <c r="Y283" s="583">
        <f t="shared" si="31"/>
        <v>0</v>
      </c>
    </row>
    <row r="284" spans="1:25" ht="201.6" x14ac:dyDescent="0.3">
      <c r="A284" s="338">
        <f>'Unit Data from Audit Worksheet'!A311</f>
        <v>958</v>
      </c>
      <c r="B284" s="132"/>
      <c r="C284" s="337" t="str">
        <f>'Unit Data from Audit Worksheet'!D311</f>
        <v>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v>
      </c>
      <c r="D284" s="360"/>
      <c r="E284" s="188">
        <f>'Unit Data from Audit Worksheet'!F311</f>
        <v>0</v>
      </c>
      <c r="F284" s="351" t="str">
        <f>'Unit Data from Audit Worksheet'!G311</f>
        <v>Please do not leave blank</v>
      </c>
      <c r="G284" s="353"/>
      <c r="H284" s="350"/>
      <c r="I284" s="38"/>
      <c r="J284" s="177">
        <v>958</v>
      </c>
      <c r="K284" s="658" t="s">
        <v>839</v>
      </c>
      <c r="L284" s="662">
        <f t="shared" si="28"/>
        <v>0</v>
      </c>
      <c r="N284" s="652"/>
      <c r="P284" s="327"/>
      <c r="Q284" s="618">
        <f t="shared" si="29"/>
        <v>1</v>
      </c>
      <c r="W284" s="3" t="b">
        <f t="shared" si="27"/>
        <v>1</v>
      </c>
      <c r="X284" s="583">
        <f t="shared" si="30"/>
        <v>0</v>
      </c>
      <c r="Y284" s="583">
        <f t="shared" si="31"/>
        <v>0</v>
      </c>
    </row>
    <row r="285" spans="1:25" ht="30.75" customHeight="1" x14ac:dyDescent="0.3">
      <c r="A285" s="663">
        <f>'Unit Data from Audit Worksheet'!A319</f>
        <v>960</v>
      </c>
      <c r="B285" s="184"/>
      <c r="C285" s="185" t="str">
        <f>'Unit Data from Audit Worksheet'!B319</f>
        <v>Name of Finance Officer</v>
      </c>
      <c r="D285" s="360"/>
      <c r="E285" s="664">
        <f>'Unit Data from Audit Worksheet'!D319</f>
        <v>0</v>
      </c>
      <c r="F285" s="665" t="str">
        <f>'Unit Data from Audit Worksheet'!F319</f>
        <v>Required</v>
      </c>
      <c r="G285" s="353"/>
      <c r="H285" s="350"/>
      <c r="I285" s="38"/>
      <c r="J285" s="187">
        <v>960</v>
      </c>
      <c r="K285" s="666" t="s">
        <v>830</v>
      </c>
      <c r="L285" s="667">
        <f t="shared" si="28"/>
        <v>0</v>
      </c>
      <c r="N285" s="610"/>
      <c r="P285" s="327"/>
      <c r="Q285" s="618">
        <f>IF(L285=0,1,0)</f>
        <v>1</v>
      </c>
      <c r="X285" s="583"/>
      <c r="Y285" s="583"/>
    </row>
    <row r="286" spans="1:25" ht="30.75" customHeight="1" x14ac:dyDescent="0.3">
      <c r="A286" s="663">
        <f>'Unit Data from Audit Worksheet'!A320</f>
        <v>962</v>
      </c>
      <c r="B286" s="184"/>
      <c r="C286" s="185" t="str">
        <f>'Unit Data from Audit Worksheet'!B320</f>
        <v>Title of Official</v>
      </c>
      <c r="D286" s="360"/>
      <c r="E286" s="664">
        <f>'Unit Data from Audit Worksheet'!D320</f>
        <v>0</v>
      </c>
      <c r="F286" s="665" t="str">
        <f>'Unit Data from Audit Worksheet'!F320</f>
        <v>Required</v>
      </c>
      <c r="G286" s="353"/>
      <c r="H286" s="350"/>
      <c r="I286" s="38"/>
      <c r="J286" s="187">
        <v>962</v>
      </c>
      <c r="K286" s="666" t="s">
        <v>785</v>
      </c>
      <c r="L286" s="667">
        <f t="shared" si="28"/>
        <v>0</v>
      </c>
      <c r="N286" s="610"/>
      <c r="P286" s="327"/>
      <c r="Q286" s="618">
        <f>IF(L286=0,1,0)</f>
        <v>1</v>
      </c>
      <c r="X286" s="583"/>
      <c r="Y286" s="583"/>
    </row>
    <row r="287" spans="1:25" ht="30.75" customHeight="1" x14ac:dyDescent="0.3">
      <c r="A287" s="663">
        <f>'Unit Data from Audit Worksheet'!A321</f>
        <v>964</v>
      </c>
      <c r="B287" s="184"/>
      <c r="C287" s="186" t="str">
        <f>'Unit Data from Audit Worksheet'!B321</f>
        <v>Date                        (Enter as "MM/DD/YYYY")</v>
      </c>
      <c r="D287" s="360"/>
      <c r="E287" s="668" t="str">
        <f>IF('Unit Data from Audit Worksheet'!D321&gt;0,'Unit Data from Audit Worksheet'!D321," ")</f>
        <v xml:space="preserve"> </v>
      </c>
      <c r="F287" s="665" t="str">
        <f>'Unit Data from Audit Worksheet'!F321</f>
        <v>Required</v>
      </c>
      <c r="G287" s="353"/>
      <c r="H287" s="350"/>
      <c r="I287" s="38"/>
      <c r="J287" s="187">
        <v>964</v>
      </c>
      <c r="K287" s="666" t="s">
        <v>868</v>
      </c>
      <c r="L287" s="669" t="str">
        <f t="shared" si="28"/>
        <v xml:space="preserve"> </v>
      </c>
      <c r="N287" s="610"/>
      <c r="P287" s="327"/>
      <c r="Q287" s="618">
        <f>IF(L287=0,1,0)</f>
        <v>0</v>
      </c>
      <c r="X287" s="583"/>
      <c r="Y287" s="583"/>
    </row>
    <row r="288" spans="1:25" ht="30.75" customHeight="1" x14ac:dyDescent="0.3">
      <c r="A288" s="663">
        <f>'Unit Data from Audit Worksheet'!A322</f>
        <v>966</v>
      </c>
      <c r="B288" s="184"/>
      <c r="C288" s="185" t="str">
        <f>'Unit Data from Audit Worksheet'!B322</f>
        <v>Telephone number</v>
      </c>
      <c r="D288" s="360"/>
      <c r="E288" s="664">
        <f>'Unit Data from Audit Worksheet'!D322</f>
        <v>0</v>
      </c>
      <c r="F288" s="665" t="str">
        <f>'Unit Data from Audit Worksheet'!F322</f>
        <v>Required</v>
      </c>
      <c r="G288" s="353"/>
      <c r="H288" s="350"/>
      <c r="I288" s="38"/>
      <c r="J288" s="187">
        <v>966</v>
      </c>
      <c r="K288" s="666" t="s">
        <v>787</v>
      </c>
      <c r="L288" s="667">
        <f t="shared" si="28"/>
        <v>0</v>
      </c>
      <c r="N288" s="610"/>
      <c r="P288" s="327"/>
      <c r="Q288" s="618">
        <f>IF(L288=0,1,0)</f>
        <v>1</v>
      </c>
      <c r="X288" s="583"/>
      <c r="Y288" s="583"/>
    </row>
    <row r="289" spans="1:25" ht="30.75" customHeight="1" x14ac:dyDescent="0.3">
      <c r="A289" s="663">
        <f>'Unit Data from Audit Worksheet'!A323</f>
        <v>968</v>
      </c>
      <c r="B289" s="184"/>
      <c r="C289" s="185" t="str">
        <f>'Unit Data from Audit Worksheet'!B323</f>
        <v>E-mail address</v>
      </c>
      <c r="D289" s="360"/>
      <c r="E289" s="664">
        <f>'Unit Data from Audit Worksheet'!D323</f>
        <v>0</v>
      </c>
      <c r="F289" s="665" t="str">
        <f>'Unit Data from Audit Worksheet'!F323</f>
        <v>Required</v>
      </c>
      <c r="G289" s="353"/>
      <c r="H289" s="350"/>
      <c r="I289" s="38"/>
      <c r="J289" s="187">
        <v>968</v>
      </c>
      <c r="K289" s="666" t="s">
        <v>788</v>
      </c>
      <c r="L289" s="667">
        <f t="shared" si="28"/>
        <v>0</v>
      </c>
      <c r="N289" s="610"/>
      <c r="P289" s="327"/>
      <c r="Q289" s="618">
        <f>IF(L289=0,1,0)</f>
        <v>1</v>
      </c>
      <c r="X289" s="583"/>
      <c r="Y289" s="583"/>
    </row>
    <row r="290" spans="1:25" ht="75.599999999999994" customHeight="1" x14ac:dyDescent="0.3">
      <c r="A290" s="670">
        <f>+'TD Info Completed by Auditor'!D74</f>
        <v>980</v>
      </c>
      <c r="B290" s="370" t="s">
        <v>1113</v>
      </c>
      <c r="C290" s="385" t="str">
        <f>+'TD Info Completed by Auditor'!E74</f>
        <v>Date the Auditor presented or plans to present the Audit to the Governing Board</v>
      </c>
      <c r="D290" s="360"/>
      <c r="E290" s="671" t="str">
        <f>IF('TD Info Completed by Auditor'!G74&gt;0,'TD Info Completed by Auditor'!G74," ")</f>
        <v xml:space="preserve"> </v>
      </c>
      <c r="F290" s="672" t="s">
        <v>1325</v>
      </c>
      <c r="G290" s="353"/>
      <c r="H290" s="350"/>
      <c r="I290" s="38"/>
      <c r="J290" s="386">
        <v>980</v>
      </c>
      <c r="K290" s="387" t="s">
        <v>1070</v>
      </c>
      <c r="L290" s="673" t="str">
        <f t="shared" si="28"/>
        <v xml:space="preserve"> </v>
      </c>
      <c r="N290" s="610"/>
      <c r="P290" s="327"/>
      <c r="Q290" s="618"/>
      <c r="X290" s="583"/>
      <c r="Y290" s="583"/>
    </row>
    <row r="291" spans="1:25" ht="83.4" customHeight="1" x14ac:dyDescent="0.3">
      <c r="A291" s="640"/>
      <c r="B291" s="97"/>
      <c r="C291" s="641"/>
      <c r="D291" s="643"/>
      <c r="E291" s="644"/>
      <c r="F291" s="645"/>
      <c r="G291" s="646"/>
      <c r="H291" s="647"/>
      <c r="I291" s="38"/>
      <c r="J291" s="177">
        <v>999</v>
      </c>
      <c r="K291" s="658" t="s">
        <v>293</v>
      </c>
      <c r="L291" s="674" t="e">
        <f>'Unit Data from Audit Worksheet'!D3</f>
        <v>#N/A</v>
      </c>
      <c r="M291" s="636"/>
      <c r="N291" s="675" t="s">
        <v>1324</v>
      </c>
      <c r="O291" s="675" t="s">
        <v>1323</v>
      </c>
      <c r="P291" s="327"/>
      <c r="W291" s="3" t="b">
        <f>EXACT(A291,J291)</f>
        <v>0</v>
      </c>
      <c r="X291" s="583" t="e">
        <f t="shared" si="30"/>
        <v>#N/A</v>
      </c>
      <c r="Y291" s="583" t="e">
        <f t="shared" si="31"/>
        <v>#N/A</v>
      </c>
    </row>
    <row r="292" spans="1:25" x14ac:dyDescent="0.3">
      <c r="A292" s="298"/>
      <c r="B292" s="298"/>
      <c r="C292" s="298"/>
      <c r="D292" s="298"/>
      <c r="E292" s="298"/>
      <c r="F292" s="298"/>
      <c r="G292" s="298"/>
      <c r="H292" s="298"/>
      <c r="I292" s="298"/>
      <c r="J292" s="3"/>
      <c r="K292" s="3"/>
      <c r="L292" s="3"/>
      <c r="N292" s="4"/>
      <c r="P292" s="328"/>
    </row>
    <row r="293" spans="1:25" x14ac:dyDescent="0.3">
      <c r="D293" s="677"/>
      <c r="E293" s="678"/>
      <c r="F293" s="678"/>
      <c r="G293" s="679"/>
      <c r="H293" s="678"/>
      <c r="I293" s="680"/>
      <c r="K293" s="10"/>
      <c r="L293" s="681"/>
      <c r="N293" s="4"/>
      <c r="P293" s="328"/>
    </row>
    <row r="294" spans="1:25" ht="18" x14ac:dyDescent="0.35">
      <c r="A294" s="165" t="s">
        <v>719</v>
      </c>
      <c r="B294" s="166"/>
      <c r="C294" s="167"/>
      <c r="D294" s="168"/>
      <c r="E294" s="169"/>
      <c r="F294" s="678"/>
      <c r="G294" s="679"/>
      <c r="H294" s="678"/>
      <c r="I294" s="680"/>
      <c r="L294" s="681"/>
      <c r="N294" s="4"/>
      <c r="P294" s="328"/>
    </row>
    <row r="295" spans="1:25" ht="117" customHeight="1" x14ac:dyDescent="0.7">
      <c r="A295" s="338">
        <f>'Unit Data from Audit Worksheet'!A88</f>
        <v>590</v>
      </c>
      <c r="B295" s="338" t="str">
        <f>'Unit Data from Audit Worksheet'!B88</f>
        <v>Fiscal Review</v>
      </c>
      <c r="C295" s="81" t="str">
        <f>'Unit Data from Audit Worksheet'!D88</f>
        <v>If you appropriated General Fund Balance in your 2021 budget and your "change in fund balance": (account # 23 above) is negative, please select from the drop down box in column F either "operations" or "capital", whichever best describes what the fund balance was used for.  If you select "Capital" please briefly describe in column G to the right the capital items.</v>
      </c>
      <c r="D295" s="80"/>
      <c r="E295" s="104">
        <f>'Unit Data from Audit Worksheet'!F88</f>
        <v>0</v>
      </c>
      <c r="F295" s="80">
        <f>'Unit Data from Audit Worksheet'!G88</f>
        <v>0</v>
      </c>
      <c r="G295" s="679"/>
      <c r="H295" s="678"/>
      <c r="I295" s="680"/>
      <c r="J295" s="158" t="e">
        <f>SUM(Q5:Q295)</f>
        <v>#N/A</v>
      </c>
      <c r="K295" s="157" t="s">
        <v>827</v>
      </c>
      <c r="L295" s="681" t="e">
        <f>SUM(G5:G245)</f>
        <v>#N/A</v>
      </c>
      <c r="N295" s="4"/>
      <c r="P295" s="328"/>
    </row>
    <row r="296" spans="1:25" ht="14.25" customHeight="1" x14ac:dyDescent="0.3">
      <c r="A296" s="298"/>
      <c r="B296" s="298"/>
      <c r="C296" s="298"/>
      <c r="D296" s="298"/>
      <c r="E296" s="298"/>
      <c r="F296" s="678"/>
      <c r="G296" s="679"/>
      <c r="H296" s="678"/>
      <c r="I296" s="680"/>
      <c r="K296" s="10"/>
      <c r="L296" s="682"/>
      <c r="P296" s="328"/>
      <c r="Q296" s="85"/>
    </row>
    <row r="297" spans="1:25" x14ac:dyDescent="0.3">
      <c r="A297" s="298"/>
      <c r="B297" s="298"/>
      <c r="C297" s="298"/>
      <c r="D297" s="298"/>
      <c r="E297" s="298"/>
      <c r="F297" s="678"/>
      <c r="G297" s="679"/>
      <c r="H297" s="678"/>
      <c r="I297" s="680"/>
      <c r="K297" s="10"/>
      <c r="L297" s="682"/>
      <c r="P297" s="328"/>
    </row>
    <row r="298" spans="1:25" ht="18.75" customHeight="1" x14ac:dyDescent="0.3">
      <c r="A298" s="298"/>
      <c r="B298" s="298"/>
      <c r="C298" s="298"/>
      <c r="D298" s="298"/>
      <c r="E298" s="298"/>
      <c r="F298" s="678"/>
      <c r="G298" s="679"/>
      <c r="H298" s="678"/>
      <c r="I298" s="680"/>
      <c r="J298" s="5">
        <f>SUM(J5:J245)</f>
        <v>98821</v>
      </c>
      <c r="K298" s="10"/>
      <c r="L298" s="682"/>
      <c r="P298" s="328"/>
    </row>
    <row r="299" spans="1:25" ht="30.75" customHeight="1" x14ac:dyDescent="0.3">
      <c r="A299" s="298"/>
      <c r="B299" s="298"/>
      <c r="C299" s="298"/>
      <c r="D299" s="298"/>
      <c r="E299" s="298"/>
      <c r="F299" s="678"/>
      <c r="G299" s="679"/>
      <c r="H299" s="678"/>
      <c r="I299" s="680"/>
      <c r="J299" s="5">
        <f>SUM(J261:J265)+SUM(J277:J290)</f>
        <v>13934</v>
      </c>
      <c r="K299" s="10"/>
      <c r="L299" s="682"/>
      <c r="P299" s="328"/>
    </row>
    <row r="300" spans="1:25" ht="30.75" customHeight="1" x14ac:dyDescent="0.3">
      <c r="A300" s="298"/>
      <c r="B300" s="298"/>
      <c r="C300" s="298"/>
      <c r="D300" s="298"/>
      <c r="E300" s="298"/>
      <c r="F300" s="678"/>
      <c r="G300" s="679"/>
      <c r="H300" s="678"/>
      <c r="I300" s="680"/>
      <c r="J300" s="5">
        <f>+J298+J299</f>
        <v>112755</v>
      </c>
      <c r="K300" s="10"/>
      <c r="L300" s="682"/>
      <c r="P300" s="328"/>
    </row>
    <row r="301" spans="1:25" ht="30.75" customHeight="1" x14ac:dyDescent="0.3">
      <c r="A301" s="298"/>
      <c r="B301" s="298"/>
      <c r="C301" s="298"/>
      <c r="D301" s="298"/>
      <c r="E301" s="298"/>
      <c r="F301" s="678"/>
      <c r="G301" s="679"/>
      <c r="H301" s="678"/>
      <c r="I301" s="680"/>
      <c r="J301" s="5">
        <f>+'Unit Data from Audit Worksheet'!A327</f>
        <v>96734</v>
      </c>
      <c r="K301" s="10"/>
      <c r="L301" s="682"/>
      <c r="P301" s="328"/>
    </row>
    <row r="302" spans="1:25" ht="30.75" customHeight="1" x14ac:dyDescent="0.3">
      <c r="A302" s="298"/>
      <c r="B302" s="298"/>
      <c r="C302" s="298"/>
      <c r="D302" s="298"/>
      <c r="E302" s="298"/>
      <c r="F302" s="678"/>
      <c r="G302" s="679"/>
      <c r="H302" s="678"/>
      <c r="I302" s="680"/>
      <c r="J302" s="5">
        <f>+J300-J301</f>
        <v>16021</v>
      </c>
      <c r="K302" s="10"/>
      <c r="L302" s="682"/>
      <c r="P302" s="328"/>
    </row>
    <row r="303" spans="1:25" ht="30.75" customHeight="1" x14ac:dyDescent="0.3">
      <c r="A303" s="298"/>
      <c r="B303" s="298"/>
      <c r="C303" s="298"/>
      <c r="D303" s="298"/>
      <c r="E303" s="298"/>
      <c r="F303" s="678"/>
      <c r="G303" s="679"/>
      <c r="H303" s="678"/>
      <c r="I303" s="680"/>
      <c r="K303" s="10"/>
      <c r="L303" s="682"/>
      <c r="P303" s="328"/>
    </row>
    <row r="304" spans="1:25" x14ac:dyDescent="0.3">
      <c r="A304" s="298"/>
      <c r="B304" s="298"/>
      <c r="C304" s="298"/>
      <c r="D304" s="298"/>
      <c r="E304" s="298"/>
      <c r="I304" s="680"/>
      <c r="K304" s="10"/>
      <c r="L304" s="682"/>
      <c r="P304" s="328"/>
    </row>
    <row r="305" spans="1:16" x14ac:dyDescent="0.3">
      <c r="A305" s="298"/>
      <c r="B305" s="298"/>
      <c r="C305" s="298"/>
      <c r="D305" s="298"/>
      <c r="E305" s="298"/>
      <c r="I305" s="680"/>
      <c r="L305" s="682"/>
      <c r="P305" s="328"/>
    </row>
    <row r="306" spans="1:16" x14ac:dyDescent="0.3">
      <c r="A306" s="5"/>
      <c r="B306" s="683"/>
      <c r="C306" s="26"/>
      <c r="D306" s="79"/>
      <c r="I306" s="680"/>
      <c r="L306" s="682"/>
      <c r="P306" s="328"/>
    </row>
    <row r="307" spans="1:16" x14ac:dyDescent="0.3">
      <c r="A307" s="5"/>
      <c r="B307" s="683"/>
      <c r="C307" s="26"/>
      <c r="D307" s="79"/>
      <c r="L307" s="682"/>
      <c r="P307" s="328"/>
    </row>
    <row r="308" spans="1:16" x14ac:dyDescent="0.3">
      <c r="D308" s="79"/>
      <c r="P308" s="328"/>
    </row>
    <row r="309" spans="1:16" x14ac:dyDescent="0.3">
      <c r="D309" s="79"/>
      <c r="P309" s="328"/>
    </row>
    <row r="310" spans="1:16" x14ac:dyDescent="0.3">
      <c r="D310" s="79"/>
      <c r="P310" s="328"/>
    </row>
    <row r="311" spans="1:16" x14ac:dyDescent="0.3">
      <c r="D311" s="79"/>
      <c r="P311" s="328"/>
    </row>
    <row r="312" spans="1:16" x14ac:dyDescent="0.3">
      <c r="A312" s="5"/>
      <c r="B312" s="683"/>
      <c r="C312" s="26"/>
      <c r="D312" s="79"/>
      <c r="P312" s="328"/>
    </row>
    <row r="313" spans="1:16" x14ac:dyDescent="0.3">
      <c r="A313" s="5"/>
      <c r="B313" s="683"/>
      <c r="C313" s="26"/>
      <c r="D313" s="79"/>
      <c r="P313" s="328"/>
    </row>
    <row r="314" spans="1:16" x14ac:dyDescent="0.3">
      <c r="D314" s="79"/>
      <c r="P314" s="328"/>
    </row>
    <row r="315" spans="1:16" x14ac:dyDescent="0.3">
      <c r="D315" s="79"/>
      <c r="P315" s="328"/>
    </row>
    <row r="316" spans="1:16" x14ac:dyDescent="0.3">
      <c r="D316" s="79"/>
      <c r="P316" s="328"/>
    </row>
    <row r="317" spans="1:16" x14ac:dyDescent="0.3">
      <c r="D317" s="79"/>
      <c r="P317" s="328"/>
    </row>
    <row r="318" spans="1:16" x14ac:dyDescent="0.3">
      <c r="A318" s="5"/>
      <c r="B318" s="683"/>
      <c r="C318" s="26"/>
      <c r="D318" s="79"/>
      <c r="P318" s="328"/>
    </row>
    <row r="319" spans="1:16" x14ac:dyDescent="0.3">
      <c r="A319" s="5"/>
      <c r="B319" s="683"/>
      <c r="C319" s="26"/>
      <c r="D319" s="79"/>
      <c r="P319" s="328"/>
    </row>
    <row r="320" spans="1:16" x14ac:dyDescent="0.3">
      <c r="D320" s="79"/>
      <c r="P320" s="328"/>
    </row>
    <row r="321" spans="1:16" x14ac:dyDescent="0.3">
      <c r="D321" s="79"/>
      <c r="P321" s="328"/>
    </row>
    <row r="322" spans="1:16" x14ac:dyDescent="0.3">
      <c r="D322" s="79"/>
      <c r="P322" s="328"/>
    </row>
    <row r="323" spans="1:16" x14ac:dyDescent="0.3">
      <c r="D323" s="79"/>
      <c r="P323" s="328"/>
    </row>
    <row r="324" spans="1:16" x14ac:dyDescent="0.3">
      <c r="A324" s="5"/>
      <c r="B324" s="683"/>
      <c r="C324" s="26"/>
      <c r="D324" s="79"/>
      <c r="P324" s="328"/>
    </row>
    <row r="325" spans="1:16" x14ac:dyDescent="0.3">
      <c r="A325" s="5"/>
      <c r="B325" s="683"/>
      <c r="C325" s="26"/>
      <c r="D325" s="79"/>
      <c r="P325" s="328"/>
    </row>
    <row r="326" spans="1:16" x14ac:dyDescent="0.3">
      <c r="A326" s="5"/>
      <c r="B326" s="683"/>
      <c r="C326" s="26"/>
      <c r="D326" s="79"/>
      <c r="P326" s="328"/>
    </row>
    <row r="327" spans="1:16" x14ac:dyDescent="0.3">
      <c r="A327" s="5"/>
      <c r="B327" s="683"/>
      <c r="C327" s="26"/>
      <c r="D327" s="79"/>
      <c r="P327" s="328"/>
    </row>
    <row r="328" spans="1:16" x14ac:dyDescent="0.3">
      <c r="D328" s="79"/>
      <c r="P328" s="328"/>
    </row>
    <row r="329" spans="1:16" x14ac:dyDescent="0.3">
      <c r="D329" s="79"/>
      <c r="P329" s="328"/>
    </row>
    <row r="330" spans="1:16" x14ac:dyDescent="0.3">
      <c r="D330" s="79"/>
      <c r="P330" s="328"/>
    </row>
    <row r="331" spans="1:16" x14ac:dyDescent="0.3">
      <c r="A331" s="5"/>
      <c r="B331" s="683"/>
      <c r="C331" s="26"/>
      <c r="D331" s="79"/>
      <c r="P331" s="328"/>
    </row>
    <row r="332" spans="1:16" x14ac:dyDescent="0.3">
      <c r="A332" s="5"/>
      <c r="B332" s="683"/>
      <c r="C332" s="26"/>
      <c r="D332" s="79"/>
      <c r="P332" s="328"/>
    </row>
    <row r="333" spans="1:16" x14ac:dyDescent="0.3">
      <c r="A333" s="5"/>
      <c r="B333" s="683"/>
      <c r="C333" s="26"/>
      <c r="D333" s="79"/>
      <c r="P333" s="328"/>
    </row>
    <row r="334" spans="1:16" x14ac:dyDescent="0.3">
      <c r="A334" s="5"/>
      <c r="B334" s="683"/>
      <c r="C334" s="26"/>
      <c r="D334" s="79"/>
      <c r="P334" s="328"/>
    </row>
    <row r="335" spans="1:16" x14ac:dyDescent="0.3">
      <c r="A335" s="5"/>
      <c r="B335" s="683"/>
      <c r="C335" s="26"/>
      <c r="D335" s="79"/>
      <c r="P335" s="328"/>
    </row>
    <row r="336" spans="1:16" x14ac:dyDescent="0.3">
      <c r="A336" s="5"/>
      <c r="B336" s="683"/>
      <c r="C336" s="26"/>
      <c r="D336" s="79"/>
      <c r="P336" s="328"/>
    </row>
    <row r="337" spans="1:16" x14ac:dyDescent="0.3">
      <c r="A337" s="5"/>
      <c r="B337" s="683"/>
      <c r="C337" s="26"/>
      <c r="D337" s="79"/>
      <c r="P337" s="328"/>
    </row>
    <row r="338" spans="1:16" x14ac:dyDescent="0.3">
      <c r="A338" s="5"/>
      <c r="B338" s="683"/>
      <c r="C338" s="26"/>
      <c r="D338" s="79"/>
      <c r="P338" s="328"/>
    </row>
    <row r="339" spans="1:16" x14ac:dyDescent="0.3">
      <c r="A339" s="5"/>
      <c r="B339" s="683"/>
      <c r="C339" s="26"/>
      <c r="D339" s="79"/>
      <c r="P339" s="328"/>
    </row>
    <row r="340" spans="1:16" x14ac:dyDescent="0.3">
      <c r="A340" s="5"/>
      <c r="B340" s="683"/>
      <c r="C340" s="26"/>
      <c r="D340" s="79"/>
      <c r="P340" s="328"/>
    </row>
    <row r="341" spans="1:16" x14ac:dyDescent="0.3">
      <c r="A341" s="5"/>
      <c r="B341" s="683"/>
      <c r="C341" s="26"/>
      <c r="D341" s="79"/>
      <c r="P341" s="328"/>
    </row>
    <row r="342" spans="1:16" x14ac:dyDescent="0.3">
      <c r="A342" s="5"/>
      <c r="B342" s="683"/>
      <c r="C342" s="26"/>
      <c r="D342" s="79"/>
      <c r="P342" s="328"/>
    </row>
    <row r="343" spans="1:16" x14ac:dyDescent="0.3">
      <c r="A343" s="5"/>
      <c r="B343" s="683"/>
      <c r="C343" s="26"/>
      <c r="D343" s="79"/>
      <c r="P343" s="328"/>
    </row>
    <row r="344" spans="1:16" x14ac:dyDescent="0.3">
      <c r="A344" s="5"/>
      <c r="B344" s="683"/>
      <c r="C344" s="26"/>
      <c r="D344" s="79"/>
      <c r="P344" s="328"/>
    </row>
    <row r="345" spans="1:16" x14ac:dyDescent="0.3">
      <c r="A345" s="5"/>
      <c r="B345" s="683"/>
      <c r="C345" s="26"/>
      <c r="D345" s="79"/>
      <c r="P345" s="328"/>
    </row>
    <row r="346" spans="1:16" x14ac:dyDescent="0.3">
      <c r="A346" s="5"/>
      <c r="B346" s="683"/>
      <c r="C346" s="26"/>
      <c r="D346" s="79"/>
      <c r="P346" s="328"/>
    </row>
    <row r="347" spans="1:16" x14ac:dyDescent="0.3">
      <c r="A347" s="5"/>
      <c r="B347" s="683"/>
      <c r="C347" s="26"/>
      <c r="D347" s="79"/>
      <c r="P347" s="328"/>
    </row>
    <row r="348" spans="1:16" x14ac:dyDescent="0.3">
      <c r="A348" s="5"/>
      <c r="B348" s="683"/>
      <c r="C348" s="26"/>
      <c r="D348" s="79"/>
      <c r="P348" s="328"/>
    </row>
    <row r="349" spans="1:16" x14ac:dyDescent="0.3">
      <c r="A349" s="5"/>
      <c r="B349" s="683"/>
      <c r="C349" s="26"/>
      <c r="D349" s="79"/>
      <c r="P349" s="328"/>
    </row>
    <row r="350" spans="1:16" x14ac:dyDescent="0.3">
      <c r="A350" s="5"/>
      <c r="B350" s="683"/>
      <c r="C350" s="26"/>
      <c r="D350" s="79"/>
      <c r="P350" s="328"/>
    </row>
    <row r="351" spans="1:16" x14ac:dyDescent="0.3">
      <c r="A351" s="5"/>
      <c r="B351" s="683"/>
      <c r="C351" s="26"/>
      <c r="D351" s="79"/>
      <c r="P351" s="328"/>
    </row>
    <row r="352" spans="1:16" x14ac:dyDescent="0.3">
      <c r="A352" s="5"/>
      <c r="B352" s="683"/>
      <c r="C352" s="26"/>
      <c r="D352" s="79"/>
      <c r="P352" s="328"/>
    </row>
    <row r="353" spans="1:16" x14ac:dyDescent="0.3">
      <c r="A353" s="5"/>
      <c r="B353" s="683"/>
      <c r="C353" s="26"/>
      <c r="D353" s="79"/>
      <c r="P353" s="328"/>
    </row>
    <row r="354" spans="1:16" x14ac:dyDescent="0.3">
      <c r="A354" s="5"/>
      <c r="B354" s="683"/>
      <c r="C354" s="26"/>
      <c r="D354" s="79"/>
      <c r="P354" s="328"/>
    </row>
    <row r="355" spans="1:16" x14ac:dyDescent="0.3">
      <c r="A355" s="5"/>
      <c r="B355" s="683"/>
      <c r="C355" s="26"/>
      <c r="D355" s="79"/>
      <c r="P355" s="328"/>
    </row>
    <row r="356" spans="1:16" x14ac:dyDescent="0.3">
      <c r="A356" s="5"/>
      <c r="B356" s="683"/>
      <c r="C356" s="26"/>
      <c r="D356" s="79"/>
      <c r="P356" s="328"/>
    </row>
    <row r="357" spans="1:16" x14ac:dyDescent="0.3">
      <c r="A357" s="5"/>
      <c r="B357" s="683"/>
      <c r="C357" s="26"/>
      <c r="D357" s="79"/>
      <c r="P357" s="328"/>
    </row>
    <row r="358" spans="1:16" x14ac:dyDescent="0.3">
      <c r="A358" s="5"/>
      <c r="B358" s="683"/>
      <c r="C358" s="26"/>
      <c r="D358" s="79"/>
      <c r="P358" s="328"/>
    </row>
    <row r="359" spans="1:16" x14ac:dyDescent="0.3">
      <c r="A359" s="5"/>
      <c r="B359" s="683"/>
      <c r="C359" s="26"/>
      <c r="D359" s="79"/>
      <c r="P359" s="328"/>
    </row>
    <row r="360" spans="1:16" x14ac:dyDescent="0.3">
      <c r="A360" s="5"/>
      <c r="B360" s="683"/>
      <c r="C360" s="26"/>
      <c r="D360" s="79"/>
      <c r="P360" s="328"/>
    </row>
    <row r="361" spans="1:16" x14ac:dyDescent="0.3">
      <c r="A361" s="5"/>
      <c r="B361" s="683"/>
      <c r="C361" s="26"/>
      <c r="D361" s="79"/>
      <c r="P361" s="328"/>
    </row>
    <row r="362" spans="1:16" x14ac:dyDescent="0.3">
      <c r="A362" s="5"/>
      <c r="B362" s="683"/>
      <c r="C362" s="26"/>
      <c r="D362" s="79"/>
      <c r="P362" s="328"/>
    </row>
    <row r="363" spans="1:16" x14ac:dyDescent="0.3">
      <c r="A363" s="5"/>
      <c r="B363" s="683"/>
      <c r="C363" s="26"/>
      <c r="D363" s="79"/>
      <c r="P363" s="328"/>
    </row>
    <row r="364" spans="1:16" x14ac:dyDescent="0.3">
      <c r="A364" s="5"/>
      <c r="B364" s="683"/>
      <c r="C364" s="26"/>
      <c r="D364" s="79"/>
      <c r="P364" s="328"/>
    </row>
    <row r="365" spans="1:16" x14ac:dyDescent="0.3">
      <c r="A365" s="5"/>
      <c r="B365" s="683"/>
      <c r="C365" s="26"/>
      <c r="D365" s="79"/>
      <c r="P365" s="328"/>
    </row>
    <row r="366" spans="1:16" x14ac:dyDescent="0.3">
      <c r="A366" s="5"/>
      <c r="B366" s="683"/>
      <c r="C366" s="26"/>
      <c r="D366" s="79"/>
      <c r="P366" s="328"/>
    </row>
    <row r="367" spans="1:16" x14ac:dyDescent="0.3">
      <c r="A367" s="5"/>
      <c r="B367" s="683"/>
      <c r="C367" s="26"/>
      <c r="D367" s="79"/>
      <c r="P367" s="328"/>
    </row>
    <row r="368" spans="1:16" x14ac:dyDescent="0.3">
      <c r="A368" s="5"/>
      <c r="B368" s="683"/>
      <c r="C368" s="26"/>
      <c r="D368" s="79"/>
      <c r="P368" s="328"/>
    </row>
    <row r="369" spans="1:16" x14ac:dyDescent="0.3">
      <c r="A369" s="5"/>
      <c r="B369" s="683"/>
      <c r="C369" s="26"/>
      <c r="D369" s="79"/>
      <c r="P369" s="328"/>
    </row>
    <row r="370" spans="1:16" x14ac:dyDescent="0.3">
      <c r="A370" s="5"/>
      <c r="B370" s="683"/>
      <c r="C370" s="26"/>
      <c r="D370" s="79"/>
      <c r="P370" s="328"/>
    </row>
    <row r="371" spans="1:16" x14ac:dyDescent="0.3">
      <c r="A371" s="5"/>
      <c r="B371" s="683"/>
      <c r="C371" s="26"/>
      <c r="D371" s="79"/>
      <c r="P371" s="328"/>
    </row>
    <row r="372" spans="1:16" x14ac:dyDescent="0.3">
      <c r="A372" s="5"/>
      <c r="B372" s="683"/>
      <c r="C372" s="26"/>
      <c r="D372" s="79"/>
      <c r="P372" s="328"/>
    </row>
    <row r="373" spans="1:16" x14ac:dyDescent="0.3">
      <c r="A373" s="5"/>
      <c r="B373" s="683"/>
      <c r="C373" s="26"/>
      <c r="D373" s="79"/>
      <c r="P373" s="328"/>
    </row>
    <row r="374" spans="1:16" x14ac:dyDescent="0.3">
      <c r="A374" s="5"/>
      <c r="B374" s="683"/>
      <c r="C374" s="26"/>
      <c r="D374" s="79"/>
      <c r="P374" s="328"/>
    </row>
    <row r="375" spans="1:16" x14ac:dyDescent="0.3">
      <c r="A375" s="5"/>
      <c r="B375" s="683"/>
      <c r="C375" s="26"/>
      <c r="D375" s="79"/>
      <c r="P375" s="328"/>
    </row>
    <row r="376" spans="1:16" x14ac:dyDescent="0.3">
      <c r="A376" s="5"/>
      <c r="B376" s="683"/>
      <c r="C376" s="26"/>
      <c r="D376" s="79"/>
      <c r="P376" s="328"/>
    </row>
    <row r="377" spans="1:16" x14ac:dyDescent="0.3">
      <c r="A377" s="5"/>
      <c r="B377" s="683"/>
      <c r="C377" s="26"/>
      <c r="D377" s="79"/>
      <c r="P377" s="328"/>
    </row>
    <row r="378" spans="1:16" x14ac:dyDescent="0.3">
      <c r="A378" s="5"/>
      <c r="B378" s="683"/>
      <c r="C378" s="26"/>
      <c r="D378" s="79"/>
      <c r="P378" s="328"/>
    </row>
    <row r="379" spans="1:16" x14ac:dyDescent="0.3">
      <c r="A379" s="5"/>
      <c r="B379" s="683"/>
      <c r="C379" s="26"/>
      <c r="D379" s="79"/>
      <c r="P379" s="328"/>
    </row>
    <row r="380" spans="1:16" x14ac:dyDescent="0.3">
      <c r="A380" s="5"/>
      <c r="B380" s="683"/>
      <c r="C380" s="26"/>
      <c r="D380" s="79"/>
      <c r="P380" s="328"/>
    </row>
    <row r="381" spans="1:16" x14ac:dyDescent="0.3">
      <c r="A381" s="5"/>
      <c r="B381" s="683"/>
      <c r="C381" s="26"/>
      <c r="D381" s="79"/>
      <c r="P381" s="328"/>
    </row>
    <row r="382" spans="1:16" x14ac:dyDescent="0.3">
      <c r="A382" s="5"/>
      <c r="B382" s="683"/>
      <c r="C382" s="26"/>
      <c r="D382" s="79"/>
      <c r="P382" s="328"/>
    </row>
    <row r="383" spans="1:16" x14ac:dyDescent="0.3">
      <c r="A383" s="5"/>
      <c r="B383" s="683"/>
      <c r="C383" s="26"/>
      <c r="D383" s="79"/>
      <c r="P383" s="328"/>
    </row>
    <row r="384" spans="1:16" x14ac:dyDescent="0.3">
      <c r="A384" s="5"/>
      <c r="B384" s="683"/>
      <c r="C384" s="26"/>
      <c r="D384" s="79"/>
      <c r="P384" s="328"/>
    </row>
    <row r="385" spans="1:16" x14ac:dyDescent="0.3">
      <c r="A385" s="5"/>
      <c r="B385" s="683"/>
      <c r="C385" s="26"/>
      <c r="D385" s="79"/>
      <c r="P385" s="328"/>
    </row>
    <row r="386" spans="1:16" x14ac:dyDescent="0.3">
      <c r="A386" s="5"/>
      <c r="B386" s="683"/>
      <c r="C386" s="26"/>
      <c r="D386" s="79"/>
      <c r="P386" s="328"/>
    </row>
    <row r="387" spans="1:16" x14ac:dyDescent="0.3">
      <c r="A387" s="5"/>
      <c r="B387" s="683"/>
      <c r="C387" s="26"/>
      <c r="D387" s="79"/>
      <c r="P387" s="328"/>
    </row>
    <row r="388" spans="1:16" x14ac:dyDescent="0.3">
      <c r="A388" s="5"/>
      <c r="B388" s="683"/>
      <c r="C388" s="26"/>
      <c r="D388" s="79"/>
      <c r="P388" s="328"/>
    </row>
    <row r="389" spans="1:16" x14ac:dyDescent="0.3">
      <c r="A389" s="5"/>
      <c r="B389" s="683"/>
      <c r="C389" s="26"/>
      <c r="D389" s="79"/>
      <c r="P389" s="328"/>
    </row>
    <row r="390" spans="1:16" x14ac:dyDescent="0.3">
      <c r="A390" s="5"/>
      <c r="B390" s="683"/>
      <c r="C390" s="26"/>
      <c r="D390" s="79"/>
      <c r="P390" s="328"/>
    </row>
    <row r="391" spans="1:16" x14ac:dyDescent="0.3">
      <c r="A391" s="5"/>
      <c r="B391" s="683"/>
      <c r="C391" s="26"/>
      <c r="D391" s="79"/>
      <c r="P391" s="328"/>
    </row>
    <row r="392" spans="1:16" x14ac:dyDescent="0.3">
      <c r="A392" s="5"/>
      <c r="B392" s="683"/>
      <c r="C392" s="26"/>
      <c r="D392" s="79"/>
      <c r="P392" s="328"/>
    </row>
    <row r="393" spans="1:16" x14ac:dyDescent="0.3">
      <c r="A393" s="5"/>
      <c r="B393" s="683"/>
      <c r="C393" s="26"/>
      <c r="D393" s="79"/>
      <c r="P393" s="328"/>
    </row>
    <row r="394" spans="1:16" x14ac:dyDescent="0.3">
      <c r="A394" s="5"/>
      <c r="B394" s="683"/>
      <c r="C394" s="26"/>
      <c r="D394" s="79"/>
      <c r="P394" s="328"/>
    </row>
    <row r="395" spans="1:16" x14ac:dyDescent="0.3">
      <c r="A395" s="5"/>
      <c r="B395" s="683"/>
      <c r="C395" s="26"/>
      <c r="D395" s="79"/>
      <c r="P395" s="328"/>
    </row>
    <row r="396" spans="1:16" x14ac:dyDescent="0.3">
      <c r="A396" s="5"/>
      <c r="B396" s="683"/>
      <c r="C396" s="26"/>
      <c r="D396" s="79"/>
      <c r="P396" s="328"/>
    </row>
    <row r="397" spans="1:16" x14ac:dyDescent="0.3">
      <c r="A397" s="5"/>
      <c r="B397" s="683"/>
      <c r="C397" s="26"/>
      <c r="D397" s="79"/>
      <c r="P397" s="328"/>
    </row>
    <row r="398" spans="1:16" x14ac:dyDescent="0.3">
      <c r="A398" s="5"/>
      <c r="B398" s="683"/>
      <c r="C398" s="26"/>
      <c r="D398" s="79"/>
      <c r="P398" s="328"/>
    </row>
    <row r="399" spans="1:16" x14ac:dyDescent="0.3">
      <c r="A399" s="5"/>
      <c r="B399" s="683"/>
      <c r="C399" s="26"/>
      <c r="D399" s="79"/>
      <c r="P399" s="328"/>
    </row>
    <row r="400" spans="1:16" x14ac:dyDescent="0.3">
      <c r="A400" s="5"/>
      <c r="B400" s="683"/>
      <c r="C400" s="26"/>
      <c r="D400" s="79"/>
      <c r="P400" s="328"/>
    </row>
    <row r="401" spans="1:16" x14ac:dyDescent="0.3">
      <c r="A401" s="5"/>
      <c r="B401" s="683"/>
      <c r="C401" s="26"/>
      <c r="D401" s="79"/>
      <c r="P401" s="328"/>
    </row>
    <row r="402" spans="1:16" x14ac:dyDescent="0.3">
      <c r="A402" s="5"/>
      <c r="B402" s="683"/>
      <c r="C402" s="26"/>
      <c r="D402" s="79"/>
      <c r="P402" s="328"/>
    </row>
    <row r="403" spans="1:16" x14ac:dyDescent="0.3">
      <c r="A403" s="5"/>
      <c r="B403" s="683"/>
      <c r="C403" s="26"/>
      <c r="D403" s="79"/>
      <c r="P403" s="328"/>
    </row>
    <row r="404" spans="1:16" x14ac:dyDescent="0.3">
      <c r="A404" s="5"/>
      <c r="B404" s="683"/>
      <c r="C404" s="26"/>
      <c r="D404" s="79"/>
      <c r="P404" s="328"/>
    </row>
    <row r="405" spans="1:16" x14ac:dyDescent="0.3">
      <c r="A405" s="5"/>
      <c r="B405" s="683"/>
      <c r="C405" s="26"/>
      <c r="D405" s="79"/>
      <c r="P405" s="328"/>
    </row>
    <row r="406" spans="1:16" x14ac:dyDescent="0.3">
      <c r="A406" s="5"/>
      <c r="B406" s="683"/>
      <c r="C406" s="26"/>
      <c r="D406" s="79"/>
      <c r="P406" s="328"/>
    </row>
    <row r="407" spans="1:16" x14ac:dyDescent="0.3">
      <c r="A407" s="5"/>
      <c r="B407" s="683"/>
      <c r="C407" s="26"/>
      <c r="D407" s="79"/>
      <c r="P407" s="328"/>
    </row>
    <row r="408" spans="1:16" x14ac:dyDescent="0.3">
      <c r="A408" s="5"/>
      <c r="B408" s="683"/>
      <c r="C408" s="26"/>
      <c r="D408" s="79"/>
      <c r="P408" s="328"/>
    </row>
    <row r="409" spans="1:16" x14ac:dyDescent="0.3">
      <c r="A409" s="5"/>
      <c r="B409" s="683"/>
      <c r="C409" s="26"/>
      <c r="D409" s="79"/>
      <c r="P409" s="328"/>
    </row>
    <row r="410" spans="1:16" x14ac:dyDescent="0.3">
      <c r="A410" s="5"/>
      <c r="B410" s="683"/>
      <c r="C410" s="26"/>
      <c r="D410" s="79"/>
      <c r="P410" s="328"/>
    </row>
    <row r="411" spans="1:16" x14ac:dyDescent="0.3">
      <c r="A411" s="5"/>
      <c r="B411" s="683"/>
      <c r="C411" s="26"/>
      <c r="D411" s="79"/>
      <c r="P411" s="328"/>
    </row>
    <row r="412" spans="1:16" x14ac:dyDescent="0.3">
      <c r="A412" s="5"/>
      <c r="B412" s="683"/>
      <c r="C412" s="26"/>
      <c r="D412" s="79"/>
      <c r="P412" s="328"/>
    </row>
    <row r="413" spans="1:16" x14ac:dyDescent="0.3">
      <c r="A413" s="5"/>
      <c r="B413" s="683"/>
      <c r="C413" s="26"/>
      <c r="D413" s="79"/>
      <c r="P413" s="328"/>
    </row>
    <row r="414" spans="1:16" x14ac:dyDescent="0.3">
      <c r="A414" s="5"/>
      <c r="B414" s="683"/>
      <c r="C414" s="26"/>
      <c r="D414" s="79"/>
      <c r="P414" s="328"/>
    </row>
    <row r="415" spans="1:16" x14ac:dyDescent="0.3">
      <c r="A415" s="5"/>
      <c r="B415" s="683"/>
      <c r="C415" s="26"/>
      <c r="D415" s="79"/>
      <c r="P415" s="328"/>
    </row>
    <row r="416" spans="1:16" x14ac:dyDescent="0.3">
      <c r="A416" s="5"/>
      <c r="B416" s="683"/>
      <c r="C416" s="26"/>
      <c r="D416" s="79"/>
      <c r="P416" s="328"/>
    </row>
    <row r="417" spans="1:16" x14ac:dyDescent="0.3">
      <c r="A417" s="5"/>
      <c r="B417" s="683"/>
      <c r="C417" s="26"/>
      <c r="D417" s="79"/>
      <c r="P417" s="328"/>
    </row>
    <row r="418" spans="1:16" x14ac:dyDescent="0.3">
      <c r="A418" s="5"/>
      <c r="B418" s="683"/>
      <c r="C418" s="26"/>
      <c r="D418" s="79"/>
      <c r="P418" s="328"/>
    </row>
    <row r="419" spans="1:16" x14ac:dyDescent="0.3">
      <c r="A419" s="5"/>
      <c r="B419" s="683"/>
      <c r="C419" s="26"/>
      <c r="D419" s="79"/>
      <c r="P419" s="328"/>
    </row>
    <row r="420" spans="1:16" x14ac:dyDescent="0.3">
      <c r="A420" s="5"/>
      <c r="B420" s="683"/>
      <c r="C420" s="26"/>
      <c r="D420" s="79"/>
      <c r="P420" s="328"/>
    </row>
    <row r="421" spans="1:16" x14ac:dyDescent="0.3">
      <c r="A421" s="5"/>
      <c r="B421" s="683"/>
      <c r="C421" s="26"/>
      <c r="D421" s="79"/>
      <c r="P421" s="328"/>
    </row>
    <row r="422" spans="1:16" x14ac:dyDescent="0.3">
      <c r="A422" s="5"/>
      <c r="B422" s="683"/>
      <c r="C422" s="26"/>
      <c r="D422" s="79"/>
      <c r="P422" s="328"/>
    </row>
    <row r="423" spans="1:16" x14ac:dyDescent="0.3">
      <c r="A423" s="5"/>
      <c r="B423" s="683"/>
      <c r="C423" s="26"/>
      <c r="D423" s="79"/>
      <c r="P423" s="328"/>
    </row>
    <row r="424" spans="1:16" x14ac:dyDescent="0.3">
      <c r="A424" s="5"/>
      <c r="B424" s="683"/>
      <c r="C424" s="26"/>
      <c r="D424" s="79"/>
      <c r="P424" s="328"/>
    </row>
    <row r="425" spans="1:16" x14ac:dyDescent="0.3">
      <c r="A425" s="5"/>
      <c r="B425" s="683"/>
      <c r="C425" s="26"/>
      <c r="D425" s="79"/>
      <c r="P425" s="328"/>
    </row>
    <row r="426" spans="1:16" x14ac:dyDescent="0.3">
      <c r="A426" s="5"/>
      <c r="B426" s="683"/>
      <c r="C426" s="26"/>
      <c r="D426" s="79"/>
      <c r="P426" s="328"/>
    </row>
    <row r="427" spans="1:16" x14ac:dyDescent="0.3">
      <c r="A427" s="5"/>
      <c r="B427" s="683"/>
      <c r="C427" s="26"/>
      <c r="D427" s="79"/>
      <c r="P427" s="328"/>
    </row>
    <row r="428" spans="1:16" x14ac:dyDescent="0.3">
      <c r="A428" s="5"/>
      <c r="B428" s="683"/>
      <c r="C428" s="26"/>
      <c r="D428" s="79"/>
      <c r="P428" s="328"/>
    </row>
    <row r="429" spans="1:16" x14ac:dyDescent="0.3">
      <c r="A429" s="5"/>
      <c r="B429" s="683"/>
      <c r="C429" s="26"/>
      <c r="D429" s="79"/>
    </row>
    <row r="430" spans="1:16" x14ac:dyDescent="0.3">
      <c r="A430" s="5"/>
      <c r="B430" s="683"/>
      <c r="C430" s="26"/>
      <c r="D430" s="79"/>
      <c r="P430" s="328"/>
    </row>
    <row r="431" spans="1:16" x14ac:dyDescent="0.3">
      <c r="A431" s="5"/>
      <c r="B431" s="683"/>
      <c r="C431" s="26"/>
      <c r="D431" s="79"/>
    </row>
    <row r="432" spans="1:16" x14ac:dyDescent="0.3">
      <c r="A432" s="5"/>
      <c r="B432" s="683"/>
      <c r="C432" s="26"/>
      <c r="D432" s="79"/>
    </row>
    <row r="433" spans="1:4" x14ac:dyDescent="0.3">
      <c r="A433" s="5"/>
      <c r="B433" s="683"/>
      <c r="C433" s="26"/>
      <c r="D433" s="79"/>
    </row>
    <row r="434" spans="1:4" x14ac:dyDescent="0.3">
      <c r="A434" s="5"/>
      <c r="B434" s="683"/>
      <c r="C434" s="26"/>
      <c r="D434" s="79"/>
    </row>
    <row r="435" spans="1:4" x14ac:dyDescent="0.3">
      <c r="A435" s="5"/>
      <c r="B435" s="683"/>
      <c r="C435" s="26"/>
      <c r="D435" s="79"/>
    </row>
    <row r="436" spans="1:4" x14ac:dyDescent="0.3">
      <c r="A436" s="5"/>
      <c r="B436" s="683"/>
      <c r="C436" s="26"/>
      <c r="D436" s="79"/>
    </row>
    <row r="437" spans="1:4" x14ac:dyDescent="0.3">
      <c r="A437" s="5"/>
      <c r="B437" s="683"/>
      <c r="C437" s="26"/>
      <c r="D437" s="79"/>
    </row>
    <row r="438" spans="1:4" x14ac:dyDescent="0.3">
      <c r="A438" s="5"/>
      <c r="B438" s="683"/>
      <c r="C438" s="26"/>
      <c r="D438" s="79"/>
    </row>
    <row r="439" spans="1:4" x14ac:dyDescent="0.3">
      <c r="A439" s="5"/>
      <c r="B439" s="683"/>
      <c r="C439" s="26"/>
      <c r="D439" s="79"/>
    </row>
    <row r="440" spans="1:4" x14ac:dyDescent="0.3">
      <c r="A440" s="5"/>
      <c r="B440" s="683"/>
      <c r="C440" s="26"/>
      <c r="D440" s="79"/>
    </row>
    <row r="441" spans="1:4" x14ac:dyDescent="0.3">
      <c r="A441" s="5"/>
      <c r="B441" s="683"/>
      <c r="C441" s="26"/>
      <c r="D441" s="79"/>
    </row>
    <row r="442" spans="1:4" x14ac:dyDescent="0.3">
      <c r="A442" s="5"/>
      <c r="B442" s="683"/>
      <c r="C442" s="26"/>
      <c r="D442" s="79"/>
    </row>
    <row r="443" spans="1:4" x14ac:dyDescent="0.3">
      <c r="D443" s="79"/>
    </row>
    <row r="444" spans="1:4" x14ac:dyDescent="0.3">
      <c r="D444" s="79"/>
    </row>
    <row r="445" spans="1:4" x14ac:dyDescent="0.3">
      <c r="D445" s="79"/>
    </row>
    <row r="446" spans="1:4" x14ac:dyDescent="0.3">
      <c r="D446" s="79"/>
    </row>
    <row r="447" spans="1:4" x14ac:dyDescent="0.3">
      <c r="D447" s="79"/>
    </row>
    <row r="448" spans="1:4" x14ac:dyDescent="0.3">
      <c r="D448" s="79"/>
    </row>
    <row r="449" spans="4:4" x14ac:dyDescent="0.3">
      <c r="D449" s="79"/>
    </row>
    <row r="450" spans="4:4" x14ac:dyDescent="0.3">
      <c r="D450" s="79"/>
    </row>
    <row r="451" spans="4:4" x14ac:dyDescent="0.3">
      <c r="D451" s="79"/>
    </row>
    <row r="452" spans="4:4" x14ac:dyDescent="0.3">
      <c r="D452" s="79"/>
    </row>
    <row r="453" spans="4:4" x14ac:dyDescent="0.3">
      <c r="D453" s="79"/>
    </row>
    <row r="454" spans="4:4" x14ac:dyDescent="0.3">
      <c r="D454" s="79"/>
    </row>
    <row r="455" spans="4:4" x14ac:dyDescent="0.3">
      <c r="D455" s="79"/>
    </row>
    <row r="456" spans="4:4" x14ac:dyDescent="0.3">
      <c r="D456" s="79"/>
    </row>
    <row r="457" spans="4:4" x14ac:dyDescent="0.3">
      <c r="D457" s="79"/>
    </row>
    <row r="458" spans="4:4" x14ac:dyDescent="0.3">
      <c r="D458" s="79"/>
    </row>
    <row r="459" spans="4:4" x14ac:dyDescent="0.3">
      <c r="D459" s="79"/>
    </row>
    <row r="460" spans="4:4" x14ac:dyDescent="0.3">
      <c r="D460" s="79"/>
    </row>
    <row r="461" spans="4:4" x14ac:dyDescent="0.3">
      <c r="D461" s="79"/>
    </row>
    <row r="462" spans="4:4" x14ac:dyDescent="0.3">
      <c r="D462" s="79"/>
    </row>
    <row r="463" spans="4:4" x14ac:dyDescent="0.3">
      <c r="D463" s="79"/>
    </row>
    <row r="464" spans="4:4" x14ac:dyDescent="0.3">
      <c r="D464" s="79"/>
    </row>
    <row r="465" spans="4:4" x14ac:dyDescent="0.3">
      <c r="D465" s="79"/>
    </row>
    <row r="466" spans="4:4" x14ac:dyDescent="0.3">
      <c r="D466" s="79"/>
    </row>
    <row r="467" spans="4:4" x14ac:dyDescent="0.3">
      <c r="D467" s="79"/>
    </row>
    <row r="468" spans="4:4" x14ac:dyDescent="0.3">
      <c r="D468" s="79"/>
    </row>
    <row r="469" spans="4:4" x14ac:dyDescent="0.3">
      <c r="D469" s="79"/>
    </row>
    <row r="470" spans="4:4" x14ac:dyDescent="0.3">
      <c r="D470" s="79"/>
    </row>
    <row r="471" spans="4:4" x14ac:dyDescent="0.3">
      <c r="D471" s="79"/>
    </row>
    <row r="472" spans="4:4" x14ac:dyDescent="0.3">
      <c r="D472" s="79"/>
    </row>
    <row r="473" spans="4:4" x14ac:dyDescent="0.3">
      <c r="D473" s="79"/>
    </row>
    <row r="474" spans="4:4" x14ac:dyDescent="0.3">
      <c r="D474" s="79"/>
    </row>
    <row r="475" spans="4:4" x14ac:dyDescent="0.3">
      <c r="D475" s="79"/>
    </row>
    <row r="476" spans="4:4" x14ac:dyDescent="0.3">
      <c r="D476" s="79"/>
    </row>
    <row r="477" spans="4:4" x14ac:dyDescent="0.3">
      <c r="D477" s="79"/>
    </row>
    <row r="478" spans="4:4" x14ac:dyDescent="0.3">
      <c r="D478" s="79"/>
    </row>
    <row r="479" spans="4:4" x14ac:dyDescent="0.3">
      <c r="D479" s="79"/>
    </row>
    <row r="480" spans="4:4" x14ac:dyDescent="0.3">
      <c r="D480" s="79"/>
    </row>
    <row r="481" spans="4:4" x14ac:dyDescent="0.3">
      <c r="D481" s="79"/>
    </row>
    <row r="482" spans="4:4" x14ac:dyDescent="0.3">
      <c r="D482" s="79"/>
    </row>
    <row r="483" spans="4:4" x14ac:dyDescent="0.3">
      <c r="D483" s="79"/>
    </row>
    <row r="484" spans="4:4" x14ac:dyDescent="0.3">
      <c r="D484" s="79"/>
    </row>
    <row r="485" spans="4:4" x14ac:dyDescent="0.3">
      <c r="D485" s="79"/>
    </row>
    <row r="486" spans="4:4" x14ac:dyDescent="0.3">
      <c r="D486" s="79"/>
    </row>
    <row r="487" spans="4:4" x14ac:dyDescent="0.3">
      <c r="D487" s="79"/>
    </row>
    <row r="488" spans="4:4" x14ac:dyDescent="0.3">
      <c r="D488" s="79"/>
    </row>
    <row r="489" spans="4:4" x14ac:dyDescent="0.3">
      <c r="D489" s="79"/>
    </row>
    <row r="490" spans="4:4" x14ac:dyDescent="0.3">
      <c r="D490" s="79"/>
    </row>
    <row r="491" spans="4:4" x14ac:dyDescent="0.3">
      <c r="D491" s="79"/>
    </row>
    <row r="492" spans="4:4" x14ac:dyDescent="0.3">
      <c r="D492" s="79"/>
    </row>
    <row r="493" spans="4:4" x14ac:dyDescent="0.3">
      <c r="D493" s="79"/>
    </row>
    <row r="494" spans="4:4" x14ac:dyDescent="0.3">
      <c r="D494" s="79"/>
    </row>
    <row r="495" spans="4:4" x14ac:dyDescent="0.3">
      <c r="D495" s="79"/>
    </row>
    <row r="496" spans="4:4" x14ac:dyDescent="0.3">
      <c r="D496" s="79"/>
    </row>
    <row r="497" spans="4:4" x14ac:dyDescent="0.3">
      <c r="D497" s="79"/>
    </row>
    <row r="498" spans="4:4" x14ac:dyDescent="0.3">
      <c r="D498" s="79"/>
    </row>
    <row r="499" spans="4:4" x14ac:dyDescent="0.3">
      <c r="D499" s="79"/>
    </row>
    <row r="500" spans="4:4" x14ac:dyDescent="0.3">
      <c r="D500" s="79"/>
    </row>
    <row r="501" spans="4:4" x14ac:dyDescent="0.3">
      <c r="D501" s="79"/>
    </row>
    <row r="502" spans="4:4" x14ac:dyDescent="0.3">
      <c r="D502" s="79"/>
    </row>
    <row r="503" spans="4:4" x14ac:dyDescent="0.3">
      <c r="D503" s="79"/>
    </row>
    <row r="504" spans="4:4" x14ac:dyDescent="0.3">
      <c r="D504" s="79"/>
    </row>
    <row r="505" spans="4:4" x14ac:dyDescent="0.3">
      <c r="D505" s="79"/>
    </row>
    <row r="506" spans="4:4" x14ac:dyDescent="0.3">
      <c r="D506" s="79"/>
    </row>
    <row r="507" spans="4:4" x14ac:dyDescent="0.3">
      <c r="D507" s="79"/>
    </row>
    <row r="508" spans="4:4" x14ac:dyDescent="0.3">
      <c r="D508" s="79"/>
    </row>
    <row r="509" spans="4:4" x14ac:dyDescent="0.3">
      <c r="D509" s="79"/>
    </row>
    <row r="510" spans="4:4" x14ac:dyDescent="0.3">
      <c r="D510" s="79"/>
    </row>
    <row r="511" spans="4:4" x14ac:dyDescent="0.3">
      <c r="D511" s="79"/>
    </row>
    <row r="512" spans="4:4" x14ac:dyDescent="0.3">
      <c r="D512" s="79"/>
    </row>
    <row r="513" spans="4:4" x14ac:dyDescent="0.3">
      <c r="D513" s="79"/>
    </row>
    <row r="514" spans="4:4" x14ac:dyDescent="0.3">
      <c r="D514" s="79"/>
    </row>
    <row r="515" spans="4:4" x14ac:dyDescent="0.3">
      <c r="D515" s="79"/>
    </row>
    <row r="516" spans="4:4" x14ac:dyDescent="0.3">
      <c r="D516" s="79"/>
    </row>
    <row r="517" spans="4:4" x14ac:dyDescent="0.3">
      <c r="D517" s="79"/>
    </row>
    <row r="518" spans="4:4" x14ac:dyDescent="0.3">
      <c r="D518" s="79"/>
    </row>
    <row r="519" spans="4:4" x14ac:dyDescent="0.3">
      <c r="D519" s="79"/>
    </row>
    <row r="520" spans="4:4" x14ac:dyDescent="0.3">
      <c r="D520" s="79"/>
    </row>
    <row r="521" spans="4:4" x14ac:dyDescent="0.3">
      <c r="D521" s="79"/>
    </row>
    <row r="522" spans="4:4" x14ac:dyDescent="0.3">
      <c r="D522" s="79"/>
    </row>
    <row r="523" spans="4:4" x14ac:dyDescent="0.3">
      <c r="D523" s="79"/>
    </row>
    <row r="524" spans="4:4" x14ac:dyDescent="0.3">
      <c r="D524" s="79"/>
    </row>
    <row r="525" spans="4:4" x14ac:dyDescent="0.3">
      <c r="D525" s="79"/>
    </row>
    <row r="526" spans="4:4" x14ac:dyDescent="0.3">
      <c r="D526" s="79"/>
    </row>
    <row r="527" spans="4:4" x14ac:dyDescent="0.3">
      <c r="D527" s="79"/>
    </row>
    <row r="528" spans="4:4" x14ac:dyDescent="0.3">
      <c r="D528" s="79"/>
    </row>
    <row r="529" spans="4:4" x14ac:dyDescent="0.3">
      <c r="D529" s="79"/>
    </row>
    <row r="530" spans="4:4" x14ac:dyDescent="0.3">
      <c r="D530" s="79"/>
    </row>
    <row r="531" spans="4:4" x14ac:dyDescent="0.3">
      <c r="D531" s="79"/>
    </row>
    <row r="532" spans="4:4" x14ac:dyDescent="0.3">
      <c r="D532" s="79"/>
    </row>
    <row r="533" spans="4:4" x14ac:dyDescent="0.3">
      <c r="D533" s="79"/>
    </row>
    <row r="534" spans="4:4" x14ac:dyDescent="0.3">
      <c r="D534" s="79"/>
    </row>
    <row r="535" spans="4:4" x14ac:dyDescent="0.3">
      <c r="D535" s="79"/>
    </row>
    <row r="536" spans="4:4" x14ac:dyDescent="0.3">
      <c r="D536" s="79"/>
    </row>
    <row r="537" spans="4:4" x14ac:dyDescent="0.3">
      <c r="D537" s="79"/>
    </row>
    <row r="538" spans="4:4" x14ac:dyDescent="0.3">
      <c r="D538" s="79"/>
    </row>
    <row r="539" spans="4:4" x14ac:dyDescent="0.3">
      <c r="D539" s="79"/>
    </row>
    <row r="540" spans="4:4" x14ac:dyDescent="0.3">
      <c r="D540" s="79"/>
    </row>
    <row r="541" spans="4:4" x14ac:dyDescent="0.3">
      <c r="D541" s="79"/>
    </row>
    <row r="542" spans="4:4" x14ac:dyDescent="0.3">
      <c r="D542" s="79"/>
    </row>
    <row r="543" spans="4:4" x14ac:dyDescent="0.3">
      <c r="D543" s="79"/>
    </row>
    <row r="544" spans="4:4" x14ac:dyDescent="0.3">
      <c r="D544" s="79"/>
    </row>
    <row r="545" spans="4:4" x14ac:dyDescent="0.3">
      <c r="D545" s="79"/>
    </row>
    <row r="546" spans="4:4" x14ac:dyDescent="0.3">
      <c r="D546" s="79"/>
    </row>
    <row r="547" spans="4:4" x14ac:dyDescent="0.3">
      <c r="D547" s="79"/>
    </row>
    <row r="548" spans="4:4" x14ac:dyDescent="0.3">
      <c r="D548" s="79"/>
    </row>
    <row r="549" spans="4:4" x14ac:dyDescent="0.3">
      <c r="D549" s="79"/>
    </row>
    <row r="550" spans="4:4" x14ac:dyDescent="0.3">
      <c r="D550" s="79"/>
    </row>
    <row r="551" spans="4:4" x14ac:dyDescent="0.3">
      <c r="D551" s="79"/>
    </row>
    <row r="552" spans="4:4" x14ac:dyDescent="0.3">
      <c r="D552" s="79"/>
    </row>
    <row r="553" spans="4:4" x14ac:dyDescent="0.3">
      <c r="D553" s="79"/>
    </row>
    <row r="554" spans="4:4" x14ac:dyDescent="0.3">
      <c r="D554" s="79"/>
    </row>
    <row r="555" spans="4:4" x14ac:dyDescent="0.3">
      <c r="D555" s="79"/>
    </row>
    <row r="556" spans="4:4" x14ac:dyDescent="0.3">
      <c r="D556" s="79"/>
    </row>
    <row r="557" spans="4:4" x14ac:dyDescent="0.3">
      <c r="D557" s="79"/>
    </row>
    <row r="558" spans="4:4" x14ac:dyDescent="0.3">
      <c r="D558" s="79"/>
    </row>
    <row r="559" spans="4:4" x14ac:dyDescent="0.3">
      <c r="D559" s="79"/>
    </row>
    <row r="560" spans="4:4" x14ac:dyDescent="0.3">
      <c r="D560" s="79"/>
    </row>
    <row r="561" spans="4:4" x14ac:dyDescent="0.3">
      <c r="D561" s="79"/>
    </row>
    <row r="562" spans="4:4" x14ac:dyDescent="0.3">
      <c r="D562" s="79"/>
    </row>
    <row r="563" spans="4:4" x14ac:dyDescent="0.3">
      <c r="D563" s="79"/>
    </row>
    <row r="564" spans="4:4" x14ac:dyDescent="0.3">
      <c r="D564" s="79"/>
    </row>
    <row r="565" spans="4:4" x14ac:dyDescent="0.3">
      <c r="D565" s="79"/>
    </row>
    <row r="566" spans="4:4" x14ac:dyDescent="0.3">
      <c r="D566" s="79"/>
    </row>
    <row r="567" spans="4:4" x14ac:dyDescent="0.3">
      <c r="D567" s="79"/>
    </row>
    <row r="568" spans="4:4" x14ac:dyDescent="0.3">
      <c r="D568" s="79"/>
    </row>
    <row r="569" spans="4:4" x14ac:dyDescent="0.3">
      <c r="D569" s="79"/>
    </row>
    <row r="570" spans="4:4" x14ac:dyDescent="0.3">
      <c r="D570" s="79"/>
    </row>
    <row r="571" spans="4:4" x14ac:dyDescent="0.3">
      <c r="D571" s="79"/>
    </row>
    <row r="572" spans="4:4" x14ac:dyDescent="0.3">
      <c r="D572" s="79"/>
    </row>
    <row r="573" spans="4:4" x14ac:dyDescent="0.3">
      <c r="D573" s="79"/>
    </row>
    <row r="574" spans="4:4" x14ac:dyDescent="0.3">
      <c r="D574" s="79"/>
    </row>
    <row r="575" spans="4:4" x14ac:dyDescent="0.3">
      <c r="D575" s="79"/>
    </row>
    <row r="576" spans="4:4" x14ac:dyDescent="0.3">
      <c r="D576" s="79"/>
    </row>
    <row r="577" spans="4:4" x14ac:dyDescent="0.3">
      <c r="D577" s="79"/>
    </row>
    <row r="578" spans="4:4" x14ac:dyDescent="0.3">
      <c r="D578" s="79"/>
    </row>
    <row r="579" spans="4:4" x14ac:dyDescent="0.3">
      <c r="D579" s="79"/>
    </row>
    <row r="580" spans="4:4" x14ac:dyDescent="0.3">
      <c r="D580" s="79"/>
    </row>
    <row r="581" spans="4:4" x14ac:dyDescent="0.3">
      <c r="D581" s="79"/>
    </row>
    <row r="582" spans="4:4" x14ac:dyDescent="0.3">
      <c r="D582" s="79"/>
    </row>
    <row r="583" spans="4:4" x14ac:dyDescent="0.3">
      <c r="D583" s="79"/>
    </row>
    <row r="584" spans="4:4" x14ac:dyDescent="0.3">
      <c r="D584" s="79"/>
    </row>
    <row r="585" spans="4:4" x14ac:dyDescent="0.3">
      <c r="D585" s="79"/>
    </row>
    <row r="586" spans="4:4" x14ac:dyDescent="0.3">
      <c r="D586" s="79"/>
    </row>
    <row r="587" spans="4:4" x14ac:dyDescent="0.3">
      <c r="D587" s="79"/>
    </row>
    <row r="588" spans="4:4" x14ac:dyDescent="0.3">
      <c r="D588" s="79"/>
    </row>
    <row r="589" spans="4:4" x14ac:dyDescent="0.3">
      <c r="D589" s="79"/>
    </row>
    <row r="590" spans="4:4" x14ac:dyDescent="0.3">
      <c r="D590" s="79"/>
    </row>
    <row r="591" spans="4:4" x14ac:dyDescent="0.3">
      <c r="D591" s="79"/>
    </row>
    <row r="592" spans="4:4" x14ac:dyDescent="0.3">
      <c r="D592" s="79"/>
    </row>
    <row r="593" spans="4:4" x14ac:dyDescent="0.3">
      <c r="D593" s="79"/>
    </row>
    <row r="594" spans="4:4" x14ac:dyDescent="0.3">
      <c r="D594" s="79"/>
    </row>
    <row r="595" spans="4:4" x14ac:dyDescent="0.3">
      <c r="D595" s="79"/>
    </row>
    <row r="596" spans="4:4" x14ac:dyDescent="0.3">
      <c r="D596" s="79"/>
    </row>
    <row r="597" spans="4:4" x14ac:dyDescent="0.3">
      <c r="D597" s="79"/>
    </row>
    <row r="598" spans="4:4" x14ac:dyDescent="0.3">
      <c r="D598" s="79"/>
    </row>
    <row r="599" spans="4:4" x14ac:dyDescent="0.3">
      <c r="D599" s="79"/>
    </row>
    <row r="600" spans="4:4" x14ac:dyDescent="0.3">
      <c r="D600" s="79"/>
    </row>
    <row r="601" spans="4:4" x14ac:dyDescent="0.3">
      <c r="D601" s="79"/>
    </row>
    <row r="602" spans="4:4" x14ac:dyDescent="0.3">
      <c r="D602" s="79"/>
    </row>
    <row r="603" spans="4:4" x14ac:dyDescent="0.3">
      <c r="D603" s="79"/>
    </row>
    <row r="604" spans="4:4" x14ac:dyDescent="0.3">
      <c r="D604" s="79"/>
    </row>
    <row r="605" spans="4:4" x14ac:dyDescent="0.3">
      <c r="D605" s="79"/>
    </row>
    <row r="606" spans="4:4" x14ac:dyDescent="0.3">
      <c r="D606" s="79"/>
    </row>
    <row r="607" spans="4:4" x14ac:dyDescent="0.3">
      <c r="D607" s="79"/>
    </row>
    <row r="608" spans="4:4" x14ac:dyDescent="0.3">
      <c r="D608" s="79"/>
    </row>
    <row r="609" spans="4:4" x14ac:dyDescent="0.3">
      <c r="D609" s="79"/>
    </row>
    <row r="610" spans="4:4" x14ac:dyDescent="0.3">
      <c r="D610" s="79"/>
    </row>
    <row r="611" spans="4:4" x14ac:dyDescent="0.3">
      <c r="D611" s="79"/>
    </row>
    <row r="612" spans="4:4" x14ac:dyDescent="0.3">
      <c r="D612" s="79"/>
    </row>
    <row r="613" spans="4:4" x14ac:dyDescent="0.3">
      <c r="D613" s="79"/>
    </row>
    <row r="614" spans="4:4" x14ac:dyDescent="0.3">
      <c r="D614" s="79"/>
    </row>
    <row r="615" spans="4:4" x14ac:dyDescent="0.3">
      <c r="D615" s="79"/>
    </row>
    <row r="616" spans="4:4" x14ac:dyDescent="0.3">
      <c r="D616" s="79"/>
    </row>
    <row r="617" spans="4:4" x14ac:dyDescent="0.3">
      <c r="D617" s="79"/>
    </row>
    <row r="618" spans="4:4" x14ac:dyDescent="0.3">
      <c r="D618" s="79"/>
    </row>
    <row r="619" spans="4:4" x14ac:dyDescent="0.3">
      <c r="D619" s="79"/>
    </row>
    <row r="620" spans="4:4" x14ac:dyDescent="0.3">
      <c r="D620" s="79"/>
    </row>
    <row r="621" spans="4:4" x14ac:dyDescent="0.3">
      <c r="D621" s="79"/>
    </row>
    <row r="622" spans="4:4" x14ac:dyDescent="0.3">
      <c r="D622" s="79"/>
    </row>
    <row r="623" spans="4:4" x14ac:dyDescent="0.3">
      <c r="D623" s="79"/>
    </row>
    <row r="624" spans="4:4" x14ac:dyDescent="0.3">
      <c r="D624" s="79"/>
    </row>
    <row r="625" spans="4:4" x14ac:dyDescent="0.3">
      <c r="D625" s="79"/>
    </row>
    <row r="626" spans="4:4" x14ac:dyDescent="0.3">
      <c r="D626" s="79"/>
    </row>
    <row r="627" spans="4:4" x14ac:dyDescent="0.3">
      <c r="D627" s="79"/>
    </row>
    <row r="628" spans="4:4" x14ac:dyDescent="0.3">
      <c r="D628" s="79"/>
    </row>
    <row r="629" spans="4:4" x14ac:dyDescent="0.3">
      <c r="D629" s="79"/>
    </row>
    <row r="630" spans="4:4" x14ac:dyDescent="0.3">
      <c r="D630" s="79"/>
    </row>
    <row r="631" spans="4:4" x14ac:dyDescent="0.3">
      <c r="D631" s="79"/>
    </row>
    <row r="632" spans="4:4" x14ac:dyDescent="0.3">
      <c r="D632" s="79"/>
    </row>
    <row r="633" spans="4:4" x14ac:dyDescent="0.3">
      <c r="D633" s="79"/>
    </row>
    <row r="634" spans="4:4" x14ac:dyDescent="0.3">
      <c r="D634" s="79"/>
    </row>
    <row r="635" spans="4:4" x14ac:dyDescent="0.3">
      <c r="D635" s="79"/>
    </row>
    <row r="636" spans="4:4" x14ac:dyDescent="0.3">
      <c r="D636" s="79"/>
    </row>
    <row r="637" spans="4:4" x14ac:dyDescent="0.3">
      <c r="D637" s="79"/>
    </row>
    <row r="638" spans="4:4" x14ac:dyDescent="0.3">
      <c r="D638" s="79"/>
    </row>
    <row r="639" spans="4:4" x14ac:dyDescent="0.3">
      <c r="D639" s="79"/>
    </row>
    <row r="640" spans="4:4" x14ac:dyDescent="0.3">
      <c r="D640" s="79"/>
    </row>
    <row r="641" spans="4:4" x14ac:dyDescent="0.3">
      <c r="D641" s="79"/>
    </row>
    <row r="642" spans="4:4" x14ac:dyDescent="0.3">
      <c r="D642" s="79"/>
    </row>
    <row r="643" spans="4:4" x14ac:dyDescent="0.3">
      <c r="D643" s="79"/>
    </row>
    <row r="644" spans="4:4" x14ac:dyDescent="0.3">
      <c r="D644" s="79"/>
    </row>
    <row r="645" spans="4:4" x14ac:dyDescent="0.3">
      <c r="D645" s="79"/>
    </row>
    <row r="646" spans="4:4" x14ac:dyDescent="0.3">
      <c r="D646" s="79"/>
    </row>
    <row r="647" spans="4:4" x14ac:dyDescent="0.3">
      <c r="D647" s="79"/>
    </row>
    <row r="648" spans="4:4" x14ac:dyDescent="0.3">
      <c r="D648" s="79"/>
    </row>
    <row r="649" spans="4:4" x14ac:dyDescent="0.3">
      <c r="D649" s="79"/>
    </row>
    <row r="650" spans="4:4" x14ac:dyDescent="0.3">
      <c r="D650" s="79"/>
    </row>
    <row r="651" spans="4:4" x14ac:dyDescent="0.3">
      <c r="D651" s="79"/>
    </row>
    <row r="652" spans="4:4" x14ac:dyDescent="0.3">
      <c r="D652" s="79"/>
    </row>
    <row r="653" spans="4:4" x14ac:dyDescent="0.3">
      <c r="D653" s="79"/>
    </row>
    <row r="654" spans="4:4" x14ac:dyDescent="0.3">
      <c r="D654" s="79"/>
    </row>
    <row r="655" spans="4:4" x14ac:dyDescent="0.3">
      <c r="D655" s="79"/>
    </row>
    <row r="656" spans="4:4" x14ac:dyDescent="0.3">
      <c r="D656" s="79"/>
    </row>
    <row r="657" spans="4:4" x14ac:dyDescent="0.3">
      <c r="D657" s="79"/>
    </row>
    <row r="658" spans="4:4" x14ac:dyDescent="0.3">
      <c r="D658" s="79"/>
    </row>
    <row r="659" spans="4:4" x14ac:dyDescent="0.3">
      <c r="D659" s="79"/>
    </row>
    <row r="660" spans="4:4" x14ac:dyDescent="0.3">
      <c r="D660" s="79"/>
    </row>
    <row r="661" spans="4:4" x14ac:dyDescent="0.3">
      <c r="D661" s="79"/>
    </row>
    <row r="662" spans="4:4" x14ac:dyDescent="0.3">
      <c r="D662" s="79"/>
    </row>
    <row r="663" spans="4:4" x14ac:dyDescent="0.3">
      <c r="D663" s="79"/>
    </row>
    <row r="664" spans="4:4" x14ac:dyDescent="0.3">
      <c r="D664" s="79"/>
    </row>
    <row r="665" spans="4:4" x14ac:dyDescent="0.3">
      <c r="D665" s="79"/>
    </row>
    <row r="666" spans="4:4" x14ac:dyDescent="0.3">
      <c r="D666" s="79"/>
    </row>
    <row r="667" spans="4:4" x14ac:dyDescent="0.3">
      <c r="D667" s="79"/>
    </row>
    <row r="668" spans="4:4" x14ac:dyDescent="0.3">
      <c r="D668" s="79"/>
    </row>
    <row r="669" spans="4:4" x14ac:dyDescent="0.3">
      <c r="D669" s="79"/>
    </row>
    <row r="670" spans="4:4" x14ac:dyDescent="0.3">
      <c r="D670" s="79"/>
    </row>
    <row r="671" spans="4:4" x14ac:dyDescent="0.3">
      <c r="D671" s="79"/>
    </row>
    <row r="672" spans="4:4" x14ac:dyDescent="0.3">
      <c r="D672" s="79"/>
    </row>
    <row r="673" spans="4:4" x14ac:dyDescent="0.3">
      <c r="D673" s="79"/>
    </row>
    <row r="674" spans="4:4" x14ac:dyDescent="0.3">
      <c r="D674" s="79"/>
    </row>
    <row r="675" spans="4:4" x14ac:dyDescent="0.3">
      <c r="D675" s="79"/>
    </row>
    <row r="676" spans="4:4" x14ac:dyDescent="0.3">
      <c r="D676" s="79"/>
    </row>
    <row r="677" spans="4:4" x14ac:dyDescent="0.3">
      <c r="D677" s="79"/>
    </row>
    <row r="678" spans="4:4" x14ac:dyDescent="0.3">
      <c r="D678" s="79"/>
    </row>
    <row r="679" spans="4:4" x14ac:dyDescent="0.3">
      <c r="D679" s="79"/>
    </row>
    <row r="680" spans="4:4" x14ac:dyDescent="0.3">
      <c r="D680" s="79"/>
    </row>
    <row r="681" spans="4:4" x14ac:dyDescent="0.3">
      <c r="D681" s="79"/>
    </row>
    <row r="682" spans="4:4" x14ac:dyDescent="0.3">
      <c r="D682" s="79"/>
    </row>
    <row r="683" spans="4:4" x14ac:dyDescent="0.3">
      <c r="D683" s="79"/>
    </row>
    <row r="684" spans="4:4" x14ac:dyDescent="0.3">
      <c r="D684" s="79"/>
    </row>
    <row r="685" spans="4:4" x14ac:dyDescent="0.3">
      <c r="D685" s="79"/>
    </row>
    <row r="686" spans="4:4" x14ac:dyDescent="0.3">
      <c r="D686" s="79"/>
    </row>
    <row r="687" spans="4:4" x14ac:dyDescent="0.3">
      <c r="D687" s="79"/>
    </row>
    <row r="688" spans="4:4" x14ac:dyDescent="0.3">
      <c r="D688" s="79"/>
    </row>
    <row r="689" spans="4:4" x14ac:dyDescent="0.3">
      <c r="D689" s="79"/>
    </row>
    <row r="690" spans="4:4" x14ac:dyDescent="0.3">
      <c r="D690" s="79"/>
    </row>
    <row r="691" spans="4:4" x14ac:dyDescent="0.3">
      <c r="D691" s="79"/>
    </row>
    <row r="692" spans="4:4" x14ac:dyDescent="0.3">
      <c r="D692" s="79"/>
    </row>
    <row r="693" spans="4:4" x14ac:dyDescent="0.3">
      <c r="D693" s="79"/>
    </row>
    <row r="694" spans="4:4" x14ac:dyDescent="0.3">
      <c r="D694" s="79"/>
    </row>
    <row r="695" spans="4:4" x14ac:dyDescent="0.3">
      <c r="D695" s="79"/>
    </row>
    <row r="696" spans="4:4" x14ac:dyDescent="0.3">
      <c r="D696" s="79"/>
    </row>
    <row r="697" spans="4:4" x14ac:dyDescent="0.3">
      <c r="D697" s="79"/>
    </row>
    <row r="698" spans="4:4" x14ac:dyDescent="0.3">
      <c r="D698" s="79"/>
    </row>
    <row r="699" spans="4:4" x14ac:dyDescent="0.3">
      <c r="D699" s="79"/>
    </row>
    <row r="700" spans="4:4" x14ac:dyDescent="0.3">
      <c r="D700" s="79"/>
    </row>
    <row r="701" spans="4:4" x14ac:dyDescent="0.3">
      <c r="D701" s="79"/>
    </row>
    <row r="702" spans="4:4" x14ac:dyDescent="0.3">
      <c r="D702" s="79"/>
    </row>
    <row r="703" spans="4:4" x14ac:dyDescent="0.3">
      <c r="D703" s="79"/>
    </row>
    <row r="704" spans="4:4" x14ac:dyDescent="0.3">
      <c r="D704" s="79"/>
    </row>
    <row r="705" spans="4:4" x14ac:dyDescent="0.3">
      <c r="D705" s="79"/>
    </row>
    <row r="706" spans="4:4" x14ac:dyDescent="0.3">
      <c r="D706" s="79"/>
    </row>
    <row r="707" spans="4:4" x14ac:dyDescent="0.3">
      <c r="D707" s="79"/>
    </row>
    <row r="708" spans="4:4" x14ac:dyDescent="0.3">
      <c r="D708" s="79"/>
    </row>
    <row r="709" spans="4:4" x14ac:dyDescent="0.3">
      <c r="D709" s="79"/>
    </row>
    <row r="710" spans="4:4" x14ac:dyDescent="0.3">
      <c r="D710" s="79"/>
    </row>
    <row r="711" spans="4:4" x14ac:dyDescent="0.3">
      <c r="D711" s="79"/>
    </row>
    <row r="712" spans="4:4" x14ac:dyDescent="0.3">
      <c r="D712" s="79"/>
    </row>
    <row r="713" spans="4:4" x14ac:dyDescent="0.3">
      <c r="D713" s="79"/>
    </row>
    <row r="714" spans="4:4" x14ac:dyDescent="0.3">
      <c r="D714" s="79"/>
    </row>
    <row r="715" spans="4:4" x14ac:dyDescent="0.3">
      <c r="D715" s="79"/>
    </row>
    <row r="716" spans="4:4" x14ac:dyDescent="0.3">
      <c r="D716" s="79"/>
    </row>
    <row r="717" spans="4:4" x14ac:dyDescent="0.3">
      <c r="D717" s="79"/>
    </row>
    <row r="718" spans="4:4" x14ac:dyDescent="0.3">
      <c r="D718" s="79"/>
    </row>
    <row r="719" spans="4:4" x14ac:dyDescent="0.3">
      <c r="D719" s="79"/>
    </row>
    <row r="720" spans="4:4" x14ac:dyDescent="0.3">
      <c r="D720" s="79"/>
    </row>
    <row r="721" spans="4:4" x14ac:dyDescent="0.3">
      <c r="D721" s="79"/>
    </row>
    <row r="722" spans="4:4" x14ac:dyDescent="0.3">
      <c r="D722" s="79"/>
    </row>
    <row r="723" spans="4:4" x14ac:dyDescent="0.3">
      <c r="D723" s="79"/>
    </row>
    <row r="724" spans="4:4" x14ac:dyDescent="0.3">
      <c r="D724" s="79"/>
    </row>
    <row r="725" spans="4:4" x14ac:dyDescent="0.3">
      <c r="D725" s="79"/>
    </row>
    <row r="726" spans="4:4" x14ac:dyDescent="0.3">
      <c r="D726" s="79"/>
    </row>
    <row r="727" spans="4:4" x14ac:dyDescent="0.3">
      <c r="D727" s="79"/>
    </row>
    <row r="728" spans="4:4" x14ac:dyDescent="0.3">
      <c r="D728" s="79"/>
    </row>
    <row r="729" spans="4:4" x14ac:dyDescent="0.3">
      <c r="D729" s="79"/>
    </row>
    <row r="730" spans="4:4" x14ac:dyDescent="0.3">
      <c r="D730" s="79"/>
    </row>
    <row r="731" spans="4:4" x14ac:dyDescent="0.3">
      <c r="D731" s="79"/>
    </row>
    <row r="732" spans="4:4" x14ac:dyDescent="0.3">
      <c r="D732" s="79"/>
    </row>
    <row r="733" spans="4:4" x14ac:dyDescent="0.3">
      <c r="D733" s="79"/>
    </row>
    <row r="734" spans="4:4" x14ac:dyDescent="0.3">
      <c r="D734" s="79"/>
    </row>
    <row r="735" spans="4:4" x14ac:dyDescent="0.3">
      <c r="D735" s="79"/>
    </row>
    <row r="736" spans="4:4" x14ac:dyDescent="0.3">
      <c r="D736" s="79"/>
    </row>
    <row r="737" spans="4:4" x14ac:dyDescent="0.3">
      <c r="D737" s="79"/>
    </row>
    <row r="738" spans="4:4" x14ac:dyDescent="0.3">
      <c r="D738" s="79"/>
    </row>
    <row r="739" spans="4:4" x14ac:dyDescent="0.3">
      <c r="D739" s="79"/>
    </row>
    <row r="740" spans="4:4" x14ac:dyDescent="0.3">
      <c r="D740" s="79"/>
    </row>
    <row r="741" spans="4:4" x14ac:dyDescent="0.3">
      <c r="D741" s="79"/>
    </row>
    <row r="742" spans="4:4" x14ac:dyDescent="0.3">
      <c r="D742" s="79"/>
    </row>
    <row r="743" spans="4:4" x14ac:dyDescent="0.3">
      <c r="D743" s="79"/>
    </row>
    <row r="744" spans="4:4" x14ac:dyDescent="0.3">
      <c r="D744" s="79"/>
    </row>
  </sheetData>
  <sheetProtection formatCells="0" formatColumns="0" formatRows="0"/>
  <conditionalFormatting sqref="G33">
    <cfRule type="cellIs" dxfId="73" priority="93" stopIfTrue="1" operator="notEqual">
      <formula>0</formula>
    </cfRule>
  </conditionalFormatting>
  <conditionalFormatting sqref="G34">
    <cfRule type="cellIs" dxfId="72" priority="92" stopIfTrue="1" operator="notEqual">
      <formula>0</formula>
    </cfRule>
  </conditionalFormatting>
  <conditionalFormatting sqref="G65">
    <cfRule type="cellIs" dxfId="71" priority="91" stopIfTrue="1" operator="notEqual">
      <formula>0</formula>
    </cfRule>
  </conditionalFormatting>
  <conditionalFormatting sqref="G79">
    <cfRule type="cellIs" dxfId="70" priority="90" stopIfTrue="1" operator="notEqual">
      <formula>0</formula>
    </cfRule>
  </conditionalFormatting>
  <conditionalFormatting sqref="G80:G90">
    <cfRule type="cellIs" dxfId="69" priority="89" stopIfTrue="1" operator="notEqual">
      <formula>0</formula>
    </cfRule>
  </conditionalFormatting>
  <conditionalFormatting sqref="G133">
    <cfRule type="cellIs" dxfId="68" priority="88" stopIfTrue="1" operator="notEqual">
      <formula>0</formula>
    </cfRule>
  </conditionalFormatting>
  <conditionalFormatting sqref="G151">
    <cfRule type="cellIs" dxfId="67" priority="87" stopIfTrue="1" operator="notEqual">
      <formula>0</formula>
    </cfRule>
  </conditionalFormatting>
  <conditionalFormatting sqref="G163">
    <cfRule type="cellIs" dxfId="66" priority="86" stopIfTrue="1" operator="notEqual">
      <formula>0</formula>
    </cfRule>
  </conditionalFormatting>
  <conditionalFormatting sqref="G164">
    <cfRule type="cellIs" dxfId="65" priority="85" stopIfTrue="1" operator="notEqual">
      <formula>0</formula>
    </cfRule>
  </conditionalFormatting>
  <conditionalFormatting sqref="G178">
    <cfRule type="cellIs" dxfId="64" priority="84" stopIfTrue="1" operator="notEqual">
      <formula>0</formula>
    </cfRule>
  </conditionalFormatting>
  <conditionalFormatting sqref="G179">
    <cfRule type="cellIs" dxfId="63" priority="83" stopIfTrue="1" operator="notEqual">
      <formula>0</formula>
    </cfRule>
  </conditionalFormatting>
  <conditionalFormatting sqref="H237:H239">
    <cfRule type="cellIs" priority="79" stopIfTrue="1" operator="equal">
      <formula>";;;"</formula>
    </cfRule>
  </conditionalFormatting>
  <conditionalFormatting sqref="H237">
    <cfRule type="cellIs" dxfId="62" priority="78" stopIfTrue="1" operator="equal">
      <formula>0</formula>
    </cfRule>
  </conditionalFormatting>
  <conditionalFormatting sqref="H238">
    <cfRule type="cellIs" dxfId="61" priority="77" stopIfTrue="1" operator="equal">
      <formula>0</formula>
    </cfRule>
  </conditionalFormatting>
  <conditionalFormatting sqref="H239">
    <cfRule type="cellIs" dxfId="60" priority="76" stopIfTrue="1" operator="equal">
      <formula>0</formula>
    </cfRule>
  </conditionalFormatting>
  <conditionalFormatting sqref="H239">
    <cfRule type="cellIs" dxfId="59" priority="75" stopIfTrue="1" operator="equal">
      <formula>0</formula>
    </cfRule>
  </conditionalFormatting>
  <conditionalFormatting sqref="H237">
    <cfRule type="cellIs" dxfId="58" priority="74" stopIfTrue="1" operator="equal">
      <formula>0</formula>
    </cfRule>
  </conditionalFormatting>
  <conditionalFormatting sqref="G21">
    <cfRule type="cellIs" dxfId="57" priority="73" stopIfTrue="1" operator="notEqual">
      <formula>0</formula>
    </cfRule>
  </conditionalFormatting>
  <conditionalFormatting sqref="G7">
    <cfRule type="containsText" dxfId="56" priority="71" stopIfTrue="1" operator="containsText" text="Included in error count">
      <formula>NOT(ISERROR(SEARCH("Included in error count",G7)))</formula>
    </cfRule>
    <cfRule type="cellIs" dxfId="55" priority="72" stopIfTrue="1" operator="equal">
      <formula>1</formula>
    </cfRule>
  </conditionalFormatting>
  <conditionalFormatting sqref="G55">
    <cfRule type="containsText" dxfId="54" priority="69" stopIfTrue="1" operator="containsText" text="Included in error count">
      <formula>NOT(ISERROR(SEARCH("Included in error count",G55)))</formula>
    </cfRule>
    <cfRule type="cellIs" dxfId="53" priority="70" stopIfTrue="1" operator="equal">
      <formula>1</formula>
    </cfRule>
  </conditionalFormatting>
  <conditionalFormatting sqref="G120:G121">
    <cfRule type="containsText" dxfId="52" priority="67" stopIfTrue="1" operator="containsText" text="Included in error count">
      <formula>NOT(ISERROR(SEARCH("Included in error count",G120)))</formula>
    </cfRule>
    <cfRule type="cellIs" dxfId="51" priority="68" stopIfTrue="1" operator="equal">
      <formula>1</formula>
    </cfRule>
  </conditionalFormatting>
  <conditionalFormatting sqref="G122">
    <cfRule type="containsText" dxfId="50" priority="65" stopIfTrue="1" operator="containsText" text="Included in error count">
      <formula>NOT(ISERROR(SEARCH("Included in error count",G122)))</formula>
    </cfRule>
    <cfRule type="cellIs" dxfId="49" priority="66" stopIfTrue="1" operator="equal">
      <formula>1</formula>
    </cfRule>
  </conditionalFormatting>
  <conditionalFormatting sqref="G131">
    <cfRule type="containsText" dxfId="48" priority="61" stopIfTrue="1" operator="containsText" text="Included in error count">
      <formula>NOT(ISERROR(SEARCH("Included in error count",G131)))</formula>
    </cfRule>
    <cfRule type="cellIs" dxfId="47" priority="62" stopIfTrue="1" operator="equal">
      <formula>1</formula>
    </cfRule>
  </conditionalFormatting>
  <conditionalFormatting sqref="G153">
    <cfRule type="containsText" dxfId="46" priority="57" stopIfTrue="1" operator="containsText" text="Included in error count">
      <formula>NOT(ISERROR(SEARCH("Included in error count",G153)))</formula>
    </cfRule>
    <cfRule type="cellIs" dxfId="45" priority="58" stopIfTrue="1" operator="equal">
      <formula>1</formula>
    </cfRule>
  </conditionalFormatting>
  <conditionalFormatting sqref="G237">
    <cfRule type="containsText" dxfId="44" priority="46" stopIfTrue="1" operator="containsText" text="Included in error count">
      <formula>NOT(ISERROR(SEARCH("Included in error count",G237)))</formula>
    </cfRule>
    <cfRule type="cellIs" dxfId="43" priority="47" stopIfTrue="1" operator="equal">
      <formula>1</formula>
    </cfRule>
  </conditionalFormatting>
  <conditionalFormatting sqref="G238">
    <cfRule type="containsText" dxfId="42" priority="44" stopIfTrue="1" operator="containsText" text="Included in error count">
      <formula>NOT(ISERROR(SEARCH("Included in error count",G238)))</formula>
    </cfRule>
    <cfRule type="cellIs" dxfId="41" priority="45" stopIfTrue="1" operator="equal">
      <formula>1</formula>
    </cfRule>
  </conditionalFormatting>
  <conditionalFormatting sqref="G239">
    <cfRule type="containsText" dxfId="40" priority="42" stopIfTrue="1" operator="containsText" text="Included in error count">
      <formula>NOT(ISERROR(SEARCH("Included in error count",G239)))</formula>
    </cfRule>
    <cfRule type="cellIs" dxfId="39" priority="43" stopIfTrue="1" operator="equal">
      <formula>1</formula>
    </cfRule>
  </conditionalFormatting>
  <conditionalFormatting sqref="G168">
    <cfRule type="containsText" dxfId="38" priority="40" stopIfTrue="1" operator="containsText" text="Included in error count">
      <formula>NOT(ISERROR(SEARCH("Included in error count",G168)))</formula>
    </cfRule>
    <cfRule type="cellIs" dxfId="37"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78EA5-77E1-4814-8728-4098B30437CB}">
  <sheetPr>
    <tabColor theme="3" tint="0.79998168889431442"/>
    <pageSetUpPr fitToPage="1"/>
  </sheetPr>
  <dimension ref="A1:CC52"/>
  <sheetViews>
    <sheetView showGridLines="0" zoomScale="70" zoomScaleNormal="70" workbookViewId="0">
      <selection activeCell="F9" sqref="F9"/>
    </sheetView>
  </sheetViews>
  <sheetFormatPr defaultColWidth="9.109375" defaultRowHeight="14.4" x14ac:dyDescent="0.3"/>
  <cols>
    <col min="1" max="1" width="44.5546875" style="968" customWidth="1"/>
    <col min="2" max="2" width="17.109375" style="968" customWidth="1"/>
    <col min="3" max="3" width="19" style="968" customWidth="1"/>
    <col min="4" max="4" width="19.109375" style="968" customWidth="1"/>
    <col min="5" max="5" width="15.109375" style="968" customWidth="1"/>
    <col min="6" max="6" width="12.88671875" style="968" customWidth="1"/>
    <col min="7" max="7" width="43.88671875" style="1054" hidden="1" customWidth="1"/>
    <col min="8" max="8" width="77.5546875" style="968" customWidth="1"/>
    <col min="9" max="9" width="91" style="969" customWidth="1"/>
    <col min="10" max="10" width="46.109375" style="969" customWidth="1"/>
    <col min="11" max="11" width="9.109375" style="969" hidden="1" customWidth="1"/>
    <col min="12" max="12" width="36.88671875" style="271" hidden="1" customWidth="1"/>
    <col min="13" max="14" width="15.6640625" style="271" hidden="1" customWidth="1"/>
    <col min="15" max="15" width="56.33203125" style="271" customWidth="1"/>
    <col min="16" max="16" width="11.109375" style="967" customWidth="1"/>
    <col min="17" max="18" width="9.109375" style="968" customWidth="1"/>
    <col min="19" max="16384" width="9.109375" style="968"/>
  </cols>
  <sheetData>
    <row r="1" spans="1:78" ht="40.5" customHeight="1" thickBot="1" x14ac:dyDescent="0.35">
      <c r="A1" s="1227" t="s">
        <v>1648</v>
      </c>
      <c r="B1" s="1228"/>
      <c r="C1" s="1228"/>
      <c r="D1" s="1228"/>
      <c r="E1" s="1228"/>
      <c r="F1" s="1228"/>
      <c r="G1" s="1228"/>
      <c r="H1" s="1229"/>
      <c r="I1" s="1267" t="s">
        <v>1686</v>
      </c>
      <c r="J1" s="1268"/>
      <c r="K1" s="1041"/>
    </row>
    <row r="2" spans="1:78" ht="72" customHeight="1" thickBot="1" x14ac:dyDescent="0.35">
      <c r="A2" s="1230" t="s">
        <v>1649</v>
      </c>
      <c r="B2" s="1231"/>
      <c r="C2" s="1231"/>
      <c r="D2" s="1231"/>
      <c r="E2" s="1231"/>
      <c r="F2" s="1231"/>
      <c r="G2" s="1231"/>
      <c r="H2" s="1232"/>
      <c r="I2" s="1269" t="s">
        <v>1685</v>
      </c>
      <c r="J2" s="1273" t="s">
        <v>1381</v>
      </c>
      <c r="K2" s="1069"/>
    </row>
    <row r="3" spans="1:78" ht="15" customHeight="1" x14ac:dyDescent="0.3">
      <c r="A3" s="1136" t="s">
        <v>1050</v>
      </c>
      <c r="B3" s="1032"/>
      <c r="C3" s="1032"/>
      <c r="D3" s="1032"/>
      <c r="E3" s="1137"/>
      <c r="F3" s="1137"/>
      <c r="G3" s="1233"/>
      <c r="H3" s="1234"/>
      <c r="I3" s="1270"/>
      <c r="J3" s="1274"/>
      <c r="K3" s="1069"/>
    </row>
    <row r="4" spans="1:78" ht="21.75" customHeight="1" x14ac:dyDescent="0.3">
      <c r="A4" s="970" t="s">
        <v>1133</v>
      </c>
      <c r="B4" s="1235" t="str">
        <f>'Unit Data from Audit Worksheet'!D2</f>
        <v>Select Unit Name from Drop Down List</v>
      </c>
      <c r="C4" s="1235"/>
      <c r="D4" s="1235"/>
      <c r="E4" s="1236" t="s">
        <v>1650</v>
      </c>
      <c r="F4" s="1237"/>
      <c r="G4" s="971"/>
      <c r="H4" s="1238" t="s">
        <v>1053</v>
      </c>
      <c r="I4" s="1271"/>
      <c r="J4" s="1274"/>
      <c r="K4" s="1070"/>
      <c r="L4" s="972"/>
    </row>
    <row r="5" spans="1:78" ht="21.6" thickBot="1" x14ac:dyDescent="0.35">
      <c r="A5" s="973" t="s">
        <v>1052</v>
      </c>
      <c r="B5" s="1240" t="e">
        <f>'Unit Data from Audit Worksheet'!D3</f>
        <v>#N/A</v>
      </c>
      <c r="C5" s="1240"/>
      <c r="D5" s="1240"/>
      <c r="E5" s="1236"/>
      <c r="F5" s="1237"/>
      <c r="G5" s="974"/>
      <c r="H5" s="1239"/>
      <c r="I5" s="1272"/>
      <c r="J5" s="1275"/>
      <c r="K5" s="966"/>
      <c r="L5" s="170" t="s">
        <v>1091</v>
      </c>
    </row>
    <row r="6" spans="1:78" ht="185.1" customHeight="1" thickBot="1" x14ac:dyDescent="0.35">
      <c r="A6" s="1244"/>
      <c r="B6" s="1245"/>
      <c r="C6" s="1245"/>
      <c r="D6" s="1245"/>
      <c r="E6" s="1245"/>
      <c r="F6" s="1246"/>
      <c r="G6" s="1036"/>
      <c r="H6" s="1250" t="s">
        <v>1651</v>
      </c>
      <c r="I6" s="1058"/>
      <c r="J6" s="1276"/>
      <c r="K6" s="966"/>
      <c r="L6" s="975"/>
    </row>
    <row r="7" spans="1:78" ht="132" customHeight="1" thickBot="1" x14ac:dyDescent="0.35">
      <c r="A7" s="1247"/>
      <c r="B7" s="1248"/>
      <c r="C7" s="1248"/>
      <c r="D7" s="1248"/>
      <c r="E7" s="1248"/>
      <c r="F7" s="1249"/>
      <c r="G7" s="1036"/>
      <c r="H7" s="1251"/>
      <c r="I7" s="976"/>
      <c r="J7" s="1277"/>
      <c r="K7" s="966"/>
      <c r="L7" s="975">
        <f>+(Import!$L$72+Import!$L$77+Import!$L$74-Import!$L$75-Import!$L$76)</f>
        <v>0</v>
      </c>
    </row>
    <row r="8" spans="1:78" ht="27.75" customHeight="1" thickBot="1" x14ac:dyDescent="0.35">
      <c r="A8" s="1253" t="s">
        <v>1652</v>
      </c>
      <c r="B8" s="1253"/>
      <c r="C8" s="1253"/>
      <c r="D8" s="1253"/>
      <c r="E8" s="977" t="s">
        <v>1342</v>
      </c>
      <c r="F8" s="977" t="s">
        <v>1653</v>
      </c>
      <c r="G8" s="978" t="s">
        <v>1058</v>
      </c>
      <c r="H8" s="1252"/>
      <c r="I8" s="979"/>
      <c r="J8" s="1278"/>
      <c r="K8" s="966"/>
      <c r="L8" s="974" t="b">
        <f>IF($L$7&gt;10000000,"25%",IF($L$7&gt;999999,"34%",IF($L$7&gt;99999,"71%",IF($L$7&gt;1,"100%"))))</f>
        <v>0</v>
      </c>
      <c r="M8" s="980"/>
      <c r="O8" s="981"/>
      <c r="P8" s="982"/>
    </row>
    <row r="9" spans="1:78" ht="202.5" customHeight="1" thickBot="1" x14ac:dyDescent="0.35">
      <c r="A9" s="1254"/>
      <c r="B9" s="1255"/>
      <c r="C9" s="1255"/>
      <c r="D9" s="1256"/>
      <c r="E9" s="983" t="b">
        <f>IF($L$7&gt;10000000,"25% -- Average of similar units is 46%",IF($L$7&gt;999999,"34% -- Average of similar units is 63%",IF($L$7&gt;99999,"71% -- Average of similar units is 132%",IF($L$7&gt;1,"100 %-- Average of similar units is 260%"))))</f>
        <v>0</v>
      </c>
      <c r="F9" s="984" t="str">
        <f>'PI series #'!D6</f>
        <v/>
      </c>
      <c r="G9" s="985"/>
      <c r="H9" s="1061" t="s">
        <v>1654</v>
      </c>
      <c r="I9" s="1074" t="s">
        <v>1543</v>
      </c>
      <c r="J9" s="1077"/>
      <c r="K9" s="966"/>
      <c r="L9" s="1089" t="e">
        <f>+'PI series #'!L6</f>
        <v>#VALUE!</v>
      </c>
      <c r="M9" s="980"/>
      <c r="O9" s="981"/>
      <c r="P9" s="982"/>
    </row>
    <row r="10" spans="1:78" ht="202.5" hidden="1" customHeight="1" thickBot="1" x14ac:dyDescent="0.35">
      <c r="A10" s="1254"/>
      <c r="B10" s="1255"/>
      <c r="C10" s="1255"/>
      <c r="D10" s="1256"/>
      <c r="E10" s="983" t="str">
        <f>IF($K$5&gt;99999999,"16%--Median of simiar units is 32%","20%--Median of similar units is 39%")</f>
        <v>20%--Median of similar units is 39%</v>
      </c>
      <c r="F10" s="984"/>
      <c r="G10" s="985"/>
      <c r="H10" s="1061" t="s">
        <v>1687</v>
      </c>
      <c r="I10" s="1074" t="s">
        <v>1543</v>
      </c>
      <c r="J10" s="1077"/>
      <c r="K10" s="1090">
        <f>IF($K$5&gt;99999999,16%,20%)</f>
        <v>0.2</v>
      </c>
      <c r="L10" s="1089" t="e">
        <f>+'PI series #'!L8</f>
        <v>#VALUE!</v>
      </c>
      <c r="M10" s="980"/>
      <c r="O10" s="981"/>
      <c r="P10" s="982"/>
    </row>
    <row r="11" spans="1:78" ht="202.5" hidden="1" customHeight="1" thickBot="1" x14ac:dyDescent="0.35">
      <c r="A11" s="1254"/>
      <c r="B11" s="1255"/>
      <c r="C11" s="1255"/>
      <c r="D11" s="1256"/>
      <c r="E11" s="1091">
        <v>0.08</v>
      </c>
      <c r="F11" s="984"/>
      <c r="G11" s="985"/>
      <c r="H11" s="1061" t="s">
        <v>1586</v>
      </c>
      <c r="I11" s="1074" t="s">
        <v>1543</v>
      </c>
      <c r="J11" s="1077"/>
      <c r="K11" s="966"/>
      <c r="L11" s="1088" t="str">
        <f>++'PI series #'!D9</f>
        <v/>
      </c>
      <c r="M11" s="980"/>
      <c r="O11" s="981"/>
      <c r="P11" s="982"/>
    </row>
    <row r="12" spans="1:78" ht="152.25" hidden="1" customHeight="1" thickBot="1" x14ac:dyDescent="0.35">
      <c r="A12" s="937" t="s">
        <v>1085</v>
      </c>
      <c r="B12" s="1093"/>
      <c r="C12" s="1093"/>
      <c r="D12" s="1094">
        <f>+Import!L65</f>
        <v>0</v>
      </c>
      <c r="E12" s="1095"/>
      <c r="F12" s="1094">
        <f>+D12</f>
        <v>0</v>
      </c>
      <c r="G12" s="1096"/>
      <c r="H12" s="1096" t="s">
        <v>1311</v>
      </c>
      <c r="I12" s="1099" t="s">
        <v>1086</v>
      </c>
      <c r="J12" s="1100"/>
      <c r="K12" s="967"/>
      <c r="L12" s="968"/>
      <c r="M12" s="968"/>
      <c r="N12" s="968"/>
      <c r="O12" s="968"/>
      <c r="P12" s="968"/>
      <c r="Y12" s="271"/>
      <c r="Z12" s="174" t="s">
        <v>1545</v>
      </c>
    </row>
    <row r="13" spans="1:78" ht="51.75" customHeight="1" thickBot="1" x14ac:dyDescent="0.35">
      <c r="A13" s="987" t="s">
        <v>1688</v>
      </c>
      <c r="B13" s="988"/>
      <c r="C13" s="988"/>
      <c r="D13" s="988"/>
      <c r="E13" s="977" t="s">
        <v>1342</v>
      </c>
      <c r="F13" s="977" t="s">
        <v>1653</v>
      </c>
      <c r="G13" s="989"/>
      <c r="H13" s="1097" t="s">
        <v>1655</v>
      </c>
      <c r="I13" s="1059"/>
      <c r="J13" s="1059"/>
      <c r="K13" s="966"/>
      <c r="L13" s="991" t="e">
        <f>HLOOKUP($B$5,'2019 Data(H)'!$E$2:$BS$305,244,FALSE)</f>
        <v>#N/A</v>
      </c>
      <c r="M13" s="991" t="e">
        <f>HLOOKUP(B5,'2020 Data(H)'!E2:CR350,244,FALSE)</f>
        <v>#N/A</v>
      </c>
      <c r="N13" s="991" t="e">
        <f>Import!L268</f>
        <v>#N/A</v>
      </c>
      <c r="O13" s="992"/>
      <c r="P13" s="993"/>
      <c r="Q13" s="994"/>
      <c r="R13" s="994"/>
      <c r="S13" s="994"/>
      <c r="T13" s="994"/>
      <c r="U13" s="994"/>
      <c r="V13" s="994"/>
      <c r="W13" s="994"/>
      <c r="X13" s="994"/>
      <c r="Y13" s="994"/>
      <c r="Z13" s="994"/>
      <c r="AA13" s="994"/>
      <c r="AB13" s="994"/>
      <c r="AC13" s="994"/>
      <c r="AD13" s="994"/>
      <c r="AE13" s="994"/>
      <c r="AF13" s="994"/>
      <c r="AG13" s="994"/>
      <c r="AH13" s="994"/>
      <c r="AI13" s="994"/>
      <c r="AJ13" s="994"/>
      <c r="AK13" s="994"/>
      <c r="AL13" s="994"/>
      <c r="AM13" s="994"/>
      <c r="AN13" s="994"/>
      <c r="AO13" s="994"/>
      <c r="AP13" s="994"/>
      <c r="AQ13" s="994"/>
      <c r="AR13" s="994"/>
      <c r="AS13" s="994"/>
      <c r="AT13" s="994"/>
      <c r="AU13" s="994"/>
      <c r="AV13" s="994"/>
      <c r="AW13" s="994"/>
      <c r="AX13" s="994"/>
      <c r="AY13" s="994"/>
      <c r="AZ13" s="994"/>
      <c r="BA13" s="994"/>
      <c r="BB13" s="994"/>
      <c r="BC13" s="994"/>
      <c r="BD13" s="994"/>
      <c r="BE13" s="994"/>
      <c r="BF13" s="994"/>
      <c r="BG13" s="994"/>
      <c r="BH13" s="994"/>
      <c r="BI13" s="994"/>
      <c r="BJ13" s="994"/>
      <c r="BK13" s="994"/>
      <c r="BL13" s="994"/>
      <c r="BM13" s="994"/>
      <c r="BN13" s="994"/>
      <c r="BO13" s="994"/>
      <c r="BP13" s="994"/>
      <c r="BQ13" s="994"/>
      <c r="BR13" s="994"/>
      <c r="BS13" s="994"/>
      <c r="BT13" s="994"/>
      <c r="BU13" s="994"/>
      <c r="BV13" s="994"/>
      <c r="BW13" s="994"/>
      <c r="BX13" s="994"/>
      <c r="BY13" s="994"/>
      <c r="BZ13" s="994"/>
    </row>
    <row r="14" spans="1:78" ht="202.5" customHeight="1" thickBot="1" x14ac:dyDescent="0.35">
      <c r="A14" s="995"/>
      <c r="B14" s="996"/>
      <c r="C14" s="996"/>
      <c r="D14" s="997"/>
      <c r="E14" s="998" t="s">
        <v>1054</v>
      </c>
      <c r="F14" s="999" t="str">
        <f>'PI series #'!F12</f>
        <v/>
      </c>
      <c r="G14" s="1000"/>
      <c r="H14" s="1061" t="s">
        <v>1656</v>
      </c>
      <c r="I14" s="1075" t="s">
        <v>1059</v>
      </c>
      <c r="J14" s="1077"/>
      <c r="K14" s="966"/>
      <c r="L14" s="991" t="e">
        <f>HLOOKUP($B$5,'2019 Data(H)'!$E$2:$BS$305,299,FALSE)</f>
        <v>#N/A</v>
      </c>
      <c r="M14" s="991" t="e">
        <f>HLOOKUP(B4,'2020 Data(H)'!E1:BT399,347,FALSE)</f>
        <v>#N/A</v>
      </c>
      <c r="N14" s="991" t="e">
        <f>+(Import!$L$120-Import!$L$121-Import!$L$118-Import!$L$119)/(Import!$L$124-Import!$L$125-Import!$L$126-Import!$L$127-Import!$L$128-Import!$L$129-Import!$L$123)</f>
        <v>#DIV/0!</v>
      </c>
    </row>
    <row r="15" spans="1:78" ht="27.75" customHeight="1" thickBot="1" x14ac:dyDescent="0.35">
      <c r="A15" s="1001"/>
      <c r="B15" s="1002" t="s">
        <v>1657</v>
      </c>
      <c r="C15" s="1002" t="s">
        <v>1658</v>
      </c>
      <c r="D15" s="1002" t="s">
        <v>1659</v>
      </c>
      <c r="E15" s="977" t="s">
        <v>1342</v>
      </c>
      <c r="F15" s="977" t="s">
        <v>1653</v>
      </c>
      <c r="G15" s="1003"/>
      <c r="H15" s="990"/>
      <c r="I15" s="1059"/>
      <c r="J15" s="1059"/>
      <c r="K15" s="966"/>
      <c r="L15" s="991"/>
      <c r="M15" s="991"/>
      <c r="N15" s="991"/>
    </row>
    <row r="16" spans="1:78" ht="69.599999999999994" customHeight="1" thickBot="1" x14ac:dyDescent="0.35">
      <c r="A16" s="1004" t="s">
        <v>1096</v>
      </c>
      <c r="B16" s="1005" t="e">
        <f>IF(L13=0,"Not Applicable",L16)</f>
        <v>#N/A</v>
      </c>
      <c r="C16" s="1005" t="e">
        <f>IF(M13=0,"Not Applicable",M16)</f>
        <v>#N/A</v>
      </c>
      <c r="D16" s="1005" t="e">
        <f>IF(N13=0,"Not Applicable",N16)</f>
        <v>#N/A</v>
      </c>
      <c r="E16" s="1006" t="s">
        <v>1660</v>
      </c>
      <c r="F16" s="1005" t="e">
        <f>D16</f>
        <v>#N/A</v>
      </c>
      <c r="G16" s="1007" t="s">
        <v>1099</v>
      </c>
      <c r="H16" s="1061" t="s">
        <v>1661</v>
      </c>
      <c r="I16" s="1075" t="s">
        <v>1692</v>
      </c>
      <c r="J16" s="1078"/>
      <c r="K16" s="966"/>
      <c r="L16" s="1009" t="e">
        <f>HLOOKUP(B5,'2019 Data(H)'!E2:BS305,300,FALSE)</f>
        <v>#N/A</v>
      </c>
      <c r="M16" s="1009" t="e">
        <f>HLOOKUP(B4,'2020 Data(H)'!F1:BU399,348,FALSE)</f>
        <v>#N/A</v>
      </c>
      <c r="N16" s="975">
        <f>+Import!$L$153-Import!$L$155+Import!$L$154-Import!$L$182</f>
        <v>0</v>
      </c>
    </row>
    <row r="17" spans="1:81" ht="109.95" customHeight="1" thickBot="1" x14ac:dyDescent="0.35">
      <c r="A17" s="1004" t="s">
        <v>1123</v>
      </c>
      <c r="B17" s="1010" t="e">
        <f>IF(L13=0,"Not Applicable",L17)</f>
        <v>#N/A</v>
      </c>
      <c r="C17" s="1010" t="e">
        <f t="shared" ref="C17:D17" si="0">IF(M13=0,"Not Applicable",M17)</f>
        <v>#N/A</v>
      </c>
      <c r="D17" s="1010" t="e">
        <f t="shared" si="0"/>
        <v>#N/A</v>
      </c>
      <c r="E17" s="1006" t="s">
        <v>1578</v>
      </c>
      <c r="F17" s="1011" t="e">
        <f>D17</f>
        <v>#N/A</v>
      </c>
      <c r="G17" s="1007" t="s">
        <v>1100</v>
      </c>
      <c r="H17" s="1061" t="s">
        <v>1662</v>
      </c>
      <c r="I17" s="1075" t="s">
        <v>1100</v>
      </c>
      <c r="J17" s="1077"/>
      <c r="K17" s="966"/>
      <c r="L17" s="1012" t="e">
        <f>HLOOKUP(B5,'2019 Data(H)'!E2:BS305,301,FALSE)</f>
        <v>#N/A</v>
      </c>
      <c r="M17" s="1012" t="e">
        <f>HLOOKUP(B4,'2020 Data(H)'!F1:BU399,349,FALSE)</f>
        <v>#N/A</v>
      </c>
      <c r="N17" s="1012" t="e">
        <f>+Import!L116/(Import!L155+Import!L158-Import!L154+Import!L182)</f>
        <v>#DIV/0!</v>
      </c>
      <c r="O17" s="964"/>
    </row>
    <row r="18" spans="1:81" ht="75" customHeight="1" thickBot="1" x14ac:dyDescent="0.4">
      <c r="A18" s="1257" t="s">
        <v>1579</v>
      </c>
      <c r="B18" s="1258"/>
      <c r="C18" s="1259"/>
      <c r="D18" s="1013" t="str">
        <f>IF(M18&lt;0,"Yes","No")</f>
        <v>No</v>
      </c>
      <c r="E18" s="1014"/>
      <c r="F18" s="1135"/>
      <c r="G18" s="1008" t="s">
        <v>1663</v>
      </c>
      <c r="H18" s="1061" t="s">
        <v>1664</v>
      </c>
      <c r="I18" s="1076" t="s">
        <v>1580</v>
      </c>
      <c r="J18" s="1078"/>
      <c r="K18" s="966"/>
      <c r="L18" s="1015"/>
      <c r="M18" s="1015">
        <f>((Import!L158+Import!L155)*0.03)-Import!L161</f>
        <v>0</v>
      </c>
      <c r="N18" s="271">
        <f>L18*0.03</f>
        <v>0</v>
      </c>
    </row>
    <row r="19" spans="1:81" ht="15" thickBot="1" x14ac:dyDescent="0.35">
      <c r="A19" s="1016"/>
      <c r="B19" s="1017"/>
      <c r="C19" s="1017"/>
      <c r="D19" s="1017"/>
      <c r="E19" s="1018"/>
      <c r="F19" s="1017"/>
      <c r="G19" s="1019"/>
      <c r="H19" s="1017"/>
      <c r="I19" s="1056"/>
      <c r="J19" s="1056"/>
    </row>
    <row r="20" spans="1:81" ht="27.75" customHeight="1" thickBot="1" x14ac:dyDescent="0.35">
      <c r="A20" s="1260" t="s">
        <v>1665</v>
      </c>
      <c r="B20" s="1261"/>
      <c r="C20" s="1261"/>
      <c r="D20" s="1261"/>
      <c r="E20" s="977" t="s">
        <v>1342</v>
      </c>
      <c r="F20" s="977" t="s">
        <v>1653</v>
      </c>
      <c r="G20" s="1020" t="s">
        <v>1122</v>
      </c>
      <c r="H20" s="1021"/>
      <c r="I20" s="1060"/>
      <c r="J20" s="1060"/>
      <c r="K20" s="966"/>
      <c r="L20" s="991" t="e">
        <f>HLOOKUP(B5,'2019 Data(H)'!E2:BS310,243,FALSE)</f>
        <v>#N/A</v>
      </c>
      <c r="M20" s="1022" t="e">
        <f>HLOOKUP(B5,'2020 Data(H)'!E2:CR350,243,FALSE)</f>
        <v>#N/A</v>
      </c>
      <c r="N20" s="1023" t="e">
        <f>+Import!L267</f>
        <v>#N/A</v>
      </c>
    </row>
    <row r="21" spans="1:81" ht="202.5" customHeight="1" thickBot="1" x14ac:dyDescent="0.35">
      <c r="A21" s="1262"/>
      <c r="B21" s="1263"/>
      <c r="C21" s="1263"/>
      <c r="D21" s="1264"/>
      <c r="E21" s="1006" t="s">
        <v>1054</v>
      </c>
      <c r="F21" s="1055" t="str">
        <f>'PI series #'!F18</f>
        <v/>
      </c>
      <c r="G21" s="1008"/>
      <c r="H21" s="1072" t="s">
        <v>1666</v>
      </c>
      <c r="I21" s="1062" t="s">
        <v>1107</v>
      </c>
      <c r="J21" s="1079"/>
      <c r="K21" s="966"/>
      <c r="L21" s="1022" t="e">
        <f>HLOOKUP(B5,'2019 Data(H)'!E2:BS310,302,FALSE)</f>
        <v>#N/A</v>
      </c>
      <c r="M21" s="991" t="e">
        <f>HLOOKUP(B4,'2020 Data(H)'!F1:BU399,350,FALSE)</f>
        <v>#N/A</v>
      </c>
      <c r="N21" s="991" t="e">
        <f>+(Import!L138-Import!L139-Import!L137-Import!L136)/(Import!L143-Import!L144-Import!L145-Import!L146-Import!L147-Import!L148-Import!L142)</f>
        <v>#DIV/0!</v>
      </c>
    </row>
    <row r="22" spans="1:81" ht="27.75" customHeight="1" thickBot="1" x14ac:dyDescent="0.35">
      <c r="A22" s="1025"/>
      <c r="B22" s="1026" t="s">
        <v>1657</v>
      </c>
      <c r="C22" s="1026" t="s">
        <v>1658</v>
      </c>
      <c r="D22" s="1026" t="s">
        <v>1659</v>
      </c>
      <c r="E22" s="977" t="s">
        <v>1342</v>
      </c>
      <c r="F22" s="977" t="s">
        <v>1653</v>
      </c>
      <c r="G22" s="1008"/>
      <c r="H22" s="986"/>
      <c r="I22" s="1062"/>
      <c r="J22" s="986"/>
      <c r="K22" s="966"/>
      <c r="L22" s="1022"/>
      <c r="M22" s="991"/>
      <c r="N22" s="991"/>
    </row>
    <row r="23" spans="1:81" ht="71.25" customHeight="1" thickBot="1" x14ac:dyDescent="0.35">
      <c r="A23" s="1004" t="s">
        <v>1096</v>
      </c>
      <c r="B23" s="1027" t="e">
        <f>IF(L20=0,"N/A",L23)</f>
        <v>#N/A</v>
      </c>
      <c r="C23" s="1027" t="e">
        <f>IF(M20=0,"N/A",M23)</f>
        <v>#N/A</v>
      </c>
      <c r="D23" s="1027" t="e">
        <f>IF(N20=0,"N/A",N23)</f>
        <v>#N/A</v>
      </c>
      <c r="E23" s="1006" t="s">
        <v>1347</v>
      </c>
      <c r="F23" s="1035" t="e">
        <f>D23</f>
        <v>#N/A</v>
      </c>
      <c r="G23" s="1008"/>
      <c r="H23" s="1072" t="s">
        <v>1667</v>
      </c>
      <c r="I23" s="1080" t="s">
        <v>1693</v>
      </c>
      <c r="J23" s="1078"/>
      <c r="K23" s="966"/>
      <c r="L23" s="1009" t="e">
        <f>HLOOKUP(B5,'2019 Data(H)'!E2:BS310,303,FALSE)</f>
        <v>#N/A</v>
      </c>
      <c r="M23" s="1009" t="e">
        <f>HLOOKUP(B4,'2020 Data(H)'!F1:BU399,351,FALSE)</f>
        <v>#N/A</v>
      </c>
      <c r="N23" s="1009">
        <f>+Import!L168-Import!L171+Import!L170-Import!L185</f>
        <v>0</v>
      </c>
    </row>
    <row r="24" spans="1:81" s="271" customFormat="1" ht="102.75" customHeight="1" thickBot="1" x14ac:dyDescent="0.35">
      <c r="A24" s="1004" t="s">
        <v>1123</v>
      </c>
      <c r="B24" s="1010" t="e">
        <f>IF(L20=0,"N/A",L24)</f>
        <v>#N/A</v>
      </c>
      <c r="C24" s="1010" t="e">
        <f>IF(M20=0,"N/A",M24)</f>
        <v>#N/A</v>
      </c>
      <c r="D24" s="1010" t="e">
        <f>IF(N20=0,"N/A",N24)</f>
        <v>#N/A</v>
      </c>
      <c r="E24" s="1006" t="s">
        <v>1578</v>
      </c>
      <c r="F24" s="1011" t="e">
        <f>D24</f>
        <v>#N/A</v>
      </c>
      <c r="G24" s="1008"/>
      <c r="H24" s="1061" t="s">
        <v>1662</v>
      </c>
      <c r="I24" s="1080" t="s">
        <v>1112</v>
      </c>
      <c r="J24" s="1077"/>
      <c r="K24" s="966"/>
      <c r="L24" s="1012" t="e">
        <f>HLOOKUP(B5,'2019 Data(H)'!E2:BS310,304,FALSE)</f>
        <v>#N/A</v>
      </c>
      <c r="M24" s="1012" t="e">
        <f>HLOOKUP(B4,'2020 Data(H)'!F1:BU399,352,FALSE)</f>
        <v>#N/A</v>
      </c>
      <c r="N24" s="1012" t="e">
        <f>+Import!L134/(Import!L174+Import!L171-Import!L170+Import!L185)</f>
        <v>#DIV/0!</v>
      </c>
      <c r="P24" s="967"/>
      <c r="Q24" s="968"/>
      <c r="R24" s="968"/>
      <c r="S24" s="968"/>
      <c r="T24" s="968"/>
      <c r="U24" s="968"/>
      <c r="V24" s="968"/>
      <c r="W24" s="968"/>
      <c r="X24" s="968"/>
      <c r="Y24" s="968"/>
      <c r="Z24" s="968"/>
      <c r="AA24" s="968"/>
      <c r="AB24" s="968"/>
      <c r="AC24" s="968"/>
      <c r="AD24" s="968"/>
      <c r="AE24" s="968"/>
      <c r="AF24" s="968"/>
      <c r="AG24" s="968"/>
      <c r="AH24" s="968"/>
      <c r="AI24" s="968"/>
      <c r="AJ24" s="968"/>
      <c r="AK24" s="968"/>
      <c r="AL24" s="968"/>
      <c r="AM24" s="968"/>
      <c r="AN24" s="968"/>
      <c r="AO24" s="968"/>
      <c r="AP24" s="968"/>
      <c r="AQ24" s="968"/>
      <c r="AR24" s="968"/>
      <c r="AS24" s="968"/>
      <c r="AT24" s="968"/>
      <c r="AU24" s="968"/>
      <c r="AV24" s="968"/>
      <c r="AW24" s="968"/>
      <c r="AX24" s="968"/>
      <c r="AY24" s="968"/>
      <c r="AZ24" s="968"/>
      <c r="BA24" s="968"/>
      <c r="BB24" s="968"/>
      <c r="BC24" s="968"/>
      <c r="BD24" s="968"/>
      <c r="BE24" s="968"/>
      <c r="BF24" s="968"/>
      <c r="BG24" s="968"/>
      <c r="BH24" s="968"/>
      <c r="BI24" s="968"/>
      <c r="BJ24" s="968"/>
      <c r="BK24" s="968"/>
      <c r="BL24" s="968"/>
      <c r="BM24" s="968"/>
      <c r="BN24" s="968"/>
      <c r="BO24" s="968"/>
      <c r="BP24" s="968"/>
      <c r="BQ24" s="968"/>
      <c r="BR24" s="968"/>
      <c r="BS24" s="968"/>
      <c r="BT24" s="968"/>
      <c r="BU24" s="968"/>
      <c r="BV24" s="968"/>
      <c r="BW24" s="968"/>
      <c r="BX24" s="968"/>
      <c r="BY24" s="968"/>
      <c r="BZ24" s="968"/>
      <c r="CA24" s="968"/>
      <c r="CB24" s="968"/>
      <c r="CC24" s="968"/>
    </row>
    <row r="25" spans="1:81" s="271" customFormat="1" ht="25.5" hidden="1" customHeight="1" thickBot="1" x14ac:dyDescent="0.35">
      <c r="A25" s="1063" t="s">
        <v>1345</v>
      </c>
      <c r="B25" s="1066"/>
      <c r="C25" s="1066"/>
      <c r="D25" s="1066"/>
      <c r="E25" s="1067"/>
      <c r="F25" s="1068"/>
      <c r="G25" s="1064"/>
      <c r="H25" s="1065"/>
      <c r="I25" s="1101"/>
      <c r="J25" s="1102"/>
      <c r="K25" s="966"/>
      <c r="L25" s="1012"/>
      <c r="M25" s="1012"/>
      <c r="N25" s="1012"/>
      <c r="P25" s="967"/>
      <c r="Q25" s="968"/>
      <c r="R25" s="968"/>
      <c r="S25" s="968"/>
      <c r="T25" s="968"/>
      <c r="U25" s="968"/>
      <c r="V25" s="968"/>
      <c r="W25" s="968"/>
      <c r="X25" s="968"/>
      <c r="Y25" s="968"/>
      <c r="Z25" s="968"/>
      <c r="AA25" s="968"/>
      <c r="AB25" s="968"/>
      <c r="AC25" s="968"/>
      <c r="AD25" s="968"/>
      <c r="AE25" s="968"/>
      <c r="AF25" s="968"/>
      <c r="AG25" s="968"/>
      <c r="AH25" s="968"/>
      <c r="AI25" s="968"/>
      <c r="AJ25" s="968"/>
      <c r="AK25" s="968"/>
      <c r="AL25" s="968"/>
      <c r="AM25" s="968"/>
      <c r="AN25" s="968"/>
      <c r="AO25" s="968"/>
      <c r="AP25" s="968"/>
      <c r="AQ25" s="968"/>
      <c r="AR25" s="968"/>
      <c r="AS25" s="968"/>
      <c r="AT25" s="968"/>
      <c r="AU25" s="968"/>
      <c r="AV25" s="968"/>
      <c r="AW25" s="968"/>
      <c r="AX25" s="968"/>
      <c r="AY25" s="968"/>
      <c r="AZ25" s="968"/>
      <c r="BA25" s="968"/>
      <c r="BB25" s="968"/>
      <c r="BC25" s="968"/>
      <c r="BD25" s="968"/>
      <c r="BE25" s="968"/>
      <c r="BF25" s="968"/>
      <c r="BG25" s="968"/>
      <c r="BH25" s="968"/>
      <c r="BI25" s="968"/>
      <c r="BJ25" s="968"/>
      <c r="BK25" s="968"/>
      <c r="BL25" s="968"/>
      <c r="BM25" s="968"/>
      <c r="BN25" s="968"/>
      <c r="BO25" s="968"/>
      <c r="BP25" s="968"/>
      <c r="BQ25" s="968"/>
      <c r="BR25" s="968"/>
      <c r="BS25" s="968"/>
      <c r="BT25" s="968"/>
      <c r="BU25" s="968"/>
      <c r="BV25" s="968"/>
      <c r="BW25" s="968"/>
      <c r="BX25" s="968"/>
      <c r="BY25" s="968"/>
      <c r="BZ25" s="968"/>
      <c r="CA25" s="968"/>
      <c r="CB25" s="968"/>
      <c r="CC25" s="968"/>
    </row>
    <row r="26" spans="1:81" s="271" customFormat="1" ht="88.5" hidden="1" customHeight="1" thickBot="1" x14ac:dyDescent="0.35">
      <c r="A26" s="1063" t="s">
        <v>728</v>
      </c>
      <c r="B26" s="1066"/>
      <c r="C26" s="1066"/>
      <c r="D26" s="1103" t="str">
        <f>+N26</f>
        <v/>
      </c>
      <c r="E26" s="1006" t="s">
        <v>1054</v>
      </c>
      <c r="F26" s="1104" t="str">
        <f>+N26</f>
        <v/>
      </c>
      <c r="G26" s="1064"/>
      <c r="H26" s="1072" t="s">
        <v>1666</v>
      </c>
      <c r="I26" s="1062" t="s">
        <v>1587</v>
      </c>
      <c r="J26" s="1077"/>
      <c r="K26" s="966"/>
      <c r="L26" s="1012"/>
      <c r="M26" s="1012"/>
      <c r="N26" s="1092" t="str">
        <f>IFERROR((+Import!L94-Import!L93)/Import!L95,"")</f>
        <v/>
      </c>
      <c r="P26" s="967"/>
      <c r="Q26" s="968"/>
      <c r="R26" s="968"/>
      <c r="S26" s="968"/>
      <c r="T26" s="968"/>
      <c r="U26" s="968"/>
      <c r="V26" s="968"/>
      <c r="W26" s="968"/>
      <c r="X26" s="968"/>
      <c r="Y26" s="968"/>
      <c r="Z26" s="968"/>
      <c r="AA26" s="968"/>
      <c r="AB26" s="968"/>
      <c r="AC26" s="968"/>
      <c r="AD26" s="968"/>
      <c r="AE26" s="968"/>
      <c r="AF26" s="968"/>
      <c r="AG26" s="968"/>
      <c r="AH26" s="968"/>
      <c r="AI26" s="968"/>
      <c r="AJ26" s="968"/>
      <c r="AK26" s="968"/>
      <c r="AL26" s="968"/>
      <c r="AM26" s="968"/>
      <c r="AN26" s="968"/>
      <c r="AO26" s="968"/>
      <c r="AP26" s="968"/>
      <c r="AQ26" s="968"/>
      <c r="AR26" s="968"/>
      <c r="AS26" s="968"/>
      <c r="AT26" s="968"/>
      <c r="AU26" s="968"/>
      <c r="AV26" s="968"/>
      <c r="AW26" s="968"/>
      <c r="AX26" s="968"/>
      <c r="AY26" s="968"/>
      <c r="AZ26" s="968"/>
      <c r="BA26" s="968"/>
      <c r="BB26" s="968"/>
      <c r="BC26" s="968"/>
      <c r="BD26" s="968"/>
      <c r="BE26" s="968"/>
      <c r="BF26" s="968"/>
      <c r="BG26" s="968"/>
      <c r="BH26" s="968"/>
      <c r="BI26" s="968"/>
      <c r="BJ26" s="968"/>
      <c r="BK26" s="968"/>
      <c r="BL26" s="968"/>
      <c r="BM26" s="968"/>
      <c r="BN26" s="968"/>
      <c r="BO26" s="968"/>
      <c r="BP26" s="968"/>
      <c r="BQ26" s="968"/>
      <c r="BR26" s="968"/>
      <c r="BS26" s="968"/>
      <c r="BT26" s="968"/>
      <c r="BU26" s="968"/>
      <c r="BV26" s="968"/>
      <c r="BW26" s="968"/>
      <c r="BX26" s="968"/>
      <c r="BY26" s="968"/>
      <c r="BZ26" s="968"/>
      <c r="CA26" s="968"/>
      <c r="CB26" s="968"/>
      <c r="CC26" s="968"/>
    </row>
    <row r="27" spans="1:81" s="271" customFormat="1" ht="18.600000000000001" thickBot="1" x14ac:dyDescent="0.35">
      <c r="A27" s="1028"/>
      <c r="B27" s="1029"/>
      <c r="C27" s="1029"/>
      <c r="D27" s="1029"/>
      <c r="E27" s="1030"/>
      <c r="F27" s="1029"/>
      <c r="G27" s="1031"/>
      <c r="H27" s="1029"/>
      <c r="I27" s="1081"/>
      <c r="J27" s="1056"/>
      <c r="K27" s="969"/>
      <c r="N27" s="981"/>
      <c r="P27" s="967"/>
      <c r="Q27" s="968"/>
      <c r="R27" s="968"/>
      <c r="S27" s="968"/>
      <c r="T27" s="968"/>
      <c r="U27" s="968"/>
      <c r="V27" s="968"/>
      <c r="W27" s="968"/>
      <c r="X27" s="968"/>
      <c r="Y27" s="968"/>
      <c r="Z27" s="968"/>
      <c r="AA27" s="968"/>
      <c r="AB27" s="968"/>
      <c r="AC27" s="968"/>
      <c r="AD27" s="968"/>
      <c r="AE27" s="968"/>
      <c r="AF27" s="968"/>
      <c r="AG27" s="968"/>
      <c r="AH27" s="968"/>
      <c r="AI27" s="968"/>
      <c r="AJ27" s="968"/>
      <c r="AK27" s="968"/>
      <c r="AL27" s="968"/>
      <c r="AM27" s="968"/>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c r="BP27" s="968"/>
      <c r="BQ27" s="968"/>
      <c r="BR27" s="968"/>
      <c r="BS27" s="968"/>
      <c r="BT27" s="968"/>
      <c r="BU27" s="968"/>
      <c r="BV27" s="968"/>
      <c r="BW27" s="968"/>
      <c r="BX27" s="968"/>
      <c r="BY27" s="968"/>
      <c r="BZ27" s="968"/>
      <c r="CA27" s="968"/>
      <c r="CB27" s="968"/>
      <c r="CC27" s="968"/>
    </row>
    <row r="28" spans="1:81" s="271" customFormat="1" ht="18.600000000000001" thickBot="1" x14ac:dyDescent="0.35">
      <c r="A28" s="1260" t="s">
        <v>1668</v>
      </c>
      <c r="B28" s="1261"/>
      <c r="C28" s="1265"/>
      <c r="D28" s="285" t="s">
        <v>1659</v>
      </c>
      <c r="E28" s="286" t="s">
        <v>1669</v>
      </c>
      <c r="F28" s="1032"/>
      <c r="G28" s="1033"/>
      <c r="H28" s="1034"/>
      <c r="I28" s="1083"/>
      <c r="J28" s="1034"/>
      <c r="K28" s="966"/>
      <c r="P28" s="967"/>
      <c r="Q28" s="968"/>
      <c r="R28" s="968"/>
      <c r="S28" s="968"/>
      <c r="T28" s="968"/>
      <c r="U28" s="968"/>
      <c r="V28" s="968"/>
      <c r="W28" s="968"/>
      <c r="X28" s="968"/>
      <c r="Y28" s="968"/>
      <c r="Z28" s="968"/>
      <c r="AA28" s="968"/>
      <c r="AB28" s="968"/>
      <c r="AC28" s="968"/>
      <c r="AD28" s="968"/>
      <c r="AE28" s="968"/>
      <c r="AF28" s="968"/>
      <c r="AG28" s="968"/>
      <c r="AH28" s="968"/>
      <c r="AI28" s="968"/>
      <c r="AJ28" s="968"/>
      <c r="AK28" s="968"/>
      <c r="AL28" s="968"/>
      <c r="AM28" s="968"/>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c r="BP28" s="968"/>
      <c r="BQ28" s="968"/>
      <c r="BR28" s="968"/>
      <c r="BS28" s="968"/>
      <c r="BT28" s="968"/>
      <c r="BU28" s="968"/>
      <c r="BV28" s="968"/>
      <c r="BW28" s="968"/>
      <c r="BX28" s="968"/>
      <c r="BY28" s="968"/>
      <c r="BZ28" s="968"/>
      <c r="CA28" s="968"/>
      <c r="CB28" s="968"/>
      <c r="CC28" s="968"/>
    </row>
    <row r="29" spans="1:81" s="271" customFormat="1" ht="92.25" customHeight="1" thickBot="1" x14ac:dyDescent="0.35">
      <c r="A29" s="1266" t="s">
        <v>1690</v>
      </c>
      <c r="B29" s="1266"/>
      <c r="C29" s="1266"/>
      <c r="D29" s="1035" t="b">
        <f>IF(Import!L258=1,"Yes",IF(Import!L258=2,"No"))</f>
        <v>0</v>
      </c>
      <c r="E29" s="1006" t="s">
        <v>1691</v>
      </c>
      <c r="F29" s="1035" t="b">
        <f>D29</f>
        <v>0</v>
      </c>
      <c r="G29" s="1008"/>
      <c r="H29" s="1073" t="s">
        <v>1670</v>
      </c>
      <c r="I29" s="1080" t="s">
        <v>1074</v>
      </c>
      <c r="J29" s="1082"/>
      <c r="K29" s="966"/>
      <c r="P29" s="967"/>
      <c r="Q29" s="968"/>
      <c r="R29" s="968"/>
      <c r="S29" s="968"/>
      <c r="T29" s="968"/>
      <c r="U29" s="968"/>
      <c r="V29" s="968"/>
      <c r="W29" s="968"/>
      <c r="X29" s="968"/>
      <c r="Y29" s="968"/>
      <c r="Z29" s="968"/>
      <c r="AA29" s="968"/>
      <c r="AB29" s="968"/>
      <c r="AC29" s="968"/>
      <c r="AD29" s="968"/>
      <c r="AE29" s="968"/>
      <c r="AF29" s="968"/>
      <c r="AG29" s="968"/>
      <c r="AH29" s="968"/>
      <c r="AI29" s="968"/>
      <c r="AJ29" s="968"/>
      <c r="AK29" s="968"/>
      <c r="AL29" s="968"/>
      <c r="AM29" s="968"/>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c r="BP29" s="968"/>
      <c r="BQ29" s="968"/>
      <c r="BR29" s="968"/>
      <c r="BS29" s="968"/>
      <c r="BT29" s="968"/>
      <c r="BU29" s="968"/>
      <c r="BV29" s="968"/>
      <c r="BW29" s="968"/>
      <c r="BX29" s="968"/>
      <c r="BY29" s="968"/>
      <c r="BZ29" s="968"/>
      <c r="CA29" s="968"/>
      <c r="CB29" s="968"/>
      <c r="CC29" s="968"/>
    </row>
    <row r="30" spans="1:81" s="271" customFormat="1" ht="18" customHeight="1" thickBot="1" x14ac:dyDescent="0.35">
      <c r="A30" s="1241"/>
      <c r="B30" s="1242"/>
      <c r="C30" s="1243"/>
      <c r="D30" s="1037" t="s">
        <v>1659</v>
      </c>
      <c r="E30" s="286" t="s">
        <v>1669</v>
      </c>
      <c r="F30" s="1038"/>
      <c r="G30" s="1008"/>
      <c r="H30" s="1038"/>
      <c r="I30" s="1084"/>
      <c r="J30" s="1087"/>
      <c r="K30" s="966"/>
      <c r="P30" s="967"/>
      <c r="Q30" s="968"/>
      <c r="R30" s="968"/>
      <c r="S30" s="968"/>
      <c r="T30" s="968"/>
      <c r="U30" s="968"/>
      <c r="V30" s="968"/>
      <c r="W30" s="968"/>
      <c r="X30" s="968"/>
      <c r="Y30" s="968"/>
      <c r="Z30" s="968"/>
      <c r="AA30" s="968"/>
      <c r="AB30" s="968"/>
      <c r="AC30" s="968"/>
      <c r="AD30" s="968"/>
      <c r="AE30" s="968"/>
      <c r="AF30" s="968"/>
      <c r="AG30" s="968"/>
      <c r="AH30" s="968"/>
      <c r="AI30" s="968"/>
      <c r="AJ30" s="968"/>
      <c r="AK30" s="968"/>
      <c r="AL30" s="968"/>
      <c r="AM30" s="968"/>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c r="BP30" s="968"/>
      <c r="BQ30" s="968"/>
      <c r="BR30" s="968"/>
      <c r="BS30" s="968"/>
      <c r="BT30" s="968"/>
      <c r="BU30" s="968"/>
      <c r="BV30" s="968"/>
      <c r="BW30" s="968"/>
      <c r="BX30" s="968"/>
      <c r="BY30" s="968"/>
      <c r="BZ30" s="968"/>
      <c r="CA30" s="968"/>
      <c r="CB30" s="968"/>
      <c r="CC30" s="968"/>
    </row>
    <row r="31" spans="1:81" s="271" customFormat="1" ht="69.75" customHeight="1" thickBot="1" x14ac:dyDescent="0.35">
      <c r="A31" s="1266" t="s">
        <v>1261</v>
      </c>
      <c r="B31" s="1266"/>
      <c r="C31" s="1266"/>
      <c r="D31" s="1039" t="str">
        <f>IFERROR((Import!L67-Import!L68)/Import!L68,"")</f>
        <v/>
      </c>
      <c r="E31" s="1006" t="s">
        <v>1056</v>
      </c>
      <c r="F31" s="1040" t="str">
        <f>+D31</f>
        <v/>
      </c>
      <c r="G31" s="1008"/>
      <c r="H31" s="1061" t="s">
        <v>1671</v>
      </c>
      <c r="I31" s="1080" t="s">
        <v>1079</v>
      </c>
      <c r="J31" s="1082"/>
      <c r="K31" s="966"/>
      <c r="P31" s="967"/>
      <c r="Q31" s="968"/>
      <c r="R31" s="968"/>
      <c r="S31" s="968"/>
      <c r="T31" s="968"/>
      <c r="U31" s="968"/>
      <c r="V31" s="968"/>
      <c r="W31" s="968"/>
      <c r="X31" s="968"/>
      <c r="Y31" s="968"/>
      <c r="Z31" s="968"/>
      <c r="AA31" s="968"/>
      <c r="AB31" s="968"/>
      <c r="AC31" s="968"/>
      <c r="AD31" s="968"/>
      <c r="AE31" s="968"/>
      <c r="AF31" s="968"/>
      <c r="AG31" s="968"/>
      <c r="AH31" s="968"/>
      <c r="AI31" s="968"/>
      <c r="AJ31" s="968"/>
      <c r="AK31" s="968"/>
      <c r="AL31" s="968"/>
      <c r="AM31" s="968"/>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c r="BP31" s="968"/>
      <c r="BQ31" s="968"/>
      <c r="BR31" s="968"/>
      <c r="BS31" s="968"/>
      <c r="BT31" s="968"/>
      <c r="BU31" s="968"/>
      <c r="BV31" s="968"/>
      <c r="BW31" s="968"/>
      <c r="BX31" s="968"/>
      <c r="BY31" s="968"/>
      <c r="BZ31" s="968"/>
      <c r="CA31" s="968"/>
      <c r="CB31" s="968"/>
      <c r="CC31" s="968"/>
    </row>
    <row r="32" spans="1:81" s="271" customFormat="1" ht="18" customHeight="1" thickBot="1" x14ac:dyDescent="0.35">
      <c r="A32" s="1241"/>
      <c r="B32" s="1242"/>
      <c r="C32" s="1243"/>
      <c r="D32" s="1037" t="s">
        <v>1659</v>
      </c>
      <c r="E32" s="286" t="s">
        <v>1669</v>
      </c>
      <c r="F32" s="1038"/>
      <c r="G32" s="1008"/>
      <c r="H32" s="1038"/>
      <c r="I32" s="1084"/>
      <c r="J32" s="1087"/>
      <c r="K32" s="1041"/>
      <c r="P32" s="967"/>
      <c r="Q32" s="968"/>
      <c r="R32" s="968"/>
      <c r="S32" s="968"/>
      <c r="T32" s="968"/>
      <c r="U32" s="968"/>
      <c r="V32" s="968"/>
      <c r="W32" s="968"/>
      <c r="X32" s="968"/>
      <c r="Y32" s="968"/>
      <c r="Z32" s="968"/>
      <c r="AA32" s="968"/>
      <c r="AB32" s="968"/>
      <c r="AC32" s="968"/>
      <c r="AD32" s="968"/>
      <c r="AE32" s="968"/>
      <c r="AF32" s="968"/>
      <c r="AG32" s="968"/>
      <c r="AH32" s="968"/>
      <c r="AI32" s="968"/>
      <c r="AJ32" s="968"/>
      <c r="AK32" s="968"/>
      <c r="AL32" s="968"/>
      <c r="AM32" s="968"/>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c r="BP32" s="968"/>
      <c r="BQ32" s="968"/>
      <c r="BR32" s="968"/>
      <c r="BS32" s="968"/>
      <c r="BT32" s="968"/>
      <c r="BU32" s="968"/>
      <c r="BV32" s="968"/>
      <c r="BW32" s="968"/>
      <c r="BX32" s="968"/>
      <c r="BY32" s="968"/>
      <c r="BZ32" s="968"/>
      <c r="CA32" s="968"/>
      <c r="CB32" s="968"/>
      <c r="CC32" s="968"/>
    </row>
    <row r="33" spans="1:81" s="271" customFormat="1" ht="74.25" customHeight="1" thickBot="1" x14ac:dyDescent="0.35">
      <c r="A33" s="1266" t="s">
        <v>1672</v>
      </c>
      <c r="B33" s="1266"/>
      <c r="C33" s="1266"/>
      <c r="D33" s="1035" t="b">
        <f>IF(Import!L244=20,"Increase",IF(Import!L244=21,"Decrease",IF(Import!L244=22,"No Change",IF(Import!L244=23,"N/A"))))</f>
        <v>0</v>
      </c>
      <c r="E33" s="1006" t="s">
        <v>1673</v>
      </c>
      <c r="F33" s="1035" t="b">
        <f>D33</f>
        <v>0</v>
      </c>
      <c r="G33" s="1008"/>
      <c r="H33" s="1061" t="s">
        <v>1674</v>
      </c>
      <c r="I33" s="1080" t="s">
        <v>1080</v>
      </c>
      <c r="J33" s="1082"/>
      <c r="K33" s="1042"/>
      <c r="P33" s="967"/>
      <c r="Q33" s="968"/>
      <c r="R33" s="968"/>
      <c r="S33" s="968"/>
      <c r="T33" s="968"/>
      <c r="U33" s="968"/>
      <c r="V33" s="968"/>
      <c r="W33" s="968"/>
      <c r="X33" s="968"/>
      <c r="Y33" s="968"/>
      <c r="Z33" s="968"/>
      <c r="AA33" s="968"/>
      <c r="AB33" s="968"/>
      <c r="AC33" s="968"/>
      <c r="AD33" s="968"/>
      <c r="AE33" s="968"/>
      <c r="AF33" s="968"/>
      <c r="AG33" s="968"/>
      <c r="AH33" s="968"/>
      <c r="AI33" s="968"/>
      <c r="AJ33" s="968"/>
      <c r="AK33" s="968"/>
      <c r="AL33" s="968"/>
      <c r="AM33" s="968"/>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c r="BP33" s="968"/>
      <c r="BQ33" s="968"/>
      <c r="BR33" s="968"/>
      <c r="BS33" s="968"/>
      <c r="BT33" s="968"/>
      <c r="BU33" s="968"/>
      <c r="BV33" s="968"/>
      <c r="BW33" s="968"/>
      <c r="BX33" s="968"/>
      <c r="BY33" s="968"/>
      <c r="BZ33" s="968"/>
      <c r="CA33" s="968"/>
      <c r="CB33" s="968"/>
      <c r="CC33" s="968"/>
    </row>
    <row r="34" spans="1:81" s="271" customFormat="1" ht="18" customHeight="1" thickBot="1" x14ac:dyDescent="0.35">
      <c r="A34" s="1241"/>
      <c r="B34" s="1242"/>
      <c r="C34" s="1243"/>
      <c r="D34" s="1037" t="s">
        <v>1659</v>
      </c>
      <c r="E34" s="286" t="s">
        <v>1669</v>
      </c>
      <c r="F34" s="1038"/>
      <c r="G34" s="1008"/>
      <c r="H34" s="1071"/>
      <c r="I34" s="1084"/>
      <c r="J34" s="1087"/>
      <c r="K34" s="1043"/>
      <c r="P34" s="967"/>
      <c r="Q34" s="968"/>
      <c r="R34" s="968"/>
      <c r="S34" s="968"/>
      <c r="T34" s="968"/>
      <c r="U34" s="968"/>
      <c r="V34" s="968"/>
      <c r="W34" s="968"/>
      <c r="X34" s="968"/>
      <c r="Y34" s="968"/>
      <c r="Z34" s="968"/>
      <c r="AA34" s="968"/>
      <c r="AB34" s="968"/>
      <c r="AC34" s="968"/>
      <c r="AD34" s="968"/>
      <c r="AE34" s="968"/>
      <c r="AF34" s="968"/>
      <c r="AG34" s="968"/>
      <c r="AH34" s="968"/>
      <c r="AI34" s="968"/>
      <c r="AJ34" s="968"/>
      <c r="AK34" s="968"/>
      <c r="AL34" s="968"/>
      <c r="AM34" s="968"/>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c r="BP34" s="968"/>
      <c r="BQ34" s="968"/>
      <c r="BR34" s="968"/>
      <c r="BS34" s="968"/>
      <c r="BT34" s="968"/>
      <c r="BU34" s="968"/>
      <c r="BV34" s="968"/>
      <c r="BW34" s="968"/>
      <c r="BX34" s="968"/>
      <c r="BY34" s="968"/>
      <c r="BZ34" s="968"/>
      <c r="CA34" s="968"/>
      <c r="CB34" s="968"/>
      <c r="CC34" s="968"/>
    </row>
    <row r="35" spans="1:81" s="271" customFormat="1" ht="71.25" customHeight="1" thickBot="1" x14ac:dyDescent="0.35">
      <c r="A35" s="1257" t="s">
        <v>1314</v>
      </c>
      <c r="B35" s="1258"/>
      <c r="C35" s="1259"/>
      <c r="D35" s="1044" t="str">
        <f>IF(Import!L256=1,"Yes",IF(Import!L256=2,"No",IF(Import!L256=0,"This question must to be answered")))</f>
        <v>This question must to be answered</v>
      </c>
      <c r="E35" s="1006" t="s">
        <v>1084</v>
      </c>
      <c r="F35" s="1006" t="str">
        <f>+D35</f>
        <v>This question must to be answered</v>
      </c>
      <c r="G35" s="1008"/>
      <c r="H35" s="1061" t="s">
        <v>1675</v>
      </c>
      <c r="I35" s="1080" t="s">
        <v>1075</v>
      </c>
      <c r="J35" s="1082"/>
      <c r="K35" s="966"/>
      <c r="P35" s="967"/>
      <c r="Q35" s="968"/>
      <c r="R35" s="968"/>
      <c r="S35" s="968"/>
      <c r="T35" s="968"/>
      <c r="U35" s="968"/>
      <c r="V35" s="968"/>
      <c r="W35" s="968"/>
      <c r="X35" s="968"/>
      <c r="Y35" s="968"/>
      <c r="Z35" s="968"/>
      <c r="AA35" s="968"/>
      <c r="AB35" s="968"/>
      <c r="AC35" s="968"/>
      <c r="AD35" s="968"/>
      <c r="AE35" s="968"/>
      <c r="AF35" s="968"/>
      <c r="AG35" s="968"/>
      <c r="AH35" s="968"/>
      <c r="AI35" s="968"/>
      <c r="AJ35" s="968"/>
      <c r="AK35" s="968"/>
      <c r="AL35" s="968"/>
      <c r="AM35" s="968"/>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c r="BP35" s="968"/>
      <c r="BQ35" s="968"/>
      <c r="BR35" s="968"/>
      <c r="BS35" s="968"/>
      <c r="BT35" s="968"/>
      <c r="BU35" s="968"/>
      <c r="BV35" s="968"/>
      <c r="BW35" s="968"/>
      <c r="BX35" s="968"/>
      <c r="BY35" s="968"/>
      <c r="BZ35" s="968"/>
      <c r="CA35" s="968"/>
      <c r="CB35" s="968"/>
      <c r="CC35" s="968"/>
    </row>
    <row r="36" spans="1:81" s="271" customFormat="1" ht="18" customHeight="1" thickBot="1" x14ac:dyDescent="0.35">
      <c r="A36" s="1241"/>
      <c r="B36" s="1242"/>
      <c r="C36" s="1243"/>
      <c r="D36" s="1037" t="s">
        <v>1659</v>
      </c>
      <c r="E36" s="286" t="s">
        <v>1669</v>
      </c>
      <c r="F36" s="1046"/>
      <c r="G36" s="1008"/>
      <c r="H36" s="1071"/>
      <c r="I36" s="1084"/>
      <c r="J36" s="1087"/>
      <c r="K36" s="966"/>
      <c r="P36" s="967"/>
      <c r="Q36" s="968"/>
      <c r="R36" s="968"/>
      <c r="S36" s="968"/>
      <c r="T36" s="968"/>
      <c r="U36" s="968"/>
      <c r="V36" s="968"/>
      <c r="W36" s="968"/>
      <c r="X36" s="968"/>
      <c r="Y36" s="968"/>
      <c r="Z36" s="968"/>
      <c r="AA36" s="968"/>
      <c r="AB36" s="968"/>
      <c r="AC36" s="968"/>
      <c r="AD36" s="968"/>
      <c r="AE36" s="968"/>
      <c r="AF36" s="968"/>
      <c r="AG36" s="968"/>
      <c r="AH36" s="968"/>
      <c r="AI36" s="968"/>
      <c r="AJ36" s="968"/>
      <c r="AK36" s="968"/>
      <c r="AL36" s="968"/>
      <c r="AM36" s="968"/>
      <c r="AN36" s="968"/>
      <c r="AO36" s="968"/>
      <c r="AP36" s="968"/>
      <c r="AQ36" s="968"/>
      <c r="AR36" s="968"/>
      <c r="AS36" s="968"/>
      <c r="AT36" s="968"/>
      <c r="AU36" s="968"/>
      <c r="AV36" s="968"/>
      <c r="AW36" s="968"/>
      <c r="AX36" s="968"/>
      <c r="AY36" s="968"/>
      <c r="AZ36" s="968"/>
      <c r="BA36" s="968"/>
      <c r="BB36" s="968"/>
      <c r="BC36" s="968"/>
      <c r="BD36" s="968"/>
      <c r="BE36" s="968"/>
      <c r="BF36" s="968"/>
      <c r="BG36" s="968"/>
      <c r="BH36" s="968"/>
      <c r="BI36" s="968"/>
      <c r="BJ36" s="968"/>
      <c r="BK36" s="968"/>
      <c r="BL36" s="968"/>
      <c r="BM36" s="968"/>
      <c r="BN36" s="968"/>
      <c r="BO36" s="968"/>
      <c r="BP36" s="968"/>
      <c r="BQ36" s="968"/>
      <c r="BR36" s="968"/>
      <c r="BS36" s="968"/>
      <c r="BT36" s="968"/>
      <c r="BU36" s="968"/>
      <c r="BV36" s="968"/>
      <c r="BW36" s="968"/>
      <c r="BX36" s="968"/>
      <c r="BY36" s="968"/>
      <c r="BZ36" s="968"/>
      <c r="CA36" s="968"/>
      <c r="CB36" s="968"/>
      <c r="CC36" s="968"/>
    </row>
    <row r="37" spans="1:81" s="271" customFormat="1" ht="81" customHeight="1" thickBot="1" x14ac:dyDescent="0.35">
      <c r="A37" s="1257" t="s">
        <v>1262</v>
      </c>
      <c r="B37" s="1258"/>
      <c r="C37" s="1259"/>
      <c r="D37" s="1039" t="str">
        <f>IF(Import!L191&gt;(Import!L155+Import!L158)*0.03,"Yes","No")</f>
        <v>No</v>
      </c>
      <c r="E37" s="1047"/>
      <c r="F37" s="1039" t="str">
        <f>+D37</f>
        <v>No</v>
      </c>
      <c r="G37" s="1008"/>
      <c r="H37" s="986" t="s">
        <v>1676</v>
      </c>
      <c r="I37" s="1080" t="s">
        <v>1081</v>
      </c>
      <c r="J37" s="1082"/>
      <c r="K37" s="966"/>
      <c r="P37" s="967"/>
      <c r="Q37" s="968"/>
      <c r="R37" s="968"/>
      <c r="S37" s="968"/>
      <c r="T37" s="968"/>
      <c r="U37" s="968"/>
      <c r="V37" s="968"/>
      <c r="W37" s="968"/>
      <c r="X37" s="968"/>
      <c r="Y37" s="968"/>
      <c r="Z37" s="968"/>
      <c r="AA37" s="968"/>
      <c r="AB37" s="968"/>
      <c r="AC37" s="968"/>
      <c r="AD37" s="968"/>
      <c r="AE37" s="968"/>
      <c r="AF37" s="968"/>
      <c r="AG37" s="968"/>
      <c r="AH37" s="968"/>
      <c r="AI37" s="968"/>
      <c r="AJ37" s="968"/>
      <c r="AK37" s="968"/>
      <c r="AL37" s="968"/>
      <c r="AM37" s="968"/>
      <c r="AN37" s="968"/>
      <c r="AO37" s="968"/>
      <c r="AP37" s="968"/>
      <c r="AQ37" s="968"/>
      <c r="AR37" s="968"/>
      <c r="AS37" s="968"/>
      <c r="AT37" s="968"/>
      <c r="AU37" s="968"/>
      <c r="AV37" s="968"/>
      <c r="AW37" s="968"/>
      <c r="AX37" s="968"/>
      <c r="AY37" s="968"/>
      <c r="AZ37" s="968"/>
      <c r="BA37" s="968"/>
      <c r="BB37" s="968"/>
      <c r="BC37" s="968"/>
      <c r="BD37" s="968"/>
      <c r="BE37" s="968"/>
      <c r="BF37" s="968"/>
      <c r="BG37" s="968"/>
      <c r="BH37" s="968"/>
      <c r="BI37" s="968"/>
      <c r="BJ37" s="968"/>
      <c r="BK37" s="968"/>
      <c r="BL37" s="968"/>
      <c r="BM37" s="968"/>
      <c r="BN37" s="968"/>
      <c r="BO37" s="968"/>
      <c r="BP37" s="968"/>
      <c r="BQ37" s="968"/>
      <c r="BR37" s="968"/>
      <c r="BS37" s="968"/>
      <c r="BT37" s="968"/>
      <c r="BU37" s="968"/>
      <c r="BV37" s="968"/>
      <c r="BW37" s="968"/>
      <c r="BX37" s="968"/>
      <c r="BY37" s="968"/>
      <c r="BZ37" s="968"/>
      <c r="CA37" s="968"/>
      <c r="CB37" s="968"/>
      <c r="CC37" s="968"/>
    </row>
    <row r="38" spans="1:81" s="271" customFormat="1" ht="18" customHeight="1" thickBot="1" x14ac:dyDescent="0.35">
      <c r="A38" s="1241"/>
      <c r="B38" s="1242"/>
      <c r="C38" s="1243"/>
      <c r="D38" s="1037" t="s">
        <v>1659</v>
      </c>
      <c r="E38" s="286" t="s">
        <v>1669</v>
      </c>
      <c r="F38" s="1038"/>
      <c r="G38" s="1008"/>
      <c r="H38" s="1038"/>
      <c r="I38" s="1084"/>
      <c r="J38" s="1087"/>
      <c r="K38" s="966"/>
      <c r="P38" s="967"/>
      <c r="Q38" s="968"/>
      <c r="R38" s="968"/>
      <c r="S38" s="968"/>
      <c r="T38" s="968"/>
      <c r="U38" s="968"/>
      <c r="V38" s="968"/>
      <c r="W38" s="968"/>
      <c r="X38" s="968"/>
      <c r="Y38" s="968"/>
      <c r="Z38" s="968"/>
      <c r="AA38" s="968"/>
      <c r="AB38" s="968"/>
      <c r="AC38" s="968"/>
      <c r="AD38" s="968"/>
      <c r="AE38" s="968"/>
      <c r="AF38" s="968"/>
      <c r="AG38" s="968"/>
      <c r="AH38" s="968"/>
      <c r="AI38" s="968"/>
      <c r="AJ38" s="968"/>
      <c r="AK38" s="968"/>
      <c r="AL38" s="968"/>
      <c r="AM38" s="968"/>
      <c r="AN38" s="968"/>
      <c r="AO38" s="968"/>
      <c r="AP38" s="968"/>
      <c r="AQ38" s="968"/>
      <c r="AR38" s="968"/>
      <c r="AS38" s="968"/>
      <c r="AT38" s="968"/>
      <c r="AU38" s="968"/>
      <c r="AV38" s="968"/>
      <c r="AW38" s="968"/>
      <c r="AX38" s="968"/>
      <c r="AY38" s="968"/>
      <c r="AZ38" s="968"/>
      <c r="BA38" s="968"/>
      <c r="BB38" s="968"/>
      <c r="BC38" s="968"/>
      <c r="BD38" s="968"/>
      <c r="BE38" s="968"/>
      <c r="BF38" s="968"/>
      <c r="BG38" s="968"/>
      <c r="BH38" s="968"/>
      <c r="BI38" s="968"/>
      <c r="BJ38" s="968"/>
      <c r="BK38" s="968"/>
      <c r="BL38" s="968"/>
      <c r="BM38" s="968"/>
      <c r="BN38" s="968"/>
      <c r="BO38" s="968"/>
      <c r="BP38" s="968"/>
      <c r="BQ38" s="968"/>
      <c r="BR38" s="968"/>
      <c r="BS38" s="968"/>
      <c r="BT38" s="968"/>
      <c r="BU38" s="968"/>
      <c r="BV38" s="968"/>
      <c r="BW38" s="968"/>
      <c r="BX38" s="968"/>
      <c r="BY38" s="968"/>
      <c r="BZ38" s="968"/>
      <c r="CA38" s="968"/>
      <c r="CB38" s="968"/>
      <c r="CC38" s="968"/>
    </row>
    <row r="39" spans="1:81" s="271" customFormat="1" ht="128.25" customHeight="1" thickBot="1" x14ac:dyDescent="0.35">
      <c r="A39" s="1282" t="s">
        <v>1677</v>
      </c>
      <c r="B39" s="1282"/>
      <c r="C39" s="1282"/>
      <c r="D39" s="1006" t="str">
        <f>IFERROR(VLOOKUP(B5,UAL!A3:D141,4,FALSE),"Unit is not on the Unit Assistance List at this time")</f>
        <v>Unit is not on the Unit Assistance List at this time</v>
      </c>
      <c r="E39" s="1006" t="s">
        <v>1583</v>
      </c>
      <c r="F39" s="1006" t="str">
        <f>D39</f>
        <v>Unit is not on the Unit Assistance List at this time</v>
      </c>
      <c r="G39" s="1024"/>
      <c r="H39" s="1072" t="str">
        <f>IF(D39="Unit is not on the Unit Assistance List at this time","N/A-Unit is not on the Unit Assistance List.",L39)</f>
        <v>N/A-Unit is not on the Unit Assistance List.</v>
      </c>
      <c r="I39" s="1085"/>
      <c r="J39" s="1082"/>
      <c r="K39" s="966"/>
      <c r="L39" s="271" t="s">
        <v>1341</v>
      </c>
      <c r="P39" s="967"/>
      <c r="Q39" s="968"/>
      <c r="R39" s="968"/>
      <c r="S39" s="968"/>
      <c r="T39" s="968"/>
      <c r="U39" s="968"/>
      <c r="V39" s="968"/>
      <c r="W39" s="968"/>
      <c r="X39" s="968"/>
      <c r="Y39" s="968"/>
      <c r="Z39" s="968"/>
      <c r="AA39" s="968"/>
      <c r="AB39" s="968"/>
      <c r="AC39" s="968"/>
      <c r="AD39" s="968"/>
      <c r="AE39" s="968"/>
      <c r="AF39" s="968"/>
      <c r="AG39" s="968"/>
      <c r="AH39" s="968"/>
      <c r="AI39" s="968"/>
      <c r="AJ39" s="968"/>
      <c r="AK39" s="968"/>
      <c r="AL39" s="968"/>
      <c r="AM39" s="968"/>
      <c r="AN39" s="968"/>
      <c r="AO39" s="968"/>
      <c r="AP39" s="968"/>
      <c r="AQ39" s="968"/>
      <c r="AR39" s="968"/>
      <c r="AS39" s="968"/>
      <c r="AT39" s="968"/>
      <c r="AU39" s="968"/>
      <c r="AV39" s="968"/>
      <c r="AW39" s="968"/>
      <c r="AX39" s="968"/>
      <c r="AY39" s="968"/>
      <c r="AZ39" s="968"/>
      <c r="BA39" s="968"/>
      <c r="BB39" s="968"/>
      <c r="BC39" s="968"/>
      <c r="BD39" s="968"/>
      <c r="BE39" s="968"/>
      <c r="BF39" s="968"/>
      <c r="BG39" s="968"/>
      <c r="BH39" s="968"/>
      <c r="BI39" s="968"/>
      <c r="BJ39" s="968"/>
      <c r="BK39" s="968"/>
      <c r="BL39" s="968"/>
      <c r="BM39" s="968"/>
      <c r="BN39" s="968"/>
      <c r="BO39" s="968"/>
      <c r="BP39" s="968"/>
      <c r="BQ39" s="968"/>
      <c r="BR39" s="968"/>
      <c r="BS39" s="968"/>
      <c r="BT39" s="968"/>
      <c r="BU39" s="968"/>
      <c r="BV39" s="968"/>
      <c r="BW39" s="968"/>
      <c r="BX39" s="968"/>
      <c r="BY39" s="968"/>
      <c r="BZ39" s="968"/>
      <c r="CA39" s="968"/>
      <c r="CB39" s="968"/>
      <c r="CC39" s="968"/>
    </row>
    <row r="40" spans="1:81" s="271" customFormat="1" ht="18" customHeight="1" thickBot="1" x14ac:dyDescent="0.35">
      <c r="A40" s="1241"/>
      <c r="B40" s="1242"/>
      <c r="C40" s="1243"/>
      <c r="D40" s="1037" t="s">
        <v>1659</v>
      </c>
      <c r="E40" s="286" t="s">
        <v>1669</v>
      </c>
      <c r="F40" s="1038"/>
      <c r="G40" s="1008"/>
      <c r="H40" s="1071"/>
      <c r="I40" s="1084"/>
      <c r="J40" s="1087"/>
      <c r="K40" s="966"/>
      <c r="P40" s="967"/>
      <c r="Q40" s="968"/>
      <c r="R40" s="968"/>
      <c r="S40" s="968"/>
      <c r="T40" s="968"/>
      <c r="U40" s="968"/>
      <c r="V40" s="968"/>
      <c r="W40" s="968"/>
      <c r="X40" s="968"/>
      <c r="Y40" s="968"/>
      <c r="Z40" s="968"/>
      <c r="AA40" s="968"/>
      <c r="AB40" s="968"/>
      <c r="AC40" s="968"/>
      <c r="AD40" s="968"/>
      <c r="AE40" s="968"/>
      <c r="AF40" s="968"/>
      <c r="AG40" s="968"/>
      <c r="AH40" s="968"/>
      <c r="AI40" s="968"/>
      <c r="AJ40" s="968"/>
      <c r="AK40" s="968"/>
      <c r="AL40" s="968"/>
      <c r="AM40" s="968"/>
      <c r="AN40" s="968"/>
      <c r="AO40" s="968"/>
      <c r="AP40" s="968"/>
      <c r="AQ40" s="968"/>
      <c r="AR40" s="968"/>
      <c r="AS40" s="968"/>
      <c r="AT40" s="968"/>
      <c r="AU40" s="968"/>
      <c r="AV40" s="968"/>
      <c r="AW40" s="968"/>
      <c r="AX40" s="968"/>
      <c r="AY40" s="968"/>
      <c r="AZ40" s="968"/>
      <c r="BA40" s="968"/>
      <c r="BB40" s="968"/>
      <c r="BC40" s="968"/>
      <c r="BD40" s="968"/>
      <c r="BE40" s="968"/>
      <c r="BF40" s="968"/>
      <c r="BG40" s="968"/>
      <c r="BH40" s="968"/>
      <c r="BI40" s="968"/>
      <c r="BJ40" s="968"/>
      <c r="BK40" s="968"/>
      <c r="BL40" s="968"/>
      <c r="BM40" s="968"/>
      <c r="BN40" s="968"/>
      <c r="BO40" s="968"/>
      <c r="BP40" s="968"/>
      <c r="BQ40" s="968"/>
      <c r="BR40" s="968"/>
      <c r="BS40" s="968"/>
      <c r="BT40" s="968"/>
      <c r="BU40" s="968"/>
      <c r="BV40" s="968"/>
      <c r="BW40" s="968"/>
      <c r="BX40" s="968"/>
      <c r="BY40" s="968"/>
      <c r="BZ40" s="968"/>
      <c r="CA40" s="968"/>
      <c r="CB40" s="968"/>
      <c r="CC40" s="968"/>
    </row>
    <row r="41" spans="1:81" s="271" customFormat="1" ht="59.25" customHeight="1" thickBot="1" x14ac:dyDescent="0.35">
      <c r="A41" s="1260" t="s">
        <v>1316</v>
      </c>
      <c r="B41" s="1261"/>
      <c r="C41" s="1283"/>
      <c r="D41" s="1013" t="str">
        <f>IF(Import!L257=1,"Yes",IF(Import!L257=2,"No",IF(Import!L257="0","This questions must be answered")))</f>
        <v>This questions must be answered</v>
      </c>
      <c r="E41" s="1048"/>
      <c r="F41" s="1013" t="str">
        <f>+D41</f>
        <v>This questions must be answered</v>
      </c>
      <c r="G41" s="1008"/>
      <c r="H41" s="1061" t="s">
        <v>1678</v>
      </c>
      <c r="I41" s="1086" t="s">
        <v>1082</v>
      </c>
      <c r="J41" s="1082"/>
      <c r="K41" s="966"/>
      <c r="P41" s="967"/>
      <c r="Q41" s="968"/>
      <c r="R41" s="968"/>
      <c r="S41" s="968"/>
      <c r="T41" s="968"/>
      <c r="U41" s="968"/>
      <c r="V41" s="968"/>
      <c r="W41" s="968"/>
      <c r="X41" s="968"/>
      <c r="Y41" s="968"/>
      <c r="Z41" s="968"/>
      <c r="AA41" s="968"/>
      <c r="AB41" s="968"/>
      <c r="AC41" s="968"/>
      <c r="AD41" s="968"/>
      <c r="AE41" s="968"/>
      <c r="AF41" s="968"/>
      <c r="AG41" s="968"/>
      <c r="AH41" s="968"/>
      <c r="AI41" s="968"/>
      <c r="AJ41" s="968"/>
      <c r="AK41" s="968"/>
      <c r="AL41" s="968"/>
      <c r="AM41" s="968"/>
      <c r="AN41" s="968"/>
      <c r="AO41" s="968"/>
      <c r="AP41" s="968"/>
      <c r="AQ41" s="968"/>
      <c r="AR41" s="968"/>
      <c r="AS41" s="968"/>
      <c r="AT41" s="968"/>
      <c r="AU41" s="968"/>
      <c r="AV41" s="968"/>
      <c r="AW41" s="968"/>
      <c r="AX41" s="968"/>
      <c r="AY41" s="968"/>
      <c r="AZ41" s="968"/>
      <c r="BA41" s="968"/>
      <c r="BB41" s="968"/>
      <c r="BC41" s="968"/>
      <c r="BD41" s="968"/>
      <c r="BE41" s="968"/>
      <c r="BF41" s="968"/>
      <c r="BG41" s="968"/>
      <c r="BH41" s="968"/>
      <c r="BI41" s="968"/>
      <c r="BJ41" s="968"/>
      <c r="BK41" s="968"/>
      <c r="BL41" s="968"/>
      <c r="BM41" s="968"/>
      <c r="BN41" s="968"/>
      <c r="BO41" s="968"/>
      <c r="BP41" s="968"/>
      <c r="BQ41" s="968"/>
      <c r="BR41" s="968"/>
      <c r="BS41" s="968"/>
      <c r="BT41" s="968"/>
      <c r="BU41" s="968"/>
      <c r="BV41" s="968"/>
      <c r="BW41" s="968"/>
      <c r="BX41" s="968"/>
      <c r="BY41" s="968"/>
      <c r="BZ41" s="968"/>
      <c r="CA41" s="968"/>
      <c r="CB41" s="968"/>
      <c r="CC41" s="968"/>
    </row>
    <row r="42" spans="1:81" s="271" customFormat="1" ht="18" customHeight="1" thickBot="1" x14ac:dyDescent="0.35">
      <c r="A42" s="1260" t="s">
        <v>1668</v>
      </c>
      <c r="B42" s="1261"/>
      <c r="C42" s="1265"/>
      <c r="D42" s="1037" t="s">
        <v>1659</v>
      </c>
      <c r="E42" s="286" t="s">
        <v>1669</v>
      </c>
      <c r="F42" s="1046"/>
      <c r="G42" s="1008"/>
      <c r="H42" s="1038"/>
      <c r="I42" s="1080"/>
      <c r="J42" s="1087"/>
      <c r="K42" s="966"/>
      <c r="P42" s="967"/>
      <c r="Q42" s="968"/>
      <c r="R42" s="968"/>
      <c r="S42" s="968"/>
      <c r="T42" s="968"/>
      <c r="U42" s="968"/>
      <c r="V42" s="968"/>
      <c r="W42" s="968"/>
      <c r="X42" s="968"/>
      <c r="Y42" s="968"/>
      <c r="Z42" s="968"/>
      <c r="AA42" s="968"/>
      <c r="AB42" s="968"/>
      <c r="AC42" s="968"/>
      <c r="AD42" s="968"/>
      <c r="AE42" s="968"/>
      <c r="AF42" s="968"/>
      <c r="AG42" s="968"/>
      <c r="AH42" s="968"/>
      <c r="AI42" s="968"/>
      <c r="AJ42" s="968"/>
      <c r="AK42" s="968"/>
      <c r="AL42" s="968"/>
      <c r="AM42" s="968"/>
      <c r="AN42" s="968"/>
      <c r="AO42" s="968"/>
      <c r="AP42" s="968"/>
      <c r="AQ42" s="968"/>
      <c r="AR42" s="968"/>
      <c r="AS42" s="968"/>
      <c r="AT42" s="968"/>
      <c r="AU42" s="968"/>
      <c r="AV42" s="968"/>
      <c r="AW42" s="968"/>
      <c r="AX42" s="968"/>
      <c r="AY42" s="968"/>
      <c r="AZ42" s="968"/>
      <c r="BA42" s="968"/>
      <c r="BB42" s="968"/>
      <c r="BC42" s="968"/>
      <c r="BD42" s="968"/>
      <c r="BE42" s="968"/>
      <c r="BF42" s="968"/>
      <c r="BG42" s="968"/>
      <c r="BH42" s="968"/>
      <c r="BI42" s="968"/>
      <c r="BJ42" s="968"/>
      <c r="BK42" s="968"/>
      <c r="BL42" s="968"/>
      <c r="BM42" s="968"/>
      <c r="BN42" s="968"/>
      <c r="BO42" s="968"/>
      <c r="BP42" s="968"/>
      <c r="BQ42" s="968"/>
      <c r="BR42" s="968"/>
      <c r="BS42" s="968"/>
      <c r="BT42" s="968"/>
      <c r="BU42" s="968"/>
      <c r="BV42" s="968"/>
      <c r="BW42" s="968"/>
      <c r="BX42" s="968"/>
      <c r="BY42" s="968"/>
      <c r="BZ42" s="968"/>
      <c r="CA42" s="968"/>
      <c r="CB42" s="968"/>
      <c r="CC42" s="968"/>
    </row>
    <row r="43" spans="1:81" s="271" customFormat="1" ht="60" customHeight="1" thickBot="1" x14ac:dyDescent="0.35">
      <c r="A43" s="1257" t="s">
        <v>1333</v>
      </c>
      <c r="B43" s="1258"/>
      <c r="C43" s="1259"/>
      <c r="D43" s="1013" t="str">
        <f>IF(Import!L253=1,"Yes",IF(Import!L253=2,"No",IF(Import!L253=3,"N/A",IF(Import!L253=0,"This question must be answered"))))</f>
        <v>This question must be answered</v>
      </c>
      <c r="E43" s="1048"/>
      <c r="F43" s="1013" t="str">
        <f>D43</f>
        <v>This question must be answered</v>
      </c>
      <c r="G43" s="1008"/>
      <c r="H43" s="1061" t="s">
        <v>1679</v>
      </c>
      <c r="I43" s="1080" t="s">
        <v>1334</v>
      </c>
      <c r="J43" s="1082"/>
      <c r="K43" s="966"/>
      <c r="P43" s="967"/>
      <c r="Q43" s="968"/>
      <c r="R43" s="968"/>
      <c r="S43" s="968"/>
      <c r="T43" s="968"/>
      <c r="U43" s="968"/>
      <c r="V43" s="968"/>
      <c r="W43" s="968"/>
      <c r="X43" s="968"/>
      <c r="Y43" s="968"/>
      <c r="Z43" s="968"/>
      <c r="AA43" s="968"/>
      <c r="AB43" s="968"/>
      <c r="AC43" s="968"/>
      <c r="AD43" s="968"/>
      <c r="AE43" s="968"/>
      <c r="AF43" s="968"/>
      <c r="AG43" s="968"/>
      <c r="AH43" s="968"/>
      <c r="AI43" s="968"/>
      <c r="AJ43" s="968"/>
      <c r="AK43" s="968"/>
      <c r="AL43" s="968"/>
      <c r="AM43" s="968"/>
      <c r="AN43" s="968"/>
      <c r="AO43" s="968"/>
      <c r="AP43" s="968"/>
      <c r="AQ43" s="968"/>
      <c r="AR43" s="968"/>
      <c r="AS43" s="968"/>
      <c r="AT43" s="968"/>
      <c r="AU43" s="968"/>
      <c r="AV43" s="968"/>
      <c r="AW43" s="968"/>
      <c r="AX43" s="968"/>
      <c r="AY43" s="968"/>
      <c r="AZ43" s="968"/>
      <c r="BA43" s="968"/>
      <c r="BB43" s="968"/>
      <c r="BC43" s="968"/>
      <c r="BD43" s="968"/>
      <c r="BE43" s="968"/>
      <c r="BF43" s="968"/>
      <c r="BG43" s="968"/>
      <c r="BH43" s="968"/>
      <c r="BI43" s="968"/>
      <c r="BJ43" s="968"/>
      <c r="BK43" s="968"/>
      <c r="BL43" s="968"/>
      <c r="BM43" s="968"/>
      <c r="BN43" s="968"/>
      <c r="BO43" s="968"/>
      <c r="BP43" s="968"/>
      <c r="BQ43" s="968"/>
      <c r="BR43" s="968"/>
      <c r="BS43" s="968"/>
      <c r="BT43" s="968"/>
      <c r="BU43" s="968"/>
      <c r="BV43" s="968"/>
      <c r="BW43" s="968"/>
      <c r="BX43" s="968"/>
      <c r="BY43" s="968"/>
      <c r="BZ43" s="968"/>
      <c r="CA43" s="968"/>
      <c r="CB43" s="968"/>
      <c r="CC43" s="968"/>
    </row>
    <row r="44" spans="1:81" s="271" customFormat="1" ht="18" customHeight="1" thickBot="1" x14ac:dyDescent="0.35">
      <c r="A44" s="1241"/>
      <c r="B44" s="1242"/>
      <c r="C44" s="1243"/>
      <c r="D44" s="1037" t="s">
        <v>1659</v>
      </c>
      <c r="E44" s="286" t="s">
        <v>1669</v>
      </c>
      <c r="F44" s="1038"/>
      <c r="G44" s="1008"/>
      <c r="H44" s="1071"/>
      <c r="I44" s="1080"/>
      <c r="J44" s="1087"/>
      <c r="K44" s="966"/>
      <c r="P44" s="967"/>
      <c r="Q44" s="968"/>
      <c r="R44" s="968"/>
      <c r="S44" s="968"/>
      <c r="T44" s="968"/>
      <c r="U44" s="968"/>
      <c r="V44" s="968"/>
      <c r="W44" s="968"/>
      <c r="X44" s="968"/>
      <c r="Y44" s="968"/>
      <c r="Z44" s="968"/>
      <c r="AA44" s="968"/>
      <c r="AB44" s="968"/>
      <c r="AC44" s="968"/>
      <c r="AD44" s="968"/>
      <c r="AE44" s="968"/>
      <c r="AF44" s="968"/>
      <c r="AG44" s="968"/>
      <c r="AH44" s="968"/>
      <c r="AI44" s="968"/>
      <c r="AJ44" s="968"/>
      <c r="AK44" s="968"/>
      <c r="AL44" s="968"/>
      <c r="AM44" s="968"/>
      <c r="AN44" s="968"/>
      <c r="AO44" s="968"/>
      <c r="AP44" s="968"/>
      <c r="AQ44" s="968"/>
      <c r="AR44" s="968"/>
      <c r="AS44" s="968"/>
      <c r="AT44" s="968"/>
      <c r="AU44" s="968"/>
      <c r="AV44" s="968"/>
      <c r="AW44" s="968"/>
      <c r="AX44" s="968"/>
      <c r="AY44" s="968"/>
      <c r="AZ44" s="968"/>
      <c r="BA44" s="968"/>
      <c r="BB44" s="968"/>
      <c r="BC44" s="968"/>
      <c r="BD44" s="968"/>
      <c r="BE44" s="968"/>
      <c r="BF44" s="968"/>
      <c r="BG44" s="968"/>
      <c r="BH44" s="968"/>
      <c r="BI44" s="968"/>
      <c r="BJ44" s="968"/>
      <c r="BK44" s="968"/>
      <c r="BL44" s="968"/>
      <c r="BM44" s="968"/>
      <c r="BN44" s="968"/>
      <c r="BO44" s="968"/>
      <c r="BP44" s="968"/>
      <c r="BQ44" s="968"/>
      <c r="BR44" s="968"/>
      <c r="BS44" s="968"/>
      <c r="BT44" s="968"/>
      <c r="BU44" s="968"/>
      <c r="BV44" s="968"/>
      <c r="BW44" s="968"/>
      <c r="BX44" s="968"/>
      <c r="BY44" s="968"/>
      <c r="BZ44" s="968"/>
      <c r="CA44" s="968"/>
      <c r="CB44" s="968"/>
      <c r="CC44" s="968"/>
    </row>
    <row r="45" spans="1:81" s="271" customFormat="1" ht="67.5" customHeight="1" thickBot="1" x14ac:dyDescent="0.35">
      <c r="A45" s="1257" t="s">
        <v>1584</v>
      </c>
      <c r="B45" s="1258"/>
      <c r="C45" s="1259"/>
      <c r="D45" s="1035" t="b">
        <f>IF(Import!L193=1,"Yes",IF(Import!L193=2,"No",IF(Import!L193=3,"N/A")))</f>
        <v>0</v>
      </c>
      <c r="E45" s="1048"/>
      <c r="F45" s="1035" t="b">
        <f>+D45</f>
        <v>0</v>
      </c>
      <c r="G45" s="1008"/>
      <c r="H45" s="1061" t="s">
        <v>1680</v>
      </c>
      <c r="I45" s="1080" t="s">
        <v>1121</v>
      </c>
      <c r="J45" s="1082"/>
      <c r="K45" s="966"/>
      <c r="P45" s="967"/>
      <c r="Q45" s="968"/>
      <c r="R45" s="968"/>
      <c r="S45" s="968"/>
      <c r="T45" s="968"/>
      <c r="U45" s="968"/>
      <c r="V45" s="968"/>
      <c r="W45" s="968"/>
      <c r="X45" s="968"/>
      <c r="Y45" s="968"/>
      <c r="Z45" s="968"/>
      <c r="AA45" s="968"/>
      <c r="AB45" s="968"/>
      <c r="AC45" s="968"/>
      <c r="AD45" s="968"/>
      <c r="AE45" s="968"/>
      <c r="AF45" s="968"/>
      <c r="AG45" s="968"/>
      <c r="AH45" s="968"/>
      <c r="AI45" s="968"/>
      <c r="AJ45" s="968"/>
      <c r="AK45" s="968"/>
      <c r="AL45" s="968"/>
      <c r="AM45" s="968"/>
      <c r="AN45" s="968"/>
      <c r="AO45" s="968"/>
      <c r="AP45" s="968"/>
      <c r="AQ45" s="968"/>
      <c r="AR45" s="968"/>
      <c r="AS45" s="968"/>
      <c r="AT45" s="968"/>
      <c r="AU45" s="968"/>
      <c r="AV45" s="968"/>
      <c r="AW45" s="968"/>
      <c r="AX45" s="968"/>
      <c r="AY45" s="968"/>
      <c r="AZ45" s="968"/>
      <c r="BA45" s="968"/>
      <c r="BB45" s="968"/>
      <c r="BC45" s="968"/>
      <c r="BD45" s="968"/>
      <c r="BE45" s="968"/>
      <c r="BF45" s="968"/>
      <c r="BG45" s="968"/>
      <c r="BH45" s="968"/>
      <c r="BI45" s="968"/>
      <c r="BJ45" s="968"/>
      <c r="BK45" s="968"/>
      <c r="BL45" s="968"/>
      <c r="BM45" s="968"/>
      <c r="BN45" s="968"/>
      <c r="BO45" s="968"/>
      <c r="BP45" s="968"/>
      <c r="BQ45" s="968"/>
      <c r="BR45" s="968"/>
      <c r="BS45" s="968"/>
      <c r="BT45" s="968"/>
      <c r="BU45" s="968"/>
      <c r="BV45" s="968"/>
      <c r="BW45" s="968"/>
      <c r="BX45" s="968"/>
      <c r="BY45" s="968"/>
      <c r="BZ45" s="968"/>
      <c r="CA45" s="968"/>
      <c r="CB45" s="968"/>
      <c r="CC45" s="968"/>
    </row>
    <row r="46" spans="1:81" s="271" customFormat="1" ht="18" customHeight="1" thickBot="1" x14ac:dyDescent="0.35">
      <c r="A46" s="1241"/>
      <c r="B46" s="1242"/>
      <c r="C46" s="1243"/>
      <c r="D46" s="1037" t="s">
        <v>1659</v>
      </c>
      <c r="E46" s="286" t="s">
        <v>1669</v>
      </c>
      <c r="F46" s="1038"/>
      <c r="G46" s="1008"/>
      <c r="H46" s="1071"/>
      <c r="I46" s="1084"/>
      <c r="J46" s="1087"/>
      <c r="K46" s="966"/>
      <c r="P46" s="967"/>
      <c r="Q46" s="968"/>
      <c r="R46" s="968"/>
      <c r="S46" s="968"/>
      <c r="T46" s="968"/>
      <c r="U46" s="968"/>
      <c r="V46" s="968"/>
      <c r="W46" s="968"/>
      <c r="X46" s="968"/>
      <c r="Y46" s="968"/>
      <c r="Z46" s="968"/>
      <c r="AA46" s="968"/>
      <c r="AB46" s="968"/>
      <c r="AC46" s="968"/>
      <c r="AD46" s="968"/>
      <c r="AE46" s="968"/>
      <c r="AF46" s="968"/>
      <c r="AG46" s="968"/>
      <c r="AH46" s="968"/>
      <c r="AI46" s="968"/>
      <c r="AJ46" s="968"/>
      <c r="AK46" s="968"/>
      <c r="AL46" s="968"/>
      <c r="AM46" s="968"/>
      <c r="AN46" s="968"/>
      <c r="AO46" s="968"/>
      <c r="AP46" s="968"/>
      <c r="AQ46" s="968"/>
      <c r="AR46" s="968"/>
      <c r="AS46" s="968"/>
      <c r="AT46" s="968"/>
      <c r="AU46" s="968"/>
      <c r="AV46" s="968"/>
      <c r="AW46" s="968"/>
      <c r="AX46" s="968"/>
      <c r="AY46" s="968"/>
      <c r="AZ46" s="968"/>
      <c r="BA46" s="968"/>
      <c r="BB46" s="968"/>
      <c r="BC46" s="968"/>
      <c r="BD46" s="968"/>
      <c r="BE46" s="968"/>
      <c r="BF46" s="968"/>
      <c r="BG46" s="968"/>
      <c r="BH46" s="968"/>
      <c r="BI46" s="968"/>
      <c r="BJ46" s="968"/>
      <c r="BK46" s="968"/>
      <c r="BL46" s="968"/>
      <c r="BM46" s="968"/>
      <c r="BN46" s="968"/>
      <c r="BO46" s="968"/>
      <c r="BP46" s="968"/>
      <c r="BQ46" s="968"/>
      <c r="BR46" s="968"/>
      <c r="BS46" s="968"/>
      <c r="BT46" s="968"/>
      <c r="BU46" s="968"/>
      <c r="BV46" s="968"/>
      <c r="BW46" s="968"/>
      <c r="BX46" s="968"/>
      <c r="BY46" s="968"/>
      <c r="BZ46" s="968"/>
      <c r="CA46" s="968"/>
      <c r="CB46" s="968"/>
      <c r="CC46" s="968"/>
    </row>
    <row r="47" spans="1:81" s="271" customFormat="1" ht="68.25" customHeight="1" thickBot="1" x14ac:dyDescent="0.35">
      <c r="A47" s="1257" t="s">
        <v>1055</v>
      </c>
      <c r="B47" s="1258"/>
      <c r="C47" s="1259"/>
      <c r="D47" s="1049" t="e">
        <f>+M47+N47+L47+Import!L250+Import!L251+Import!L254</f>
        <v>#VALUE!</v>
      </c>
      <c r="E47" s="1048"/>
      <c r="F47" s="1050"/>
      <c r="G47" s="1008"/>
      <c r="H47" s="1061" t="s">
        <v>1681</v>
      </c>
      <c r="I47" s="1080" t="s">
        <v>1076</v>
      </c>
      <c r="J47" s="1082"/>
      <c r="K47" s="966"/>
      <c r="L47" s="991">
        <f>IF(Import!L247=1,1,0)</f>
        <v>0</v>
      </c>
      <c r="M47" s="991">
        <f>IF(Import!L248=1,1,0)</f>
        <v>0</v>
      </c>
      <c r="N47" s="991">
        <f>IF(Import!L249=1,1,0)</f>
        <v>0</v>
      </c>
      <c r="P47" s="967"/>
      <c r="Q47" s="968"/>
      <c r="R47" s="968"/>
      <c r="S47" s="968"/>
      <c r="T47" s="968"/>
      <c r="U47" s="968"/>
      <c r="V47" s="968"/>
      <c r="W47" s="968"/>
      <c r="X47" s="968"/>
      <c r="Y47" s="968"/>
      <c r="Z47" s="968"/>
      <c r="AA47" s="968"/>
      <c r="AB47" s="968"/>
      <c r="AC47" s="968"/>
      <c r="AD47" s="968"/>
      <c r="AE47" s="968"/>
      <c r="AF47" s="968"/>
      <c r="AG47" s="968"/>
      <c r="AH47" s="968"/>
      <c r="AI47" s="968"/>
      <c r="AJ47" s="968"/>
      <c r="AK47" s="968"/>
      <c r="AL47" s="968"/>
      <c r="AM47" s="968"/>
      <c r="AN47" s="968"/>
      <c r="AO47" s="968"/>
      <c r="AP47" s="968"/>
      <c r="AQ47" s="968"/>
      <c r="AR47" s="968"/>
      <c r="AS47" s="968"/>
      <c r="AT47" s="968"/>
      <c r="AU47" s="968"/>
      <c r="AV47" s="968"/>
      <c r="AW47" s="968"/>
      <c r="AX47" s="968"/>
      <c r="AY47" s="968"/>
      <c r="AZ47" s="968"/>
      <c r="BA47" s="968"/>
      <c r="BB47" s="968"/>
      <c r="BC47" s="968"/>
      <c r="BD47" s="968"/>
      <c r="BE47" s="968"/>
      <c r="BF47" s="968"/>
      <c r="BG47" s="968"/>
      <c r="BH47" s="968"/>
      <c r="BI47" s="968"/>
      <c r="BJ47" s="968"/>
      <c r="BK47" s="968"/>
      <c r="BL47" s="968"/>
      <c r="BM47" s="968"/>
      <c r="BN47" s="968"/>
      <c r="BO47" s="968"/>
      <c r="BP47" s="968"/>
      <c r="BQ47" s="968"/>
      <c r="BR47" s="968"/>
      <c r="BS47" s="968"/>
      <c r="BT47" s="968"/>
      <c r="BU47" s="968"/>
      <c r="BV47" s="968"/>
      <c r="BW47" s="968"/>
      <c r="BX47" s="968"/>
      <c r="BY47" s="968"/>
      <c r="BZ47" s="968"/>
      <c r="CA47" s="968"/>
      <c r="CB47" s="968"/>
      <c r="CC47" s="968"/>
    </row>
    <row r="48" spans="1:81" s="271" customFormat="1" ht="18" customHeight="1" thickBot="1" x14ac:dyDescent="0.35">
      <c r="A48" s="1241"/>
      <c r="B48" s="1242"/>
      <c r="C48" s="1243"/>
      <c r="D48" s="1037" t="s">
        <v>1659</v>
      </c>
      <c r="E48" s="286" t="s">
        <v>1669</v>
      </c>
      <c r="F48" s="1038"/>
      <c r="G48" s="1008"/>
      <c r="H48" s="1071"/>
      <c r="I48" s="1080"/>
      <c r="J48" s="1087"/>
      <c r="K48" s="966"/>
      <c r="P48" s="967"/>
      <c r="Q48" s="968"/>
      <c r="R48" s="968"/>
      <c r="S48" s="968"/>
      <c r="T48" s="968"/>
      <c r="U48" s="968"/>
      <c r="V48" s="968"/>
      <c r="W48" s="968"/>
      <c r="X48" s="968"/>
      <c r="Y48" s="968"/>
      <c r="Z48" s="968"/>
      <c r="AA48" s="968"/>
      <c r="AB48" s="968"/>
      <c r="AC48" s="968"/>
      <c r="AD48" s="968"/>
      <c r="AE48" s="968"/>
      <c r="AF48" s="968"/>
      <c r="AG48" s="968"/>
      <c r="AH48" s="968"/>
      <c r="AI48" s="968"/>
      <c r="AJ48" s="968"/>
      <c r="AK48" s="968"/>
      <c r="AL48" s="968"/>
      <c r="AM48" s="968"/>
      <c r="AN48" s="968"/>
      <c r="AO48" s="968"/>
      <c r="AP48" s="968"/>
      <c r="AQ48" s="968"/>
      <c r="AR48" s="968"/>
      <c r="AS48" s="968"/>
      <c r="AT48" s="968"/>
      <c r="AU48" s="968"/>
      <c r="AV48" s="968"/>
      <c r="AW48" s="968"/>
      <c r="AX48" s="968"/>
      <c r="AY48" s="968"/>
      <c r="AZ48" s="968"/>
      <c r="BA48" s="968"/>
      <c r="BB48" s="968"/>
      <c r="BC48" s="968"/>
      <c r="BD48" s="968"/>
      <c r="BE48" s="968"/>
      <c r="BF48" s="968"/>
      <c r="BG48" s="968"/>
      <c r="BH48" s="968"/>
      <c r="BI48" s="968"/>
      <c r="BJ48" s="968"/>
      <c r="BK48" s="968"/>
      <c r="BL48" s="968"/>
      <c r="BM48" s="968"/>
      <c r="BN48" s="968"/>
      <c r="BO48" s="968"/>
      <c r="BP48" s="968"/>
      <c r="BQ48" s="968"/>
      <c r="BR48" s="968"/>
      <c r="BS48" s="968"/>
      <c r="BT48" s="968"/>
      <c r="BU48" s="968"/>
      <c r="BV48" s="968"/>
      <c r="BW48" s="968"/>
      <c r="BX48" s="968"/>
      <c r="BY48" s="968"/>
      <c r="BZ48" s="968"/>
      <c r="CA48" s="968"/>
      <c r="CB48" s="968"/>
      <c r="CC48" s="968"/>
    </row>
    <row r="49" spans="1:81" s="271" customFormat="1" ht="114.75" customHeight="1" thickBot="1" x14ac:dyDescent="0.35">
      <c r="A49" s="1266" t="s">
        <v>1083</v>
      </c>
      <c r="B49" s="1266"/>
      <c r="C49" s="1266"/>
      <c r="D49" s="1045" t="e">
        <f>IF('Electric trans'!F29="No, unit exceeds limit by:","Yes","No")</f>
        <v>#N/A</v>
      </c>
      <c r="E49" s="1048"/>
      <c r="F49" s="1045" t="e">
        <f>+D49</f>
        <v>#N/A</v>
      </c>
      <c r="G49" s="1008"/>
      <c r="H49" s="1061" t="s">
        <v>1682</v>
      </c>
      <c r="I49" s="1080" t="s">
        <v>1130</v>
      </c>
      <c r="J49" s="1082"/>
      <c r="K49" s="966"/>
      <c r="P49" s="967"/>
      <c r="Q49" s="968"/>
      <c r="R49" s="968"/>
      <c r="S49" s="968"/>
      <c r="T49" s="968"/>
      <c r="U49" s="968"/>
      <c r="V49" s="968"/>
      <c r="W49" s="968"/>
      <c r="X49" s="968"/>
      <c r="Y49" s="968"/>
      <c r="Z49" s="968"/>
      <c r="AA49" s="968"/>
      <c r="AB49" s="968"/>
      <c r="AC49" s="968"/>
      <c r="AD49" s="968"/>
      <c r="AE49" s="968"/>
      <c r="AF49" s="968"/>
      <c r="AG49" s="968"/>
      <c r="AH49" s="968"/>
      <c r="AI49" s="968"/>
      <c r="AJ49" s="968"/>
      <c r="AK49" s="968"/>
      <c r="AL49" s="968"/>
      <c r="AM49" s="968"/>
      <c r="AN49" s="968"/>
      <c r="AO49" s="968"/>
      <c r="AP49" s="968"/>
      <c r="AQ49" s="968"/>
      <c r="AR49" s="968"/>
      <c r="AS49" s="968"/>
      <c r="AT49" s="968"/>
      <c r="AU49" s="968"/>
      <c r="AV49" s="968"/>
      <c r="AW49" s="968"/>
      <c r="AX49" s="968"/>
      <c r="AY49" s="968"/>
      <c r="AZ49" s="968"/>
      <c r="BA49" s="968"/>
      <c r="BB49" s="968"/>
      <c r="BC49" s="968"/>
      <c r="BD49" s="968"/>
      <c r="BE49" s="968"/>
      <c r="BF49" s="968"/>
      <c r="BG49" s="968"/>
      <c r="BH49" s="968"/>
      <c r="BI49" s="968"/>
      <c r="BJ49" s="968"/>
      <c r="BK49" s="968"/>
      <c r="BL49" s="968"/>
      <c r="BM49" s="968"/>
      <c r="BN49" s="968"/>
      <c r="BO49" s="968"/>
      <c r="BP49" s="968"/>
      <c r="BQ49" s="968"/>
      <c r="BR49" s="968"/>
      <c r="BS49" s="968"/>
      <c r="BT49" s="968"/>
      <c r="BU49" s="968"/>
      <c r="BV49" s="968"/>
      <c r="BW49" s="968"/>
      <c r="BX49" s="968"/>
      <c r="BY49" s="968"/>
      <c r="BZ49" s="968"/>
      <c r="CA49" s="968"/>
      <c r="CB49" s="968"/>
      <c r="CC49" s="968"/>
    </row>
    <row r="50" spans="1:81" s="271" customFormat="1" ht="18" customHeight="1" thickBot="1" x14ac:dyDescent="0.35">
      <c r="A50" s="1279"/>
      <c r="B50" s="1280"/>
      <c r="C50" s="1281"/>
      <c r="D50" s="1037" t="s">
        <v>1659</v>
      </c>
      <c r="E50" s="286" t="s">
        <v>1669</v>
      </c>
      <c r="F50" s="1046"/>
      <c r="G50" s="1008"/>
      <c r="H50" s="1038"/>
      <c r="I50" s="1084"/>
      <c r="J50" s="1087"/>
      <c r="K50" s="966"/>
      <c r="P50" s="967"/>
      <c r="Q50" s="968"/>
      <c r="R50" s="968"/>
      <c r="S50" s="968"/>
      <c r="T50" s="968"/>
      <c r="U50" s="968"/>
      <c r="V50" s="968"/>
      <c r="W50" s="968"/>
      <c r="X50" s="968"/>
      <c r="Y50" s="968"/>
      <c r="Z50" s="968"/>
      <c r="AA50" s="968"/>
      <c r="AB50" s="968"/>
      <c r="AC50" s="968"/>
      <c r="AD50" s="968"/>
      <c r="AE50" s="968"/>
      <c r="AF50" s="968"/>
      <c r="AG50" s="968"/>
      <c r="AH50" s="968"/>
      <c r="AI50" s="968"/>
      <c r="AJ50" s="968"/>
      <c r="AK50" s="968"/>
      <c r="AL50" s="968"/>
      <c r="AM50" s="968"/>
      <c r="AN50" s="968"/>
      <c r="AO50" s="968"/>
      <c r="AP50" s="968"/>
      <c r="AQ50" s="968"/>
      <c r="AR50" s="968"/>
      <c r="AS50" s="968"/>
      <c r="AT50" s="968"/>
      <c r="AU50" s="968"/>
      <c r="AV50" s="968"/>
      <c r="AW50" s="968"/>
      <c r="AX50" s="968"/>
      <c r="AY50" s="968"/>
      <c r="AZ50" s="968"/>
      <c r="BA50" s="968"/>
      <c r="BB50" s="968"/>
      <c r="BC50" s="968"/>
      <c r="BD50" s="968"/>
      <c r="BE50" s="968"/>
      <c r="BF50" s="968"/>
      <c r="BG50" s="968"/>
      <c r="BH50" s="968"/>
      <c r="BI50" s="968"/>
      <c r="BJ50" s="968"/>
      <c r="BK50" s="968"/>
      <c r="BL50" s="968"/>
      <c r="BM50" s="968"/>
      <c r="BN50" s="968"/>
      <c r="BO50" s="968"/>
      <c r="BP50" s="968"/>
      <c r="BQ50" s="968"/>
      <c r="BR50" s="968"/>
      <c r="BS50" s="968"/>
      <c r="BT50" s="968"/>
      <c r="BU50" s="968"/>
      <c r="BV50" s="968"/>
      <c r="BW50" s="968"/>
      <c r="BX50" s="968"/>
      <c r="BY50" s="968"/>
      <c r="BZ50" s="968"/>
      <c r="CA50" s="968"/>
      <c r="CB50" s="968"/>
      <c r="CC50" s="968"/>
    </row>
    <row r="51" spans="1:81" s="271" customFormat="1" ht="114.75" customHeight="1" thickBot="1" x14ac:dyDescent="0.4">
      <c r="A51" s="1266" t="s">
        <v>1129</v>
      </c>
      <c r="B51" s="1266"/>
      <c r="C51" s="1266"/>
      <c r="D51" s="1035">
        <f>+Import!L254</f>
        <v>0</v>
      </c>
      <c r="E51" s="1048"/>
      <c r="F51" s="1050">
        <f>D51</f>
        <v>0</v>
      </c>
      <c r="G51" s="1008"/>
      <c r="H51" s="1061" t="s">
        <v>1684</v>
      </c>
      <c r="I51" s="1098" t="s">
        <v>1683</v>
      </c>
      <c r="J51" s="1082"/>
      <c r="K51" s="966"/>
      <c r="M51" s="1051" t="e">
        <f>'PI series #'!#REF!</f>
        <v>#REF!</v>
      </c>
      <c r="P51" s="967"/>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c r="AU51" s="968"/>
      <c r="AV51" s="968"/>
      <c r="AW51" s="968"/>
      <c r="AX51" s="968"/>
      <c r="AY51" s="968"/>
      <c r="AZ51" s="968"/>
      <c r="BA51" s="968"/>
      <c r="BB51" s="968"/>
      <c r="BC51" s="968"/>
      <c r="BD51" s="968"/>
      <c r="BE51" s="968"/>
      <c r="BF51" s="968"/>
      <c r="BG51" s="968"/>
      <c r="BH51" s="968"/>
      <c r="BI51" s="968"/>
      <c r="BJ51" s="968"/>
      <c r="BK51" s="968"/>
      <c r="BL51" s="968"/>
      <c r="BM51" s="968"/>
      <c r="BN51" s="968"/>
      <c r="BO51" s="968"/>
      <c r="BP51" s="968"/>
      <c r="BQ51" s="968"/>
      <c r="BR51" s="968"/>
      <c r="BS51" s="968"/>
      <c r="BT51" s="968"/>
      <c r="BU51" s="968"/>
      <c r="BV51" s="968"/>
      <c r="BW51" s="968"/>
      <c r="BX51" s="968"/>
      <c r="BY51" s="968"/>
      <c r="BZ51" s="968"/>
      <c r="CA51" s="968"/>
      <c r="CB51" s="968"/>
      <c r="CC51" s="968"/>
    </row>
    <row r="52" spans="1:81" s="969" customFormat="1" x14ac:dyDescent="0.3">
      <c r="A52" s="1052"/>
      <c r="B52" s="1052"/>
      <c r="C52" s="1052"/>
      <c r="D52" s="1052"/>
      <c r="E52" s="1052"/>
      <c r="F52" s="1052"/>
      <c r="G52" s="1053"/>
      <c r="H52" s="1052"/>
      <c r="I52" s="1057"/>
      <c r="J52" s="1057"/>
      <c r="L52" s="271"/>
      <c r="M52" s="271"/>
      <c r="N52" s="271"/>
      <c r="O52" s="271"/>
      <c r="P52" s="967"/>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c r="AU52" s="968"/>
      <c r="AV52" s="968"/>
      <c r="AW52" s="968"/>
      <c r="AX52" s="968"/>
      <c r="AY52" s="968"/>
      <c r="AZ52" s="968"/>
      <c r="BA52" s="968"/>
      <c r="BB52" s="968"/>
      <c r="BC52" s="968"/>
      <c r="BD52" s="968"/>
      <c r="BE52" s="968"/>
      <c r="BF52" s="968"/>
      <c r="BG52" s="968"/>
      <c r="BH52" s="968"/>
      <c r="BI52" s="968"/>
      <c r="BJ52" s="968"/>
      <c r="BK52" s="968"/>
      <c r="BL52" s="968"/>
      <c r="BM52" s="968"/>
      <c r="BN52" s="968"/>
      <c r="BO52" s="968"/>
      <c r="BP52" s="968"/>
      <c r="BQ52" s="968"/>
      <c r="BR52" s="968"/>
      <c r="BS52" s="968"/>
      <c r="BT52" s="968"/>
      <c r="BU52" s="968"/>
      <c r="BV52" s="968"/>
      <c r="BW52" s="968"/>
      <c r="BX52" s="968"/>
      <c r="BY52" s="968"/>
      <c r="BZ52" s="968"/>
      <c r="CA52" s="968"/>
      <c r="CB52" s="968"/>
      <c r="CC52" s="968"/>
    </row>
  </sheetData>
  <mergeCells count="44">
    <mergeCell ref="I1:J1"/>
    <mergeCell ref="A51:C51"/>
    <mergeCell ref="I2:I5"/>
    <mergeCell ref="J2:J5"/>
    <mergeCell ref="J6:J8"/>
    <mergeCell ref="A45:C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C38"/>
    <mergeCell ref="A32:C32"/>
    <mergeCell ref="A6:F7"/>
    <mergeCell ref="H6:H8"/>
    <mergeCell ref="A8:D8"/>
    <mergeCell ref="A9:D9"/>
    <mergeCell ref="A18:C18"/>
    <mergeCell ref="A20:D20"/>
    <mergeCell ref="A10:D10"/>
    <mergeCell ref="A11:D11"/>
    <mergeCell ref="A21:D21"/>
    <mergeCell ref="A28:C28"/>
    <mergeCell ref="A29:C29"/>
    <mergeCell ref="A30:C30"/>
    <mergeCell ref="A31:C31"/>
    <mergeCell ref="A1:H1"/>
    <mergeCell ref="A2:H2"/>
    <mergeCell ref="G3:H3"/>
    <mergeCell ref="B4:D4"/>
    <mergeCell ref="E4:F5"/>
    <mergeCell ref="H4:H5"/>
    <mergeCell ref="B5:D5"/>
  </mergeCells>
  <conditionalFormatting sqref="F14">
    <cfRule type="cellIs" dxfId="36" priority="29" operator="lessThan">
      <formula>1</formula>
    </cfRule>
  </conditionalFormatting>
  <conditionalFormatting sqref="F16">
    <cfRule type="cellIs" dxfId="35" priority="28" operator="lessThan">
      <formula>0</formula>
    </cfRule>
  </conditionalFormatting>
  <conditionalFormatting sqref="F17">
    <cfRule type="cellIs" dxfId="34" priority="27" operator="lessThan">
      <formula>0.16</formula>
    </cfRule>
  </conditionalFormatting>
  <conditionalFormatting sqref="F21">
    <cfRule type="cellIs" dxfId="33" priority="26" operator="lessThan">
      <formula>1</formula>
    </cfRule>
  </conditionalFormatting>
  <conditionalFormatting sqref="F23">
    <cfRule type="cellIs" dxfId="32" priority="25" operator="lessThan">
      <formula>0</formula>
    </cfRule>
  </conditionalFormatting>
  <conditionalFormatting sqref="F24">
    <cfRule type="cellIs" dxfId="31" priority="24" operator="lessThan">
      <formula>0.16</formula>
    </cfRule>
  </conditionalFormatting>
  <conditionalFormatting sqref="F29">
    <cfRule type="cellIs" dxfId="30" priority="23" operator="equal">
      <formula>"No"</formula>
    </cfRule>
  </conditionalFormatting>
  <conditionalFormatting sqref="F31">
    <cfRule type="cellIs" dxfId="29" priority="22" operator="lessThan">
      <formula>-0.03</formula>
    </cfRule>
  </conditionalFormatting>
  <conditionalFormatting sqref="F37">
    <cfRule type="cellIs" dxfId="28" priority="14" operator="equal">
      <formula>"Yes"</formula>
    </cfRule>
  </conditionalFormatting>
  <conditionalFormatting sqref="F39">
    <cfRule type="cellIs" dxfId="27" priority="21" operator="equal">
      <formula>"Yes"</formula>
    </cfRule>
  </conditionalFormatting>
  <conditionalFormatting sqref="F41">
    <cfRule type="cellIs" dxfId="26" priority="20" operator="equal">
      <formula>"Yes"</formula>
    </cfRule>
  </conditionalFormatting>
  <conditionalFormatting sqref="F43">
    <cfRule type="cellIs" dxfId="25" priority="19" operator="equal">
      <formula>"Yes"</formula>
    </cfRule>
  </conditionalFormatting>
  <conditionalFormatting sqref="F35">
    <cfRule type="cellIs" dxfId="24" priority="18" operator="equal">
      <formula>"No"</formula>
    </cfRule>
  </conditionalFormatting>
  <conditionalFormatting sqref="F50">
    <cfRule type="cellIs" dxfId="23" priority="16" operator="equal">
      <formula>"Yes"</formula>
    </cfRule>
  </conditionalFormatting>
  <conditionalFormatting sqref="F49">
    <cfRule type="cellIs" dxfId="22" priority="15" operator="equal">
      <formula>"Yes"</formula>
    </cfRule>
  </conditionalFormatting>
  <conditionalFormatting sqref="F45">
    <cfRule type="cellIs" dxfId="21" priority="13" operator="equal">
      <formula>"No"</formula>
    </cfRule>
  </conditionalFormatting>
  <conditionalFormatting sqref="F33">
    <cfRule type="cellIs" dxfId="20" priority="12" operator="equal">
      <formula>"Decrease"</formula>
    </cfRule>
  </conditionalFormatting>
  <conditionalFormatting sqref="F47">
    <cfRule type="expression" dxfId="19" priority="11">
      <formula>$D$47&gt;0</formula>
    </cfRule>
  </conditionalFormatting>
  <conditionalFormatting sqref="F51">
    <cfRule type="expression" dxfId="18" priority="10">
      <formula>M51&gt;0</formula>
    </cfRule>
  </conditionalFormatting>
  <conditionalFormatting sqref="F9">
    <cfRule type="expression" dxfId="17" priority="4">
      <formula>F9-L8&lt;0</formula>
    </cfRule>
  </conditionalFormatting>
  <conditionalFormatting sqref="F26">
    <cfRule type="cellIs" dxfId="16" priority="9" operator="lessThan">
      <formula>1</formula>
    </cfRule>
  </conditionalFormatting>
  <conditionalFormatting sqref="F10">
    <cfRule type="expression" dxfId="15" priority="8">
      <formula>$L$10&lt;0%</formula>
    </cfRule>
  </conditionalFormatting>
  <conditionalFormatting sqref="F11">
    <cfRule type="expression" dxfId="14" priority="6">
      <formula>$L$11&lt;8%</formula>
    </cfRule>
  </conditionalFormatting>
  <conditionalFormatting sqref="F12">
    <cfRule type="cellIs" dxfId="13" priority="3" operator="lessThan">
      <formula>0</formula>
    </cfRule>
  </conditionalFormatting>
  <conditionalFormatting sqref="F18">
    <cfRule type="expression" dxfId="12" priority="2">
      <formula>D18="Yes"</formula>
    </cfRule>
  </conditionalFormatting>
  <pageMargins left="0.25" right="0.25" top="0.05" bottom="0.05" header="0.3" footer="0.3"/>
  <pageSetup scale="65" fitToHeight="0" orientation="landscape" r:id="rId1"/>
  <rowBreaks count="4" manualBreakCount="4">
    <brk id="12" max="7" man="1"/>
    <brk id="18" max="7" man="1"/>
    <brk id="26" max="7" man="1"/>
    <brk id="41" max="7" man="1"/>
  </rowBreaks>
  <drawing r:id="rId2"/>
  <legacyDrawing r:id="rId3"/>
  <oleObjects>
    <mc:AlternateContent xmlns:mc="http://schemas.openxmlformats.org/markup-compatibility/2006">
      <mc:Choice Requires="x14">
        <oleObject progId="Excel.Sheet.12" shapeId="17409" r:id="rId4">
          <objectPr defaultSize="0" autoPict="0" r:id="rId5">
            <anchor moveWithCells="1">
              <from>
                <xdr:col>0</xdr:col>
                <xdr:colOff>289560</xdr:colOff>
                <xdr:row>5</xdr:row>
                <xdr:rowOff>251460</xdr:rowOff>
              </from>
              <to>
                <xdr:col>5</xdr:col>
                <xdr:colOff>480060</xdr:colOff>
                <xdr:row>6</xdr:row>
                <xdr:rowOff>1203960</xdr:rowOff>
              </to>
            </anchor>
          </objectPr>
        </oleObject>
      </mc:Choice>
      <mc:Fallback>
        <oleObject progId="Excel.Sheet.12" shapeId="1740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D8F8-0789-47C5-8DBB-AB7B88D9B55C}">
  <sheetPr codeName="Sheet6">
    <tabColor theme="3" tint="0.79998168889431442"/>
    <pageSetUpPr fitToPage="1"/>
  </sheetPr>
  <dimension ref="A1:BZ24"/>
  <sheetViews>
    <sheetView showGridLines="0" zoomScale="80" zoomScaleNormal="80" workbookViewId="0">
      <pane ySplit="4" topLeftCell="A5" activePane="bottomLeft" state="frozen"/>
      <selection pane="bottomLeft" activeCell="A12" sqref="A12"/>
    </sheetView>
  </sheetViews>
  <sheetFormatPr defaultColWidth="9.109375" defaultRowHeight="14.4" x14ac:dyDescent="0.3"/>
  <cols>
    <col min="1" max="1" width="44.5546875" style="504" customWidth="1"/>
    <col min="2" max="2" width="17.33203125" style="504" customWidth="1"/>
    <col min="3" max="3" width="17.88671875" style="504" customWidth="1"/>
    <col min="4" max="4" width="20.88671875" style="504" customWidth="1"/>
    <col min="5" max="5" width="16.109375" style="504" customWidth="1"/>
    <col min="6" max="6" width="14.88671875" style="504" customWidth="1"/>
    <col min="7" max="7" width="46.109375" style="511" customWidth="1"/>
    <col min="8" max="8" width="77.5546875" style="504" customWidth="1"/>
    <col min="9" max="9" width="34" style="504" customWidth="1"/>
    <col min="10" max="10" width="9.109375" style="504" customWidth="1"/>
    <col min="11" max="11" width="36.88671875" style="504" customWidth="1"/>
    <col min="12" max="12" width="15" style="504" customWidth="1"/>
    <col min="13" max="13" width="11.88671875" style="504" customWidth="1"/>
    <col min="14" max="24" width="9.109375" style="504" customWidth="1"/>
    <col min="25" max="25" width="9.109375" style="298" customWidth="1"/>
    <col min="26" max="26" width="36.88671875" style="562" hidden="1" customWidth="1"/>
    <col min="27" max="16384" width="9.109375" style="504"/>
  </cols>
  <sheetData>
    <row r="1" spans="1:78" x14ac:dyDescent="0.3">
      <c r="A1" s="505" t="s">
        <v>1050</v>
      </c>
      <c r="B1" s="506"/>
      <c r="C1" s="506"/>
      <c r="D1" s="506"/>
      <c r="E1" s="507" t="s">
        <v>1051</v>
      </c>
      <c r="F1" s="507">
        <v>2021</v>
      </c>
      <c r="G1" s="1286"/>
      <c r="H1" s="1287"/>
      <c r="I1" s="508"/>
      <c r="Z1" s="555" t="s">
        <v>1337</v>
      </c>
    </row>
    <row r="2" spans="1:78" ht="98.25" customHeight="1" x14ac:dyDescent="0.3">
      <c r="A2" s="509" t="s">
        <v>1133</v>
      </c>
      <c r="B2" s="1288" t="str">
        <f>'Unit Data from Audit Worksheet'!D2</f>
        <v>Select Unit Name from Drop Down List</v>
      </c>
      <c r="C2" s="1288"/>
      <c r="D2" s="1288"/>
      <c r="E2" s="1292" t="s">
        <v>1581</v>
      </c>
      <c r="F2" s="1292"/>
      <c r="G2" s="1292"/>
      <c r="H2" s="1289" t="s">
        <v>1344</v>
      </c>
      <c r="I2" s="510"/>
      <c r="J2" s="511"/>
      <c r="K2" s="512"/>
      <c r="Z2" s="162"/>
    </row>
    <row r="3" spans="1:78" ht="38.25" customHeight="1" x14ac:dyDescent="0.3">
      <c r="A3" s="513" t="s">
        <v>1052</v>
      </c>
      <c r="B3" s="1291" t="e">
        <f>'Unit Data from Audit Worksheet'!D3</f>
        <v>#N/A</v>
      </c>
      <c r="C3" s="1291"/>
      <c r="D3" s="1291"/>
      <c r="E3" s="1293"/>
      <c r="F3" s="1293"/>
      <c r="G3" s="1293"/>
      <c r="H3" s="1290"/>
      <c r="I3" s="508"/>
      <c r="K3" s="514" t="s">
        <v>1091</v>
      </c>
      <c r="Z3" s="162"/>
    </row>
    <row r="4" spans="1:78" ht="106.5" customHeight="1" x14ac:dyDescent="0.3">
      <c r="A4" s="569"/>
      <c r="B4" s="570">
        <v>2019</v>
      </c>
      <c r="C4" s="570">
        <v>2020</v>
      </c>
      <c r="D4" s="570">
        <v>2021</v>
      </c>
      <c r="E4" s="571" t="s">
        <v>1342</v>
      </c>
      <c r="F4" s="570" t="s">
        <v>1057</v>
      </c>
      <c r="G4" s="572"/>
      <c r="H4" s="570" t="s">
        <v>1053</v>
      </c>
      <c r="I4" s="571" t="s">
        <v>1381</v>
      </c>
      <c r="J4" s="515"/>
      <c r="Z4" s="162"/>
    </row>
    <row r="5" spans="1:78" x14ac:dyDescent="0.3">
      <c r="A5" s="565" t="s">
        <v>729</v>
      </c>
      <c r="B5" s="566"/>
      <c r="C5" s="566"/>
      <c r="D5" s="566"/>
      <c r="E5" s="567"/>
      <c r="F5" s="564"/>
      <c r="G5" s="567"/>
      <c r="H5" s="566"/>
      <c r="I5" s="568"/>
      <c r="J5" s="515"/>
      <c r="K5" s="517">
        <f>+(Import!$L$72+Import!$L$77+Import!$L$74-Import!$L$75-Import!$L$76)</f>
        <v>0</v>
      </c>
      <c r="L5" s="504" t="s">
        <v>1142</v>
      </c>
      <c r="Z5" s="557"/>
    </row>
    <row r="6" spans="1:78" ht="143.25" customHeight="1" x14ac:dyDescent="0.3">
      <c r="A6" s="396" t="s">
        <v>876</v>
      </c>
      <c r="B6" s="392" t="e">
        <f>HLOOKUP($B$3,'2019 Data(H)'!$E$2:$CQ$299,291,FALSE)</f>
        <v>#N/A</v>
      </c>
      <c r="C6" s="392" t="e">
        <f>HLOOKUP($B$2,'2020 Data(H)'!$E$1:$CR$399,339,FALSE)</f>
        <v>#N/A</v>
      </c>
      <c r="D6" s="392" t="str">
        <f>IFERROR((Import!$L$52+Import!$L$53-Import!$L$57-Import!$L$58-Import!$L$230-Import!$L$62+Import!$L$89)/(Import!$L$72+Import!$L$77+Import!$L$74-Import!$L$75-Import!$L$76),"")</f>
        <v/>
      </c>
      <c r="E6" s="542" t="b">
        <f>IF(K5&gt;10000000,"25% -- Average of similar units is 46%",IF(K5&gt;999999,"34% -- Average of similar units is 63%",IF(K5&gt;99999,"71% -- Average of similar units is 132%",IF(K5&gt;1,"100 %-- Average of similar units is 260%"))))</f>
        <v>0</v>
      </c>
      <c r="F6" s="940"/>
      <c r="G6" s="949" t="s">
        <v>1543</v>
      </c>
      <c r="H6" s="929" t="s">
        <v>1582</v>
      </c>
      <c r="I6" s="541"/>
      <c r="J6" s="515"/>
      <c r="K6" s="518" t="b">
        <f>IF($K$5&gt;10000000,"25%",IF($K$5&gt;999999,"34%",IF($K$5&gt;99999,"71%",IF($K$5&gt;1,"100%"))))</f>
        <v>0</v>
      </c>
      <c r="L6" s="519" t="e">
        <f>+D6-K6</f>
        <v>#VALUE!</v>
      </c>
      <c r="Z6" s="162" t="s">
        <v>1338</v>
      </c>
    </row>
    <row r="7" spans="1:78" ht="22.5" customHeight="1" x14ac:dyDescent="0.3">
      <c r="A7" s="396"/>
      <c r="B7" s="394"/>
      <c r="C7" s="394"/>
      <c r="D7" s="394"/>
      <c r="E7" s="542"/>
      <c r="F7" s="395"/>
      <c r="G7" s="540"/>
      <c r="H7" s="538"/>
      <c r="I7" s="958"/>
      <c r="J7" s="515"/>
      <c r="K7" s="543"/>
      <c r="L7" s="519"/>
      <c r="Z7" s="162"/>
    </row>
    <row r="8" spans="1:78" ht="137.25" customHeight="1" x14ac:dyDescent="0.3">
      <c r="A8" s="938" t="s">
        <v>1588</v>
      </c>
      <c r="B8" s="939" t="e">
        <f>HLOOKUP($B$3,'2019 Data(H)'!$E$2:$CQ$299,291,FALSE)</f>
        <v>#N/A</v>
      </c>
      <c r="C8" s="939" t="e">
        <f>HLOOKUP($B$2,'2020 Data(H)'!$E$1:$CR$399,339,FALSE)</f>
        <v>#N/A</v>
      </c>
      <c r="D8" s="939" t="str">
        <f>IFERROR((Import!$L$52+Import!$L$53-Import!$L$57-Import!$L$58-Import!$L$230-Import!$L$62+Import!$L$89)/(Import!$L$72+Import!$L$77+Import!$L$74-Import!$L$75-Import!$L$76),"")</f>
        <v/>
      </c>
      <c r="E8" s="955" t="str">
        <f>IF($K$5&gt;99999999,"16%--Median of simiar units is 32%","20%--Median of similar units is 39%")</f>
        <v>20%--Median of similar units is 39%</v>
      </c>
      <c r="F8" s="940"/>
      <c r="G8" s="950" t="s">
        <v>1058</v>
      </c>
      <c r="H8" s="951" t="s">
        <v>1309</v>
      </c>
      <c r="I8" s="941"/>
      <c r="J8" s="515"/>
      <c r="K8" s="558">
        <f>IF($K$5&gt;99999999,16%,20%)</f>
        <v>0.2</v>
      </c>
      <c r="L8" s="519" t="e">
        <f>+D8-K8</f>
        <v>#VALUE!</v>
      </c>
      <c r="Z8" s="162" t="s">
        <v>1544</v>
      </c>
    </row>
    <row r="9" spans="1:78" ht="120" customHeight="1" x14ac:dyDescent="0.3">
      <c r="A9" s="937" t="s">
        <v>1590</v>
      </c>
      <c r="B9" s="939" t="e">
        <f>HLOOKUP($B$3,'2019 Data(H)'!$E$2:$CQ$299,291,FALSE)</f>
        <v>#N/A</v>
      </c>
      <c r="C9" s="939" t="e">
        <f>HLOOKUP($B$2,'2020 Data(H)'!$E$1:$CR$399,339,FALSE)</f>
        <v>#N/A</v>
      </c>
      <c r="D9" s="939" t="str">
        <f>IFERROR((Import!$L$52+Import!$L$53-Import!$L$57-Import!$L$58-Import!$L$230-Import!$L$62+Import!$L$89)/(Import!$L$72+Import!$L$77+Import!$L$74-Import!$L$75-Import!$L$76),"")</f>
        <v/>
      </c>
      <c r="E9" s="955">
        <v>0.08</v>
      </c>
      <c r="F9" s="940" t="str">
        <f>+K9</f>
        <v/>
      </c>
      <c r="G9" s="950" t="s">
        <v>1058</v>
      </c>
      <c r="H9" s="951" t="s">
        <v>1586</v>
      </c>
      <c r="I9" s="537"/>
      <c r="J9" s="515"/>
      <c r="K9" s="939" t="str">
        <f>+IF(D9&gt;7.9999%,D9,"Less than 8%")</f>
        <v/>
      </c>
      <c r="L9" s="519"/>
      <c r="Z9" s="162"/>
    </row>
    <row r="10" spans="1:78" ht="152.25" customHeight="1" thickBot="1" x14ac:dyDescent="0.35">
      <c r="A10" s="937" t="s">
        <v>1085</v>
      </c>
      <c r="B10" s="569"/>
      <c r="C10" s="569"/>
      <c r="D10" s="942">
        <f>+Import!L65</f>
        <v>0</v>
      </c>
      <c r="E10" s="943"/>
      <c r="F10" s="942">
        <f>+D10</f>
        <v>0</v>
      </c>
      <c r="G10" s="548" t="s">
        <v>1086</v>
      </c>
      <c r="H10" s="548" t="s">
        <v>1311</v>
      </c>
      <c r="I10" s="536"/>
      <c r="J10" s="515"/>
      <c r="Z10" s="162" t="s">
        <v>1545</v>
      </c>
    </row>
    <row r="11" spans="1:78" ht="78" customHeight="1" x14ac:dyDescent="0.3">
      <c r="A11" s="556" t="s">
        <v>731</v>
      </c>
      <c r="B11" s="291">
        <f>+B4</f>
        <v>2019</v>
      </c>
      <c r="C11" s="291">
        <f>+C4</f>
        <v>2020</v>
      </c>
      <c r="D11" s="291">
        <f>+D4</f>
        <v>2021</v>
      </c>
      <c r="E11" s="523"/>
      <c r="F11" s="524"/>
      <c r="G11" s="1294" t="s">
        <v>1343</v>
      </c>
      <c r="H11" s="1295"/>
      <c r="I11" s="539"/>
      <c r="J11" s="515"/>
      <c r="K11" s="525" t="e">
        <f>HLOOKUP($B$3,'2019 Data(H)'!$E$2:$CQ$305,244,FALSE)</f>
        <v>#N/A</v>
      </c>
      <c r="L11" s="525" t="e">
        <f>HLOOKUP(B3,'2020 Data(H)'!E2:CR350,244,FALSE)</f>
        <v>#N/A</v>
      </c>
      <c r="M11" s="525" t="e">
        <f>Import!L268</f>
        <v>#N/A</v>
      </c>
      <c r="N11" s="526"/>
      <c r="O11" s="526"/>
      <c r="P11" s="526"/>
      <c r="Q11" s="526"/>
      <c r="R11" s="526"/>
      <c r="S11" s="526"/>
      <c r="T11" s="526"/>
      <c r="U11" s="526"/>
      <c r="V11" s="526"/>
      <c r="W11" s="526"/>
      <c r="X11" s="526"/>
      <c r="Z11" s="162"/>
      <c r="AA11" s="526"/>
      <c r="AB11" s="526"/>
      <c r="AC11" s="526"/>
      <c r="AD11" s="526"/>
      <c r="AE11" s="526"/>
      <c r="AF11" s="526"/>
      <c r="AG11" s="526"/>
      <c r="AH11" s="526"/>
      <c r="AI11" s="526"/>
      <c r="AJ11" s="526"/>
      <c r="AK11" s="526"/>
      <c r="AL11" s="526"/>
      <c r="AM11" s="526"/>
      <c r="AN11" s="526"/>
      <c r="AO11" s="526"/>
      <c r="AP11" s="526"/>
      <c r="AQ11" s="526"/>
      <c r="AR11" s="526"/>
      <c r="AS11" s="526"/>
      <c r="AT11" s="526"/>
      <c r="AU11" s="526"/>
      <c r="AV11" s="526"/>
      <c r="AW11" s="526"/>
      <c r="AX11" s="526"/>
      <c r="AY11" s="526"/>
      <c r="AZ11" s="526"/>
      <c r="BA11" s="526"/>
      <c r="BB11" s="526"/>
      <c r="BC11" s="526"/>
      <c r="BD11" s="526"/>
      <c r="BE11" s="526"/>
      <c r="BF11" s="526"/>
      <c r="BG11" s="526"/>
      <c r="BH11" s="526"/>
      <c r="BI11" s="526"/>
      <c r="BJ11" s="526"/>
      <c r="BK11" s="526"/>
      <c r="BL11" s="526"/>
      <c r="BM11" s="526"/>
      <c r="BN11" s="526"/>
      <c r="BO11" s="526"/>
      <c r="BP11" s="526"/>
      <c r="BQ11" s="526"/>
      <c r="BR11" s="526"/>
      <c r="BS11" s="526"/>
      <c r="BT11" s="526"/>
      <c r="BU11" s="526"/>
      <c r="BV11" s="526"/>
      <c r="BW11" s="526"/>
      <c r="BX11" s="526"/>
      <c r="BY11" s="526"/>
      <c r="BZ11" s="526"/>
    </row>
    <row r="12" spans="1:78" ht="119.4" customHeight="1" x14ac:dyDescent="0.3">
      <c r="A12" s="400" t="s">
        <v>728</v>
      </c>
      <c r="B12" s="546" t="e">
        <f>IF(K11=0,"Not Applicable",(K12))</f>
        <v>#N/A</v>
      </c>
      <c r="C12" s="546" t="e">
        <f>IF(L11=0,"Not Applicable",(L12))</f>
        <v>#N/A</v>
      </c>
      <c r="D12" s="546" t="e">
        <f>IF(M11=0,"Not Applicable",M12)</f>
        <v>#N/A</v>
      </c>
      <c r="E12" s="547" t="s">
        <v>1054</v>
      </c>
      <c r="F12" s="932" t="str">
        <f>M12</f>
        <v/>
      </c>
      <c r="G12" s="547" t="s">
        <v>1059</v>
      </c>
      <c r="H12" s="548" t="s">
        <v>1088</v>
      </c>
      <c r="I12" s="541"/>
      <c r="J12" s="515"/>
      <c r="K12" s="525" t="e">
        <f>HLOOKUP($B$3,'2019 Data(H)'!$E$2:$CQ$305,299,FALSE)</f>
        <v>#N/A</v>
      </c>
      <c r="L12" s="525" t="e">
        <f>HLOOKUP(B2,'2020 Data(H)'!E1:BT399,347,FALSE)</f>
        <v>#N/A</v>
      </c>
      <c r="M12" s="527" t="str">
        <f>IFERROR((Import!$L$120-Import!$L$121-Import!$L$118-Import!$L$119)/(Import!$L$124-Import!$L$125-Import!$L$126-Import!$L$127-Import!$L$128-Import!$L$129-Import!$L$123),"")</f>
        <v/>
      </c>
      <c r="Z12" s="162" t="s">
        <v>1339</v>
      </c>
    </row>
    <row r="13" spans="1:78" ht="69.599999999999994" customHeight="1" x14ac:dyDescent="0.3">
      <c r="A13" s="400" t="s">
        <v>1096</v>
      </c>
      <c r="B13" s="549" t="e">
        <f>IF(K11=0,"Not Applicable",K13)</f>
        <v>#N/A</v>
      </c>
      <c r="C13" s="398" t="e">
        <f>IF(L11=0,"Not Applicable",L13)</f>
        <v>#N/A</v>
      </c>
      <c r="D13" s="550" t="e">
        <f>IF(M11=0,"Not Applicable",M13)</f>
        <v>#N/A</v>
      </c>
      <c r="E13" s="547" t="s">
        <v>1347</v>
      </c>
      <c r="F13" s="933" t="e">
        <f>D13</f>
        <v>#N/A</v>
      </c>
      <c r="G13" s="547" t="s">
        <v>1692</v>
      </c>
      <c r="H13" s="548" t="s">
        <v>1089</v>
      </c>
      <c r="I13" s="541"/>
      <c r="J13" s="515"/>
      <c r="K13" s="269" t="e">
        <f>HLOOKUP(B3,'2019 Data(H)'!E2:BS305,300,FALSE)</f>
        <v>#N/A</v>
      </c>
      <c r="L13" s="269" t="e">
        <f>HLOOKUP(B2,'2020 Data(H)'!F1:CR399,348,FALSE)</f>
        <v>#N/A</v>
      </c>
      <c r="M13" s="925">
        <f>+Import!$L$153-Import!$L$155+Import!$L$154-Import!$L$182</f>
        <v>0</v>
      </c>
      <c r="Z13" s="162" t="s">
        <v>1339</v>
      </c>
    </row>
    <row r="14" spans="1:78" ht="109.95" customHeight="1" x14ac:dyDescent="0.3">
      <c r="A14" s="400" t="s">
        <v>1123</v>
      </c>
      <c r="B14" s="399" t="e">
        <f>IF(K11=0,"Not Applicable",K14)</f>
        <v>#N/A</v>
      </c>
      <c r="C14" s="399" t="e">
        <f>IF(L11=0,"Not Applicable",L14)</f>
        <v>#N/A</v>
      </c>
      <c r="D14" s="399" t="e">
        <f>IF(M11=0,"Not Applicable",M14)</f>
        <v>#N/A</v>
      </c>
      <c r="E14" s="547" t="s">
        <v>1578</v>
      </c>
      <c r="F14" s="393" t="e">
        <f>D14</f>
        <v>#N/A</v>
      </c>
      <c r="G14" s="547" t="s">
        <v>1100</v>
      </c>
      <c r="H14" s="548" t="s">
        <v>1310</v>
      </c>
      <c r="I14" s="541"/>
      <c r="J14" s="515"/>
      <c r="K14" s="270" t="e">
        <f>HLOOKUP(B3,'2019 Data(H)'!E2:CQ305,301,FALSE)</f>
        <v>#N/A</v>
      </c>
      <c r="L14" s="270" t="e">
        <f>HLOOKUP(B2,'2020 Data(H)'!F1:CR399,349,FALSE)</f>
        <v>#N/A</v>
      </c>
      <c r="M14" s="270" t="str">
        <f>IFERROR(Import!L116/(Import!L155+Import!L158-Import!L154+Import!L182),"")</f>
        <v/>
      </c>
      <c r="Z14" s="162" t="s">
        <v>1339</v>
      </c>
    </row>
    <row r="15" spans="1:78" ht="99.75" customHeight="1" thickBot="1" x14ac:dyDescent="0.35">
      <c r="A15" s="1284" t="s">
        <v>1579</v>
      </c>
      <c r="B15" s="1285"/>
      <c r="C15" s="1285"/>
      <c r="D15" s="926" t="str">
        <f>IF(K15&lt;0,"Yes","No")</f>
        <v>No</v>
      </c>
      <c r="E15" s="957"/>
      <c r="F15" s="927" t="str">
        <f>D15</f>
        <v>No</v>
      </c>
      <c r="G15" s="544" t="s">
        <v>1580</v>
      </c>
      <c r="H15" s="551" t="s">
        <v>1090</v>
      </c>
      <c r="I15" s="545"/>
      <c r="J15" s="515"/>
      <c r="K15" s="290">
        <f>((Import!L158+Import!L155)*0.03)-Import!L161</f>
        <v>0</v>
      </c>
      <c r="Z15" s="162" t="s">
        <v>1339</v>
      </c>
    </row>
    <row r="16" spans="1:78" ht="37.5" customHeight="1" thickBot="1" x14ac:dyDescent="0.35">
      <c r="A16" s="289"/>
      <c r="B16" s="520"/>
      <c r="C16" s="520"/>
      <c r="D16" s="520"/>
      <c r="E16" s="521"/>
      <c r="F16" s="520"/>
      <c r="G16" s="522"/>
      <c r="H16" s="520"/>
      <c r="I16" s="520"/>
      <c r="Z16" s="559"/>
    </row>
    <row r="17" spans="1:26" ht="116.25" customHeight="1" thickBot="1" x14ac:dyDescent="0.35">
      <c r="A17" s="516" t="s">
        <v>730</v>
      </c>
      <c r="B17" s="292">
        <f>+B4</f>
        <v>2019</v>
      </c>
      <c r="C17" s="292">
        <f>+C4</f>
        <v>2020</v>
      </c>
      <c r="D17" s="292">
        <f>+D4</f>
        <v>2021</v>
      </c>
      <c r="E17" s="528"/>
      <c r="F17" s="529"/>
      <c r="G17" s="563" t="s">
        <v>1122</v>
      </c>
      <c r="H17" s="930" t="s">
        <v>1087</v>
      </c>
      <c r="I17" s="530"/>
      <c r="J17" s="515"/>
      <c r="K17" s="525" t="e">
        <f>HLOOKUP(B3,'2019 Data(H)'!E2:CQ310,243,FALSE)</f>
        <v>#N/A</v>
      </c>
      <c r="L17" s="272" t="e">
        <f>HLOOKUP(B3,'2020 Data(H)'!E2:CR350,243,FALSE)</f>
        <v>#N/A</v>
      </c>
      <c r="M17" s="531" t="e">
        <f>+Import!L267</f>
        <v>#N/A</v>
      </c>
      <c r="Z17" s="557"/>
    </row>
    <row r="18" spans="1:26" ht="78" customHeight="1" x14ac:dyDescent="0.3">
      <c r="A18" s="293" t="s">
        <v>728</v>
      </c>
      <c r="B18" s="532" t="e">
        <f>IF(K17=0,"Not Applicable",K18)</f>
        <v>#N/A</v>
      </c>
      <c r="C18" s="532" t="e">
        <f>IF(L17=0,"Not Applicable",L18)</f>
        <v>#N/A</v>
      </c>
      <c r="D18" s="532" t="e">
        <f>IF(M17=0,"Not Applicable",M18)</f>
        <v>#N/A</v>
      </c>
      <c r="E18" s="547" t="s">
        <v>1054</v>
      </c>
      <c r="F18" s="934" t="str">
        <f>+M18</f>
        <v/>
      </c>
      <c r="G18" s="945" t="s">
        <v>1107</v>
      </c>
      <c r="H18" s="946" t="s">
        <v>1088</v>
      </c>
      <c r="I18" s="541"/>
      <c r="J18" s="515"/>
      <c r="K18" s="272" t="e">
        <f>HLOOKUP(B3,'2019 Data(H)'!E2:CQ310,302,FALSE)</f>
        <v>#N/A</v>
      </c>
      <c r="L18" s="525" t="e">
        <f>HLOOKUP(B2,'2020 Data(H)'!F1:CR399,350,FALSE)</f>
        <v>#N/A</v>
      </c>
      <c r="M18" s="525" t="str">
        <f>IFERROR((Import!L138-Import!L139-Import!L137-Import!L136)/(Import!L143-Import!L144-Import!L145-Import!L146-Import!L147-Import!L148-Import!L142),"")</f>
        <v/>
      </c>
      <c r="Z18" s="560" t="s">
        <v>1340</v>
      </c>
    </row>
    <row r="19" spans="1:26" ht="60.75" customHeight="1" x14ac:dyDescent="0.3">
      <c r="A19" s="287" t="s">
        <v>1096</v>
      </c>
      <c r="B19" s="380" t="e">
        <f>IF(K17=0,"Not Applicable",K19)</f>
        <v>#N/A</v>
      </c>
      <c r="C19" s="380" t="e">
        <f>IF(L17=0,"Not Applicable",L19)</f>
        <v>#N/A</v>
      </c>
      <c r="D19" s="380" t="e">
        <f>IF(M17=0,"Not Applicable",M19)</f>
        <v>#N/A</v>
      </c>
      <c r="E19" s="547" t="s">
        <v>1347</v>
      </c>
      <c r="F19" s="935" t="e">
        <f>D19</f>
        <v>#N/A</v>
      </c>
      <c r="G19" s="945" t="s">
        <v>1693</v>
      </c>
      <c r="H19" s="946" t="s">
        <v>1089</v>
      </c>
      <c r="I19" s="541"/>
      <c r="J19" s="515"/>
      <c r="K19" s="269" t="e">
        <f>HLOOKUP(B3,'2019 Data(H)'!E2:CQ310,303,FALSE)</f>
        <v>#N/A</v>
      </c>
      <c r="L19" s="269" t="e">
        <f>HLOOKUP(B2,'2020 Data(H)'!F1:CR399,351,FALSE)</f>
        <v>#N/A</v>
      </c>
      <c r="M19" s="269">
        <f>+Import!L168-Import!L171+Import!L170-Import!L185</f>
        <v>0</v>
      </c>
      <c r="Z19" s="560" t="s">
        <v>1340</v>
      </c>
    </row>
    <row r="20" spans="1:26" ht="88.5" customHeight="1" thickBot="1" x14ac:dyDescent="0.35">
      <c r="A20" s="294" t="s">
        <v>1123</v>
      </c>
      <c r="B20" s="381" t="e">
        <f>IF(K17=0,"Not Applicable",K20)</f>
        <v>#N/A</v>
      </c>
      <c r="C20" s="381" t="e">
        <f>IF(L17=0,"Not Applicable",L20)</f>
        <v>#N/A</v>
      </c>
      <c r="D20" s="381" t="e">
        <f>IF(M17=0,"Not Applicable",M20)</f>
        <v>#N/A</v>
      </c>
      <c r="E20" s="956" t="s">
        <v>1578</v>
      </c>
      <c r="F20" s="936" t="str">
        <f>+M20</f>
        <v/>
      </c>
      <c r="G20" s="948" t="s">
        <v>1112</v>
      </c>
      <c r="H20" s="947" t="s">
        <v>1310</v>
      </c>
      <c r="I20" s="545"/>
      <c r="J20" s="515"/>
      <c r="K20" s="270" t="e">
        <f>HLOOKUP(B3,'2019 Data(H)'!E2:CQ310,304,FALSE)</f>
        <v>#N/A</v>
      </c>
      <c r="L20" s="270" t="e">
        <f>HLOOKUP(B2,'2020 Data(H)'!F1:CR399,352,FALSE)</f>
        <v>#N/A</v>
      </c>
      <c r="M20" s="270" t="str">
        <f>IFERROR(Import!L134/(Import!L174+Import!L171-Import!L170+Import!L185),"")</f>
        <v/>
      </c>
      <c r="Z20" s="560" t="s">
        <v>1340</v>
      </c>
    </row>
    <row r="21" spans="1:26" ht="15.75" customHeight="1" x14ac:dyDescent="0.3">
      <c r="A21" s="401"/>
      <c r="B21" s="402"/>
      <c r="C21" s="402"/>
      <c r="D21" s="402"/>
      <c r="E21" s="552"/>
      <c r="F21" s="553"/>
      <c r="G21" s="554"/>
      <c r="H21" s="554"/>
      <c r="I21" s="953"/>
      <c r="J21" s="515"/>
      <c r="K21" s="270"/>
      <c r="L21" s="270"/>
      <c r="M21" s="270"/>
      <c r="Z21" s="560"/>
    </row>
    <row r="22" spans="1:26" ht="50.25" customHeight="1" x14ac:dyDescent="0.3">
      <c r="A22" s="954" t="s">
        <v>1345</v>
      </c>
      <c r="B22" s="402"/>
      <c r="C22" s="402"/>
      <c r="D22" s="402"/>
      <c r="E22" s="552"/>
      <c r="F22" s="553"/>
      <c r="G22" s="554"/>
      <c r="H22" s="554"/>
      <c r="I22" s="953"/>
      <c r="J22" s="515"/>
      <c r="K22" s="270"/>
      <c r="L22" s="270"/>
      <c r="M22" s="270"/>
      <c r="Z22" s="560"/>
    </row>
    <row r="23" spans="1:26" ht="88.5" customHeight="1" x14ac:dyDescent="0.3">
      <c r="A23" s="397" t="s">
        <v>728</v>
      </c>
      <c r="B23" s="403"/>
      <c r="C23" s="403"/>
      <c r="D23" s="960" t="str">
        <f>+M23</f>
        <v/>
      </c>
      <c r="E23" s="547" t="s">
        <v>1054</v>
      </c>
      <c r="F23" s="959" t="str">
        <f>+M23</f>
        <v/>
      </c>
      <c r="G23" s="548" t="s">
        <v>1587</v>
      </c>
      <c r="H23" s="548" t="s">
        <v>1088</v>
      </c>
      <c r="I23" s="537"/>
      <c r="J23" s="515"/>
      <c r="K23" s="270">
        <v>1000</v>
      </c>
      <c r="L23" s="270"/>
      <c r="M23" s="952" t="str">
        <f>IFERROR((+Import!L94-Import!L93)/Import!L95,"")</f>
        <v/>
      </c>
      <c r="Z23" s="560" t="s">
        <v>1346</v>
      </c>
    </row>
    <row r="24" spans="1:26" x14ac:dyDescent="0.3">
      <c r="A24" s="288"/>
      <c r="B24" s="533"/>
      <c r="C24" s="533"/>
      <c r="D24" s="533"/>
      <c r="E24" s="534"/>
      <c r="F24" s="533"/>
      <c r="G24" s="535"/>
      <c r="H24" s="533"/>
      <c r="I24" s="533"/>
      <c r="M24" s="276"/>
      <c r="Z24" s="561"/>
    </row>
  </sheetData>
  <sheetProtection algorithmName="SHA-512" hashValue="9dzFfjIaOEqApUPveUI85aMVKYf9lpCOwBzVzDrCeCfEIFNt1KFRDFknAJwIjhpWIYlshGHY4mProxEHdsavHA==" saltValue="i2mTJXcSCqkOI2H3a6YZ0Q==" spinCount="100000" sheet="1" objects="1" scenarios="1"/>
  <mergeCells count="7">
    <mergeCell ref="A15:C15"/>
    <mergeCell ref="G1:H1"/>
    <mergeCell ref="B2:D2"/>
    <mergeCell ref="H2:H3"/>
    <mergeCell ref="B3:D3"/>
    <mergeCell ref="E2:G3"/>
    <mergeCell ref="G11:H11"/>
  </mergeCells>
  <conditionalFormatting sqref="F12">
    <cfRule type="cellIs" dxfId="11" priority="50" operator="lessThan">
      <formula>1</formula>
    </cfRule>
  </conditionalFormatting>
  <conditionalFormatting sqref="F13">
    <cfRule type="cellIs" dxfId="10" priority="49" operator="lessThan">
      <formula>0</formula>
    </cfRule>
  </conditionalFormatting>
  <conditionalFormatting sqref="F14">
    <cfRule type="cellIs" dxfId="9" priority="48" operator="lessThan">
      <formula>0.16</formula>
    </cfRule>
  </conditionalFormatting>
  <conditionalFormatting sqref="F18">
    <cfRule type="cellIs" dxfId="8" priority="43" operator="lessThan">
      <formula>1</formula>
    </cfRule>
  </conditionalFormatting>
  <conditionalFormatting sqref="F19">
    <cfRule type="cellIs" dxfId="7" priority="42" operator="lessThan">
      <formula>0</formula>
    </cfRule>
  </conditionalFormatting>
  <conditionalFormatting sqref="F20">
    <cfRule type="cellIs" dxfId="6" priority="41" operator="lessThan">
      <formula>0.16</formula>
    </cfRule>
  </conditionalFormatting>
  <conditionalFormatting sqref="F10">
    <cfRule type="cellIs" dxfId="5" priority="30" operator="lessThan">
      <formula>0</formula>
    </cfRule>
  </conditionalFormatting>
  <conditionalFormatting sqref="F15">
    <cfRule type="cellIs" dxfId="4" priority="8" operator="equal">
      <formula>"Yes"</formula>
    </cfRule>
  </conditionalFormatting>
  <conditionalFormatting sqref="F9">
    <cfRule type="cellIs" dxfId="3" priority="6" operator="equal">
      <formula>"Less than 8%"</formula>
    </cfRule>
  </conditionalFormatting>
  <conditionalFormatting sqref="F23">
    <cfRule type="cellIs" dxfId="2" priority="5" operator="lessThan">
      <formula>1</formula>
    </cfRule>
  </conditionalFormatting>
  <conditionalFormatting sqref="F8">
    <cfRule type="cellIs" dxfId="1" priority="3" operator="lessThan">
      <formula>$L$8&lt;0%</formula>
    </cfRule>
  </conditionalFormatting>
  <conditionalFormatting sqref="F6">
    <cfRule type="cellIs" dxfId="0" priority="1" operator="lessThan">
      <formula>$L$8&lt;0%</formula>
    </cfRule>
  </conditionalFormatting>
  <pageMargins left="0.25" right="0.25" top="0.75" bottom="0.75" header="0.3" footer="0.3"/>
  <pageSetup scale="4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3" tint="0.79998168889431442"/>
  </sheetPr>
  <dimension ref="A2:H41"/>
  <sheetViews>
    <sheetView showGridLines="0" workbookViewId="0">
      <selection activeCell="F2" sqref="F2"/>
    </sheetView>
  </sheetViews>
  <sheetFormatPr defaultColWidth="9.109375" defaultRowHeight="14.4" x14ac:dyDescent="0.3"/>
  <cols>
    <col min="1" max="1" width="9.109375" style="298"/>
    <col min="2" max="2" width="10.44140625" style="298" bestFit="1" customWidth="1"/>
    <col min="3" max="3" width="29.88671875" style="298" customWidth="1"/>
    <col min="4" max="4" width="40.5546875" style="298" customWidth="1"/>
    <col min="5" max="5" width="3.6640625" style="298" customWidth="1"/>
    <col min="6" max="6" width="13.44140625" style="298" customWidth="1"/>
    <col min="7" max="7" width="3.5546875" style="298" customWidth="1"/>
    <col min="8" max="8" width="14.109375" style="298" customWidth="1"/>
    <col min="9" max="16384" width="9.109375" style="298"/>
  </cols>
  <sheetData>
    <row r="2" spans="1:8" ht="54.75" customHeight="1" x14ac:dyDescent="0.3">
      <c r="A2" s="1299" t="s">
        <v>112</v>
      </c>
      <c r="B2" s="1299"/>
      <c r="C2" s="1299"/>
      <c r="D2" s="1299"/>
      <c r="E2" s="1299"/>
      <c r="F2" s="465"/>
      <c r="G2" s="465"/>
      <c r="H2" s="466"/>
    </row>
    <row r="4" spans="1:8" ht="15.6" x14ac:dyDescent="0.3">
      <c r="A4" s="466"/>
      <c r="B4" s="467" t="str">
        <f>'Unit Data from Audit Worksheet'!D2</f>
        <v>Select Unit Name from Drop Down List</v>
      </c>
      <c r="C4" s="468"/>
      <c r="D4" s="19"/>
      <c r="E4" s="20"/>
      <c r="F4" s="469">
        <f>'Unit Data from Audit Worksheet'!F5</f>
        <v>2021</v>
      </c>
      <c r="G4" s="466"/>
      <c r="H4" s="469">
        <f>'Unit Data from Audit Worksheet'!F5</f>
        <v>2021</v>
      </c>
    </row>
    <row r="5" spans="1:8" ht="41.4" x14ac:dyDescent="0.4">
      <c r="A5" s="470"/>
      <c r="B5" s="471" t="s">
        <v>72</v>
      </c>
      <c r="C5" s="470"/>
      <c r="D5" s="470"/>
      <c r="E5" s="470"/>
      <c r="F5" s="469" t="s">
        <v>73</v>
      </c>
      <c r="G5" s="470"/>
      <c r="H5" s="472" t="s">
        <v>74</v>
      </c>
    </row>
    <row r="6" spans="1:8" x14ac:dyDescent="0.3">
      <c r="A6" s="466"/>
      <c r="B6" s="473" t="s">
        <v>75</v>
      </c>
      <c r="C6" s="466"/>
      <c r="D6" s="474"/>
      <c r="E6" s="474"/>
      <c r="F6" s="474"/>
      <c r="G6" s="474"/>
      <c r="H6" s="474"/>
    </row>
    <row r="7" spans="1:8" x14ac:dyDescent="0.3">
      <c r="A7" s="466"/>
      <c r="B7" s="474" t="s">
        <v>76</v>
      </c>
      <c r="C7" s="466"/>
      <c r="D7" s="474"/>
      <c r="E7" s="474" t="s">
        <v>31</v>
      </c>
      <c r="F7" s="475">
        <f>Import!L52</f>
        <v>0</v>
      </c>
      <c r="G7" s="476"/>
      <c r="H7" s="475">
        <f>F7</f>
        <v>0</v>
      </c>
    </row>
    <row r="8" spans="1:8" ht="44.25" customHeight="1" x14ac:dyDescent="0.3">
      <c r="A8" s="466"/>
      <c r="B8" s="1296" t="s">
        <v>77</v>
      </c>
      <c r="C8" s="1296"/>
      <c r="D8" s="1296"/>
      <c r="E8" s="474" t="s">
        <v>31</v>
      </c>
      <c r="F8" s="477">
        <f>Import!L53</f>
        <v>0</v>
      </c>
      <c r="G8" s="478"/>
      <c r="H8" s="478"/>
    </row>
    <row r="9" spans="1:8" x14ac:dyDescent="0.3">
      <c r="A9" s="466"/>
      <c r="B9" s="466"/>
      <c r="C9" s="474" t="s">
        <v>181</v>
      </c>
      <c r="D9" s="466"/>
      <c r="E9" s="474" t="s">
        <v>31</v>
      </c>
      <c r="F9" s="479">
        <f>Import!L57</f>
        <v>0</v>
      </c>
      <c r="G9" s="478"/>
      <c r="H9" s="464">
        <f>F9</f>
        <v>0</v>
      </c>
    </row>
    <row r="10" spans="1:8" x14ac:dyDescent="0.3">
      <c r="A10" s="466"/>
      <c r="B10" s="466"/>
      <c r="C10" s="474" t="s">
        <v>78</v>
      </c>
      <c r="D10" s="466"/>
      <c r="E10" s="474" t="s">
        <v>31</v>
      </c>
      <c r="F10" s="464">
        <f>Import!L230</f>
        <v>0</v>
      </c>
      <c r="G10" s="478"/>
      <c r="H10" s="464">
        <f>F10</f>
        <v>0</v>
      </c>
    </row>
    <row r="11" spans="1:8" x14ac:dyDescent="0.3">
      <c r="A11" s="466"/>
      <c r="B11" s="466"/>
      <c r="C11" s="474" t="s">
        <v>79</v>
      </c>
      <c r="D11" s="466"/>
      <c r="E11" s="474" t="s">
        <v>31</v>
      </c>
      <c r="F11" s="480">
        <f>Import!L58</f>
        <v>0</v>
      </c>
      <c r="G11" s="481"/>
      <c r="H11" s="480">
        <f>F11</f>
        <v>0</v>
      </c>
    </row>
    <row r="12" spans="1:8" x14ac:dyDescent="0.3">
      <c r="A12" s="466"/>
      <c r="B12" s="21" t="s">
        <v>80</v>
      </c>
      <c r="C12" s="482" t="s">
        <v>81</v>
      </c>
      <c r="D12" s="483"/>
      <c r="E12" s="484" t="s">
        <v>31</v>
      </c>
      <c r="F12" s="485">
        <f>F7+F8-SUM(F9:F11)</f>
        <v>0</v>
      </c>
      <c r="G12" s="486"/>
      <c r="H12" s="485">
        <f>H7+H8-SUM(H9:H11)</f>
        <v>0</v>
      </c>
    </row>
    <row r="13" spans="1:8" x14ac:dyDescent="0.3">
      <c r="A13" s="466"/>
      <c r="B13" s="466"/>
      <c r="C13" s="474"/>
      <c r="D13" s="474"/>
      <c r="E13" s="474" t="s">
        <v>31</v>
      </c>
      <c r="F13" s="474"/>
      <c r="G13" s="474"/>
      <c r="H13" s="474"/>
    </row>
    <row r="14" spans="1:8" x14ac:dyDescent="0.3">
      <c r="A14" s="466"/>
      <c r="B14" s="474" t="s">
        <v>82</v>
      </c>
      <c r="C14" s="466"/>
      <c r="D14" s="474"/>
      <c r="E14" s="474" t="s">
        <v>31</v>
      </c>
      <c r="F14" s="487">
        <f>Import!L65</f>
        <v>0</v>
      </c>
      <c r="G14" s="474"/>
      <c r="H14" s="474"/>
    </row>
    <row r="15" spans="1:8" x14ac:dyDescent="0.3">
      <c r="A15" s="466"/>
      <c r="B15" s="474" t="s">
        <v>83</v>
      </c>
      <c r="C15" s="466"/>
      <c r="D15" s="474"/>
      <c r="E15" s="474" t="s">
        <v>31</v>
      </c>
      <c r="F15" s="488">
        <f>F14-F12</f>
        <v>0</v>
      </c>
      <c r="G15" s="474"/>
      <c r="H15" s="474"/>
    </row>
    <row r="16" spans="1:8" x14ac:dyDescent="0.3">
      <c r="A16" s="466"/>
      <c r="B16" s="489" t="s">
        <v>84</v>
      </c>
      <c r="C16" s="466"/>
      <c r="D16" s="474"/>
      <c r="E16" s="474"/>
      <c r="F16" s="474"/>
      <c r="G16" s="474"/>
      <c r="H16" s="474"/>
    </row>
    <row r="17" spans="2:8" x14ac:dyDescent="0.3">
      <c r="B17" s="490" t="s">
        <v>85</v>
      </c>
      <c r="C17" s="474" t="s">
        <v>86</v>
      </c>
      <c r="D17" s="466"/>
      <c r="E17" s="474" t="s">
        <v>31</v>
      </c>
      <c r="F17" s="491">
        <f>Import!L61</f>
        <v>0</v>
      </c>
      <c r="G17" s="474"/>
      <c r="H17" s="474"/>
    </row>
    <row r="18" spans="2:8" ht="15" thickBot="1" x14ac:dyDescent="0.35">
      <c r="B18" s="21" t="s">
        <v>80</v>
      </c>
      <c r="C18" s="482" t="s">
        <v>87</v>
      </c>
      <c r="D18" s="483"/>
      <c r="E18" s="484" t="s">
        <v>31</v>
      </c>
      <c r="F18" s="492">
        <f>(F15-SUM(F17:F17))</f>
        <v>0</v>
      </c>
      <c r="G18" s="474"/>
      <c r="H18" s="474"/>
    </row>
    <row r="19" spans="2:8" ht="15" thickTop="1" x14ac:dyDescent="0.3">
      <c r="B19" s="466"/>
      <c r="C19" s="474"/>
      <c r="D19" s="474"/>
      <c r="E19" s="474"/>
      <c r="F19" s="474"/>
      <c r="G19" s="474"/>
      <c r="H19" s="474"/>
    </row>
    <row r="20" spans="2:8" ht="15" thickBot="1" x14ac:dyDescent="0.35">
      <c r="B20" s="474" t="s">
        <v>88</v>
      </c>
      <c r="C20" s="466"/>
      <c r="D20" s="474"/>
      <c r="E20" s="474" t="s">
        <v>31</v>
      </c>
      <c r="F20" s="493">
        <f>Import!L60</f>
        <v>0</v>
      </c>
      <c r="G20" s="474"/>
      <c r="H20" s="474"/>
    </row>
    <row r="21" spans="2:8" ht="15.6" thickTop="1" thickBot="1" x14ac:dyDescent="0.35">
      <c r="B21" s="466"/>
      <c r="C21" s="494"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466"/>
      <c r="E21" s="474" t="s">
        <v>31</v>
      </c>
      <c r="F21" s="495">
        <f>ABS(F18-F20)</f>
        <v>0</v>
      </c>
      <c r="G21" s="474"/>
      <c r="H21" s="474"/>
    </row>
    <row r="22" spans="2:8" ht="50.25" customHeight="1" thickTop="1" x14ac:dyDescent="0.3">
      <c r="B22" s="466"/>
      <c r="C22" s="1297" t="str">
        <f>IF(F18&gt;F20,"Since Restricted-Stabilization by State Statute was understated, verfiy that the unit did not appropriate fund balance in excess of legal amount available in row 12 above.","")</f>
        <v/>
      </c>
      <c r="D22" s="1297"/>
      <c r="E22" s="1297"/>
      <c r="F22" s="1297"/>
      <c r="G22" s="474"/>
      <c r="H22" s="474"/>
    </row>
    <row r="23" spans="2:8" x14ac:dyDescent="0.3">
      <c r="B23" s="466"/>
      <c r="C23" s="1298" t="s">
        <v>89</v>
      </c>
      <c r="D23" s="474"/>
      <c r="E23" s="474"/>
      <c r="F23" s="474"/>
      <c r="G23" s="474"/>
      <c r="H23" s="496" t="s">
        <v>90</v>
      </c>
    </row>
    <row r="24" spans="2:8" x14ac:dyDescent="0.3">
      <c r="B24" s="466"/>
      <c r="C24" s="1298"/>
      <c r="D24" s="474"/>
      <c r="E24" s="474"/>
      <c r="F24" s="469" t="s">
        <v>91</v>
      </c>
      <c r="G24" s="474"/>
      <c r="H24" s="469" t="s">
        <v>99</v>
      </c>
    </row>
    <row r="25" spans="2:8" x14ac:dyDescent="0.3">
      <c r="B25" s="466"/>
      <c r="C25" s="473" t="s">
        <v>92</v>
      </c>
      <c r="D25" s="474"/>
      <c r="E25" s="474"/>
      <c r="F25" s="474"/>
      <c r="G25" s="474"/>
      <c r="H25" s="474"/>
    </row>
    <row r="26" spans="2:8" ht="25.2" customHeight="1" x14ac:dyDescent="0.3">
      <c r="B26" s="466"/>
      <c r="C26" s="474" t="s">
        <v>93</v>
      </c>
      <c r="D26" s="474"/>
      <c r="E26" s="474" t="s">
        <v>31</v>
      </c>
      <c r="F26" s="475">
        <f>Import!L72</f>
        <v>0</v>
      </c>
      <c r="G26" s="476"/>
      <c r="H26" s="497">
        <f>F26</f>
        <v>0</v>
      </c>
    </row>
    <row r="27" spans="2:8" x14ac:dyDescent="0.3">
      <c r="B27" s="466"/>
      <c r="C27" s="490" t="s">
        <v>94</v>
      </c>
      <c r="D27" s="474"/>
      <c r="E27" s="474"/>
      <c r="F27" s="474"/>
      <c r="G27" s="474"/>
      <c r="H27" s="474"/>
    </row>
    <row r="28" spans="2:8" x14ac:dyDescent="0.3">
      <c r="B28" s="466"/>
      <c r="C28" s="474" t="s">
        <v>95</v>
      </c>
      <c r="D28" s="466"/>
      <c r="E28" s="474" t="s">
        <v>31</v>
      </c>
      <c r="F28" s="498">
        <f>Import!L74</f>
        <v>0</v>
      </c>
      <c r="G28" s="478"/>
      <c r="H28" s="499">
        <f>F28</f>
        <v>0</v>
      </c>
    </row>
    <row r="29" spans="2:8" x14ac:dyDescent="0.3">
      <c r="B29" s="466"/>
      <c r="C29" s="474" t="s">
        <v>96</v>
      </c>
      <c r="D29" s="466"/>
      <c r="E29" s="474" t="s">
        <v>31</v>
      </c>
      <c r="F29" s="500">
        <f>Import!L75+Import!L76</f>
        <v>0</v>
      </c>
      <c r="G29" s="478"/>
      <c r="H29" s="501">
        <f>F29</f>
        <v>0</v>
      </c>
    </row>
    <row r="30" spans="2:8" ht="15" thickBot="1" x14ac:dyDescent="0.35">
      <c r="B30" s="466"/>
      <c r="C30" s="474" t="s">
        <v>97</v>
      </c>
      <c r="D30" s="474"/>
      <c r="E30" s="474" t="s">
        <v>31</v>
      </c>
      <c r="F30" s="502">
        <f>SUM(F26:F28)-F29</f>
        <v>0</v>
      </c>
      <c r="G30" s="476"/>
      <c r="H30" s="502">
        <f>SUM(H26:H28)-H29</f>
        <v>0</v>
      </c>
    </row>
    <row r="31" spans="2:8" ht="15" thickTop="1" x14ac:dyDescent="0.3">
      <c r="B31" s="466"/>
      <c r="C31" s="474"/>
      <c r="D31" s="474"/>
      <c r="E31" s="474"/>
      <c r="F31" s="474"/>
      <c r="G31" s="474"/>
      <c r="H31" s="474"/>
    </row>
    <row r="32" spans="2:8" ht="15" thickBot="1" x14ac:dyDescent="0.35">
      <c r="B32" s="21" t="s">
        <v>80</v>
      </c>
      <c r="C32" s="494" t="s">
        <v>98</v>
      </c>
      <c r="D32" s="21"/>
      <c r="E32" s="494" t="s">
        <v>31</v>
      </c>
      <c r="F32" s="503" t="e">
        <f>F12/F30</f>
        <v>#DIV/0!</v>
      </c>
      <c r="G32" s="474"/>
      <c r="H32" s="503" t="e">
        <f>H12/H30</f>
        <v>#DIV/0!</v>
      </c>
    </row>
    <row r="33" spans="1:8" ht="15" thickTop="1" x14ac:dyDescent="0.3">
      <c r="C33" s="474"/>
      <c r="D33" s="474"/>
      <c r="E33" s="474"/>
      <c r="F33" s="474"/>
      <c r="G33" s="474"/>
      <c r="H33" s="474"/>
    </row>
    <row r="34" spans="1:8" ht="15.6" x14ac:dyDescent="0.3">
      <c r="A34" s="23"/>
      <c r="C34" s="22"/>
    </row>
    <row r="36" spans="1:8" x14ac:dyDescent="0.3">
      <c r="F36" s="299"/>
    </row>
    <row r="37" spans="1:8" x14ac:dyDescent="0.3">
      <c r="F37" s="130"/>
    </row>
    <row r="38" spans="1:8" x14ac:dyDescent="0.3">
      <c r="F38" s="130"/>
    </row>
    <row r="39" spans="1:8" x14ac:dyDescent="0.3">
      <c r="F39" s="130"/>
    </row>
    <row r="40" spans="1:8" x14ac:dyDescent="0.3">
      <c r="F40" s="130"/>
    </row>
    <row r="41" spans="1:8" x14ac:dyDescent="0.3">
      <c r="F41" s="130"/>
    </row>
  </sheetData>
  <sheetProtection algorithmName="SHA-512" hashValue="uhfBl+lZAygvVgXMHQ2BmtW2G+cSdFryzwsr8mDm0R9N2tN20xM8R0A2xrbk2WbBBHPu0aJ8CDqkxYYTc95/AA==" saltValue="4BX0DA0NDQFR1osMfFRNtQ==" spinCount="100000"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sheetPr codeName="Sheet9"/>
  <dimension ref="A3:M27"/>
  <sheetViews>
    <sheetView workbookViewId="0">
      <pane xSplit="2" ySplit="4" topLeftCell="C5" activePane="bottomRight" state="frozen"/>
      <selection pane="topRight" activeCell="B1" sqref="B1"/>
      <selection pane="bottomLeft" activeCell="A5" sqref="A5"/>
      <selection pane="bottomRight" activeCell="B4" sqref="B4"/>
    </sheetView>
  </sheetViews>
  <sheetFormatPr defaultColWidth="9.109375" defaultRowHeight="14.4" x14ac:dyDescent="0.3"/>
  <cols>
    <col min="1" max="3" width="22.6640625" style="298" customWidth="1"/>
    <col min="4" max="4" width="18.6640625" style="703" customWidth="1"/>
    <col min="5" max="10" width="18.6640625" style="298" customWidth="1"/>
    <col min="11" max="16384" width="9.109375" style="298"/>
  </cols>
  <sheetData>
    <row r="3" spans="1:13" x14ac:dyDescent="0.3">
      <c r="D3" s="707">
        <v>2019</v>
      </c>
      <c r="E3" s="707">
        <v>2018</v>
      </c>
      <c r="F3" s="707">
        <v>2017</v>
      </c>
      <c r="G3" s="707">
        <v>2016</v>
      </c>
      <c r="H3" s="707">
        <v>2015</v>
      </c>
      <c r="I3" s="707">
        <v>2014</v>
      </c>
      <c r="J3" s="707">
        <v>2013</v>
      </c>
      <c r="K3" s="703"/>
      <c r="L3" s="703"/>
      <c r="M3" s="703"/>
    </row>
    <row r="4" spans="1:13" x14ac:dyDescent="0.3">
      <c r="A4" s="302" t="s">
        <v>781</v>
      </c>
      <c r="B4" s="302"/>
      <c r="C4" s="302" t="s">
        <v>782</v>
      </c>
      <c r="D4" s="706" t="s">
        <v>727</v>
      </c>
      <c r="E4" s="706" t="s">
        <v>727</v>
      </c>
      <c r="F4" s="706" t="s">
        <v>727</v>
      </c>
      <c r="G4" s="706" t="s">
        <v>727</v>
      </c>
      <c r="H4" s="706" t="s">
        <v>727</v>
      </c>
      <c r="I4" s="706" t="s">
        <v>727</v>
      </c>
      <c r="J4" s="706" t="s">
        <v>727</v>
      </c>
      <c r="K4" s="719"/>
    </row>
    <row r="5" spans="1:13" x14ac:dyDescent="0.3">
      <c r="A5" s="302">
        <v>5119</v>
      </c>
      <c r="B5" s="302" t="s">
        <v>758</v>
      </c>
      <c r="C5" s="302">
        <v>647</v>
      </c>
      <c r="D5" s="703">
        <v>20578691</v>
      </c>
      <c r="E5" s="703">
        <v>3249248</v>
      </c>
      <c r="F5" s="703">
        <v>2957570</v>
      </c>
      <c r="G5" s="703">
        <v>5709008</v>
      </c>
      <c r="H5" s="703">
        <v>5114434</v>
      </c>
      <c r="I5" s="703">
        <v>4562229</v>
      </c>
      <c r="J5" s="703">
        <v>4029652</v>
      </c>
    </row>
    <row r="6" spans="1:13" x14ac:dyDescent="0.3">
      <c r="A6" s="302">
        <v>5120</v>
      </c>
      <c r="B6" s="302" t="s">
        <v>759</v>
      </c>
      <c r="C6" s="302">
        <v>647</v>
      </c>
      <c r="D6" s="703">
        <v>0</v>
      </c>
      <c r="E6" s="703">
        <v>0</v>
      </c>
      <c r="F6" s="703">
        <v>0</v>
      </c>
      <c r="G6" s="703">
        <v>0</v>
      </c>
      <c r="H6" s="703">
        <v>0</v>
      </c>
      <c r="I6" s="703">
        <v>0</v>
      </c>
      <c r="J6" s="703">
        <v>0</v>
      </c>
    </row>
    <row r="7" spans="1:13" x14ac:dyDescent="0.3">
      <c r="A7" s="302">
        <v>5131</v>
      </c>
      <c r="B7" s="302" t="s">
        <v>760</v>
      </c>
      <c r="C7" s="302">
        <v>647</v>
      </c>
      <c r="D7" s="703">
        <v>37089245</v>
      </c>
      <c r="E7" s="703">
        <v>20299814</v>
      </c>
      <c r="F7" s="703">
        <v>8051571</v>
      </c>
      <c r="G7" s="703">
        <v>7371500</v>
      </c>
      <c r="H7" s="703">
        <v>5966665</v>
      </c>
      <c r="I7" s="703">
        <v>8207298</v>
      </c>
      <c r="J7" s="703">
        <v>7347048</v>
      </c>
    </row>
    <row r="8" spans="1:13" x14ac:dyDescent="0.3">
      <c r="A8" s="302">
        <v>5135</v>
      </c>
      <c r="B8" s="302" t="s">
        <v>761</v>
      </c>
      <c r="C8" s="302">
        <v>647</v>
      </c>
      <c r="D8" s="703">
        <v>0</v>
      </c>
      <c r="E8" s="703">
        <v>0</v>
      </c>
      <c r="F8" s="703">
        <v>4056482</v>
      </c>
      <c r="G8" s="703">
        <v>3922669</v>
      </c>
      <c r="H8" s="703">
        <v>3148233</v>
      </c>
      <c r="I8" s="703">
        <v>2755127</v>
      </c>
      <c r="J8" s="703">
        <v>2755127</v>
      </c>
    </row>
    <row r="9" spans="1:13" x14ac:dyDescent="0.3">
      <c r="A9" s="302">
        <v>5144</v>
      </c>
      <c r="B9" s="302" t="s">
        <v>762</v>
      </c>
      <c r="C9" s="302">
        <v>647</v>
      </c>
      <c r="D9" s="703">
        <v>7441890</v>
      </c>
      <c r="E9" s="703">
        <v>7441890</v>
      </c>
      <c r="F9" s="703">
        <v>4932241</v>
      </c>
      <c r="G9" s="703">
        <v>590997</v>
      </c>
      <c r="H9" s="703">
        <v>0</v>
      </c>
      <c r="I9" s="703">
        <v>3000000</v>
      </c>
      <c r="J9" s="703">
        <v>2390166</v>
      </c>
    </row>
    <row r="10" spans="1:13" x14ac:dyDescent="0.3">
      <c r="A10" s="302">
        <v>5155</v>
      </c>
      <c r="B10" s="302" t="s">
        <v>763</v>
      </c>
      <c r="C10" s="302">
        <v>647</v>
      </c>
      <c r="D10" s="703">
        <v>1008755</v>
      </c>
      <c r="E10" s="703">
        <v>781534</v>
      </c>
      <c r="F10" s="703">
        <v>663572</v>
      </c>
      <c r="G10" s="703">
        <v>6557774</v>
      </c>
      <c r="H10" s="703">
        <v>611355</v>
      </c>
      <c r="I10" s="703">
        <v>784361</v>
      </c>
      <c r="J10" s="703">
        <v>1022379</v>
      </c>
    </row>
    <row r="11" spans="1:13" x14ac:dyDescent="0.3">
      <c r="A11" s="302">
        <v>5158</v>
      </c>
      <c r="B11" s="302" t="s">
        <v>764</v>
      </c>
      <c r="C11" s="302">
        <v>647</v>
      </c>
      <c r="D11" s="703">
        <v>9</v>
      </c>
      <c r="E11" s="703">
        <v>9</v>
      </c>
      <c r="F11" s="703">
        <v>9</v>
      </c>
      <c r="G11" s="703">
        <v>9</v>
      </c>
      <c r="H11" s="703">
        <v>9</v>
      </c>
      <c r="I11" s="703">
        <v>9</v>
      </c>
      <c r="J11" s="703">
        <v>9</v>
      </c>
    </row>
    <row r="12" spans="1:13" x14ac:dyDescent="0.3">
      <c r="A12" s="302">
        <v>5159</v>
      </c>
      <c r="B12" s="302" t="s">
        <v>765</v>
      </c>
      <c r="C12" s="302">
        <v>647</v>
      </c>
      <c r="D12" s="703">
        <v>225639888</v>
      </c>
      <c r="E12" s="703">
        <v>219009306</v>
      </c>
      <c r="F12" s="703">
        <v>181812071</v>
      </c>
      <c r="G12" s="703">
        <v>193933610</v>
      </c>
      <c r="H12" s="703">
        <v>181583886</v>
      </c>
      <c r="I12" s="703">
        <v>0</v>
      </c>
      <c r="J12" s="703">
        <v>0</v>
      </c>
    </row>
    <row r="13" spans="1:13" x14ac:dyDescent="0.3">
      <c r="A13" s="302">
        <v>5164</v>
      </c>
      <c r="B13" s="302" t="s">
        <v>766</v>
      </c>
      <c r="C13" s="302">
        <v>647</v>
      </c>
      <c r="D13" s="703">
        <v>7132135</v>
      </c>
      <c r="E13" s="703">
        <v>5438631</v>
      </c>
      <c r="F13" s="703">
        <v>2427428</v>
      </c>
      <c r="G13" s="703">
        <v>157674</v>
      </c>
      <c r="H13" s="703">
        <v>0</v>
      </c>
      <c r="I13" s="703">
        <v>0</v>
      </c>
      <c r="J13" s="703">
        <v>0</v>
      </c>
    </row>
    <row r="14" spans="1:13" x14ac:dyDescent="0.3">
      <c r="A14" s="302">
        <v>5173</v>
      </c>
      <c r="B14" s="302" t="s">
        <v>767</v>
      </c>
      <c r="C14" s="302">
        <v>647</v>
      </c>
      <c r="D14" s="703">
        <v>422216</v>
      </c>
      <c r="E14" s="703">
        <v>2615544</v>
      </c>
      <c r="F14" s="703">
        <v>880554</v>
      </c>
      <c r="G14" s="703">
        <v>154942</v>
      </c>
      <c r="H14" s="703">
        <v>107456</v>
      </c>
      <c r="I14" s="703">
        <v>46240</v>
      </c>
      <c r="J14" s="703">
        <v>23390</v>
      </c>
    </row>
    <row r="15" spans="1:13" x14ac:dyDescent="0.3">
      <c r="A15" s="302">
        <v>5178</v>
      </c>
      <c r="B15" s="302" t="s">
        <v>768</v>
      </c>
      <c r="C15" s="302">
        <v>647</v>
      </c>
      <c r="D15" s="703">
        <v>75835</v>
      </c>
      <c r="E15" s="703">
        <v>66039</v>
      </c>
      <c r="F15" s="703">
        <v>57100</v>
      </c>
      <c r="G15" s="703">
        <v>52316</v>
      </c>
      <c r="H15" s="703">
        <v>23715</v>
      </c>
      <c r="I15" s="703">
        <v>899285</v>
      </c>
      <c r="J15" s="703">
        <v>1169608</v>
      </c>
    </row>
    <row r="16" spans="1:13" x14ac:dyDescent="0.3">
      <c r="A16" s="302">
        <v>5180</v>
      </c>
      <c r="B16" s="302" t="s">
        <v>769</v>
      </c>
      <c r="C16" s="302">
        <v>647</v>
      </c>
      <c r="D16" s="703">
        <v>4586780</v>
      </c>
      <c r="E16" s="703">
        <v>5165281</v>
      </c>
      <c r="F16" s="703">
        <v>4432068</v>
      </c>
      <c r="G16" s="703">
        <v>3558985</v>
      </c>
      <c r="H16" s="703">
        <v>2657915</v>
      </c>
      <c r="I16" s="703">
        <v>2071596</v>
      </c>
      <c r="J16" s="703">
        <v>1986034</v>
      </c>
    </row>
    <row r="17" spans="1:10" x14ac:dyDescent="0.3">
      <c r="A17" s="302">
        <v>5191</v>
      </c>
      <c r="B17" s="302" t="s">
        <v>770</v>
      </c>
      <c r="C17" s="302">
        <v>647</v>
      </c>
      <c r="D17" s="703">
        <v>111303046</v>
      </c>
      <c r="E17" s="703">
        <v>108974619</v>
      </c>
      <c r="F17" s="703">
        <v>120290900</v>
      </c>
      <c r="G17" s="703">
        <v>127448981</v>
      </c>
      <c r="H17" s="703">
        <v>153873846</v>
      </c>
      <c r="I17" s="703">
        <v>135252125</v>
      </c>
      <c r="J17" s="703">
        <v>169055200</v>
      </c>
    </row>
    <row r="18" spans="1:10" x14ac:dyDescent="0.3">
      <c r="A18" s="302">
        <v>50074</v>
      </c>
      <c r="B18" s="302" t="s">
        <v>771</v>
      </c>
      <c r="C18" s="302">
        <v>647</v>
      </c>
      <c r="D18" s="703">
        <v>7494829</v>
      </c>
      <c r="E18" s="703">
        <v>7189658</v>
      </c>
      <c r="F18" s="703">
        <v>7048523</v>
      </c>
      <c r="G18" s="703">
        <v>6615510</v>
      </c>
      <c r="H18" s="703">
        <v>5452410</v>
      </c>
      <c r="I18" s="703">
        <v>4803926</v>
      </c>
      <c r="J18" s="703">
        <v>5340180</v>
      </c>
    </row>
    <row r="19" spans="1:10" x14ac:dyDescent="0.3">
      <c r="A19" s="302">
        <v>50075</v>
      </c>
      <c r="B19" s="302" t="s">
        <v>772</v>
      </c>
      <c r="C19" s="302">
        <v>647</v>
      </c>
      <c r="D19" s="703">
        <v>266214000</v>
      </c>
      <c r="E19" s="703">
        <v>265541000</v>
      </c>
      <c r="F19" s="703">
        <v>274532000</v>
      </c>
      <c r="G19" s="703">
        <v>286138000</v>
      </c>
      <c r="H19" s="703">
        <v>295124000</v>
      </c>
      <c r="I19" s="703">
        <v>264645000</v>
      </c>
      <c r="J19" s="703">
        <v>231434000</v>
      </c>
    </row>
    <row r="20" spans="1:10" x14ac:dyDescent="0.3">
      <c r="A20" s="302">
        <v>50110</v>
      </c>
      <c r="B20" s="302" t="s">
        <v>773</v>
      </c>
      <c r="C20" s="302">
        <v>647</v>
      </c>
      <c r="D20" s="703">
        <v>46833536</v>
      </c>
      <c r="E20" s="703">
        <v>45660075</v>
      </c>
      <c r="F20" s="703">
        <v>8463820</v>
      </c>
      <c r="G20" s="703">
        <v>2663591</v>
      </c>
      <c r="H20" s="703">
        <v>2371109</v>
      </c>
      <c r="I20" s="703">
        <v>2878268</v>
      </c>
      <c r="J20" s="703">
        <v>4203755</v>
      </c>
    </row>
    <row r="21" spans="1:10" x14ac:dyDescent="0.3">
      <c r="A21" s="302">
        <v>50144</v>
      </c>
      <c r="B21" s="302" t="s">
        <v>774</v>
      </c>
      <c r="C21" s="302">
        <v>647</v>
      </c>
      <c r="D21" s="703">
        <v>4258932</v>
      </c>
      <c r="E21" s="703">
        <v>853434</v>
      </c>
      <c r="F21" s="703">
        <v>1622119</v>
      </c>
      <c r="G21" s="703">
        <v>1743258</v>
      </c>
      <c r="H21" s="703">
        <v>1740179</v>
      </c>
      <c r="I21" s="703">
        <v>1739958</v>
      </c>
      <c r="J21" s="703">
        <v>1739695</v>
      </c>
    </row>
    <row r="22" spans="1:10" x14ac:dyDescent="0.3">
      <c r="A22" s="302">
        <v>50159</v>
      </c>
      <c r="B22" s="302" t="s">
        <v>775</v>
      </c>
      <c r="C22" s="302">
        <v>647</v>
      </c>
      <c r="D22" s="703">
        <v>28636370</v>
      </c>
      <c r="E22" s="703">
        <v>23180822</v>
      </c>
      <c r="F22" s="703">
        <v>16487675</v>
      </c>
      <c r="G22" s="703">
        <v>10909425</v>
      </c>
      <c r="H22" s="703">
        <v>7878571</v>
      </c>
      <c r="I22" s="703">
        <v>5300679</v>
      </c>
      <c r="J22" s="703">
        <v>4801051</v>
      </c>
    </row>
    <row r="23" spans="1:10" x14ac:dyDescent="0.3">
      <c r="A23" s="302">
        <v>50160</v>
      </c>
      <c r="B23" s="302" t="s">
        <v>776</v>
      </c>
      <c r="C23" s="302">
        <v>647</v>
      </c>
      <c r="D23" s="703">
        <v>1134799</v>
      </c>
      <c r="E23" s="703">
        <v>894858</v>
      </c>
      <c r="F23" s="703">
        <v>1002425</v>
      </c>
      <c r="G23" s="703">
        <v>354061</v>
      </c>
      <c r="H23" s="703">
        <v>392698</v>
      </c>
      <c r="I23" s="703">
        <v>442800</v>
      </c>
      <c r="J23" s="703">
        <v>942821</v>
      </c>
    </row>
    <row r="24" spans="1:10" x14ac:dyDescent="0.3">
      <c r="A24" s="302">
        <v>50180</v>
      </c>
      <c r="B24" s="302" t="s">
        <v>777</v>
      </c>
      <c r="C24" s="302">
        <v>647</v>
      </c>
      <c r="D24" s="703">
        <v>13193040</v>
      </c>
      <c r="E24" s="703">
        <v>17058564</v>
      </c>
      <c r="F24" s="703">
        <v>16187505</v>
      </c>
      <c r="G24" s="703">
        <v>16428100</v>
      </c>
      <c r="H24" s="703">
        <v>16688416</v>
      </c>
      <c r="I24" s="703">
        <v>17840940</v>
      </c>
      <c r="J24" s="703">
        <v>18042019</v>
      </c>
    </row>
    <row r="25" spans="1:10" x14ac:dyDescent="0.3">
      <c r="A25" s="302">
        <v>50405</v>
      </c>
      <c r="B25" s="302" t="s">
        <v>778</v>
      </c>
      <c r="C25" s="302">
        <v>647</v>
      </c>
      <c r="D25" s="703">
        <v>302046</v>
      </c>
      <c r="E25" s="703">
        <v>1055143</v>
      </c>
      <c r="F25" s="703">
        <v>0</v>
      </c>
      <c r="G25" s="703">
        <v>0</v>
      </c>
      <c r="H25" s="703">
        <v>0</v>
      </c>
      <c r="I25" s="703">
        <v>0</v>
      </c>
      <c r="J25" s="703">
        <v>0</v>
      </c>
    </row>
    <row r="26" spans="1:10" x14ac:dyDescent="0.3">
      <c r="A26" s="302">
        <v>50425</v>
      </c>
      <c r="B26" s="302" t="s">
        <v>779</v>
      </c>
      <c r="C26" s="302">
        <v>647</v>
      </c>
      <c r="D26" s="703">
        <v>20836222</v>
      </c>
      <c r="E26" s="703">
        <v>16328642</v>
      </c>
      <c r="F26" s="703">
        <v>15202516</v>
      </c>
      <c r="G26" s="703">
        <v>12384500</v>
      </c>
      <c r="H26" s="703">
        <v>9788553</v>
      </c>
      <c r="I26" s="703">
        <v>7967199</v>
      </c>
      <c r="J26" s="703">
        <v>6398918</v>
      </c>
    </row>
    <row r="27" spans="1:10" x14ac:dyDescent="0.3">
      <c r="A27" s="302">
        <v>50431</v>
      </c>
      <c r="B27" s="302" t="s">
        <v>780</v>
      </c>
      <c r="C27" s="302">
        <v>647</v>
      </c>
      <c r="D27" s="703">
        <v>25542629</v>
      </c>
      <c r="E27" s="703">
        <v>24964077</v>
      </c>
      <c r="F27" s="703">
        <v>23618105</v>
      </c>
      <c r="G27" s="703">
        <v>22744716</v>
      </c>
      <c r="H27" s="703">
        <v>16714796</v>
      </c>
      <c r="I27" s="703">
        <v>13788676</v>
      </c>
      <c r="J27" s="703">
        <v>10895689</v>
      </c>
    </row>
  </sheetData>
  <sheetProtection algorithmName="SHA-512" hashValue="zOJPBrBVacUhgC9ekTj45SG0iQCVqB0xg4zl4NXbCuUm+YsFjQ4emom1W6XDJ2q3oZ95XoQFIfIcoGM1GhHieA==" saltValue="qzrC+Ng8WmGKQcPPNBdYiA=="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0"/>
  <sheetViews>
    <sheetView workbookViewId="0">
      <selection activeCell="A3" sqref="A3"/>
    </sheetView>
  </sheetViews>
  <sheetFormatPr defaultColWidth="9.109375" defaultRowHeight="14.4" x14ac:dyDescent="0.3"/>
  <cols>
    <col min="1" max="1" width="9.109375" style="271"/>
    <col min="2" max="2" width="54.109375" style="271" customWidth="1"/>
    <col min="3" max="3" width="23.6640625" style="271" customWidth="1"/>
    <col min="4" max="4" width="19.6640625" style="271" customWidth="1"/>
    <col min="5" max="10" width="9.109375" style="271"/>
    <col min="11" max="11" width="54.109375" style="271" customWidth="1"/>
    <col min="12" max="16384" width="9.109375" style="271"/>
  </cols>
  <sheetData>
    <row r="1" spans="1:11" ht="43.2" x14ac:dyDescent="0.3">
      <c r="A1" s="271" t="s">
        <v>781</v>
      </c>
      <c r="B1" s="271" t="s">
        <v>925</v>
      </c>
      <c r="C1" s="280" t="s">
        <v>890</v>
      </c>
      <c r="D1" s="281" t="s">
        <v>1120</v>
      </c>
      <c r="E1" s="271" t="s">
        <v>1593</v>
      </c>
    </row>
    <row r="3" spans="1:11" ht="23.4" x14ac:dyDescent="0.45">
      <c r="A3" s="271">
        <v>50001</v>
      </c>
      <c r="B3" s="271" t="s">
        <v>926</v>
      </c>
      <c r="C3" s="271">
        <v>50</v>
      </c>
      <c r="D3" s="170" t="s">
        <v>51</v>
      </c>
      <c r="E3" s="306" t="s">
        <v>1263</v>
      </c>
    </row>
    <row r="4" spans="1:11" x14ac:dyDescent="0.3">
      <c r="A4" s="271">
        <v>50006</v>
      </c>
      <c r="B4" s="271" t="s">
        <v>927</v>
      </c>
      <c r="C4" s="271">
        <v>50</v>
      </c>
      <c r="D4" s="170" t="s">
        <v>51</v>
      </c>
    </row>
    <row r="5" spans="1:11" x14ac:dyDescent="0.3">
      <c r="A5" s="271">
        <v>50013</v>
      </c>
      <c r="B5" s="271" t="s">
        <v>929</v>
      </c>
      <c r="C5" s="271">
        <v>50</v>
      </c>
      <c r="D5" s="170" t="s">
        <v>51</v>
      </c>
    </row>
    <row r="6" spans="1:11" x14ac:dyDescent="0.3">
      <c r="A6" s="271">
        <v>50016</v>
      </c>
      <c r="B6" s="964" t="s">
        <v>1594</v>
      </c>
      <c r="C6" s="271">
        <v>50</v>
      </c>
      <c r="D6" s="170" t="s">
        <v>51</v>
      </c>
      <c r="K6" s="964"/>
    </row>
    <row r="7" spans="1:11" x14ac:dyDescent="0.3">
      <c r="A7" s="271">
        <v>50019</v>
      </c>
      <c r="B7" s="964" t="s">
        <v>1595</v>
      </c>
      <c r="C7" s="271">
        <v>50</v>
      </c>
      <c r="D7" s="170" t="s">
        <v>51</v>
      </c>
      <c r="K7" s="964"/>
    </row>
    <row r="8" spans="1:11" x14ac:dyDescent="0.3">
      <c r="A8" s="271">
        <v>50504</v>
      </c>
      <c r="B8" s="271" t="s">
        <v>930</v>
      </c>
      <c r="C8" s="271">
        <v>50</v>
      </c>
      <c r="D8" s="170" t="s">
        <v>51</v>
      </c>
    </row>
    <row r="9" spans="1:11" x14ac:dyDescent="0.3">
      <c r="A9" s="271">
        <v>50021</v>
      </c>
      <c r="B9" s="964" t="s">
        <v>1596</v>
      </c>
      <c r="C9" s="271">
        <v>50</v>
      </c>
      <c r="D9" s="170" t="s">
        <v>51</v>
      </c>
      <c r="K9" s="964"/>
    </row>
    <row r="10" spans="1:11" x14ac:dyDescent="0.3">
      <c r="A10" s="271">
        <v>50024</v>
      </c>
      <c r="B10" s="271" t="s">
        <v>931</v>
      </c>
      <c r="C10" s="271">
        <v>50</v>
      </c>
      <c r="D10" s="170" t="s">
        <v>51</v>
      </c>
    </row>
    <row r="11" spans="1:11" x14ac:dyDescent="0.3">
      <c r="A11" s="271">
        <v>50029</v>
      </c>
      <c r="B11" s="271" t="s">
        <v>932</v>
      </c>
      <c r="C11" s="271">
        <v>50</v>
      </c>
      <c r="D11" s="170" t="s">
        <v>51</v>
      </c>
    </row>
    <row r="12" spans="1:11" x14ac:dyDescent="0.3">
      <c r="A12" s="271">
        <v>50031</v>
      </c>
      <c r="B12" s="964" t="s">
        <v>1597</v>
      </c>
      <c r="C12" s="271">
        <v>50</v>
      </c>
      <c r="D12" s="170" t="s">
        <v>51</v>
      </c>
      <c r="K12" s="964"/>
    </row>
    <row r="13" spans="1:11" x14ac:dyDescent="0.3">
      <c r="A13" s="271">
        <v>50469</v>
      </c>
      <c r="B13" s="271" t="s">
        <v>933</v>
      </c>
      <c r="C13" s="271">
        <v>50</v>
      </c>
      <c r="D13" s="170" t="s">
        <v>51</v>
      </c>
    </row>
    <row r="14" spans="1:11" x14ac:dyDescent="0.3">
      <c r="A14" s="271">
        <v>50034</v>
      </c>
      <c r="B14" s="271" t="s">
        <v>935</v>
      </c>
      <c r="C14" s="271">
        <v>50</v>
      </c>
      <c r="D14" s="170" t="s">
        <v>51</v>
      </c>
    </row>
    <row r="15" spans="1:11" x14ac:dyDescent="0.3">
      <c r="A15" s="271">
        <v>50038</v>
      </c>
      <c r="B15" s="271" t="s">
        <v>936</v>
      </c>
      <c r="C15" s="271">
        <v>50</v>
      </c>
      <c r="D15" s="170" t="s">
        <v>51</v>
      </c>
    </row>
    <row r="16" spans="1:11" x14ac:dyDescent="0.3">
      <c r="A16" s="271">
        <v>50506</v>
      </c>
      <c r="B16" s="271" t="s">
        <v>937</v>
      </c>
      <c r="C16" s="271">
        <v>50</v>
      </c>
      <c r="D16" s="170" t="s">
        <v>51</v>
      </c>
    </row>
    <row r="17" spans="1:11" x14ac:dyDescent="0.3">
      <c r="A17" s="271">
        <v>50045</v>
      </c>
      <c r="B17" s="271" t="s">
        <v>938</v>
      </c>
      <c r="C17" s="271">
        <v>50</v>
      </c>
      <c r="D17" s="170" t="s">
        <v>51</v>
      </c>
    </row>
    <row r="18" spans="1:11" x14ac:dyDescent="0.3">
      <c r="A18" s="271">
        <v>50049</v>
      </c>
      <c r="B18" s="271" t="s">
        <v>939</v>
      </c>
      <c r="C18" s="271">
        <v>50</v>
      </c>
      <c r="D18" s="170" t="s">
        <v>51</v>
      </c>
    </row>
    <row r="19" spans="1:11" x14ac:dyDescent="0.3">
      <c r="A19" s="271">
        <v>50055</v>
      </c>
      <c r="B19" s="964" t="s">
        <v>1598</v>
      </c>
      <c r="C19" s="271">
        <v>50</v>
      </c>
      <c r="D19" s="170" t="s">
        <v>51</v>
      </c>
      <c r="K19" s="964"/>
    </row>
    <row r="20" spans="1:11" x14ac:dyDescent="0.3">
      <c r="A20" s="271">
        <v>50466</v>
      </c>
      <c r="B20" s="271" t="s">
        <v>1599</v>
      </c>
      <c r="C20" s="271">
        <v>50</v>
      </c>
      <c r="D20" s="170" t="s">
        <v>51</v>
      </c>
    </row>
    <row r="21" spans="1:11" x14ac:dyDescent="0.3">
      <c r="A21" s="271">
        <v>50069</v>
      </c>
      <c r="B21" s="271" t="s">
        <v>940</v>
      </c>
      <c r="C21" s="271">
        <v>50</v>
      </c>
      <c r="D21" s="170" t="s">
        <v>51</v>
      </c>
    </row>
    <row r="22" spans="1:11" x14ac:dyDescent="0.3">
      <c r="A22" s="271">
        <v>50467</v>
      </c>
      <c r="B22" s="271" t="s">
        <v>941</v>
      </c>
      <c r="C22" s="271">
        <v>50</v>
      </c>
      <c r="D22" s="170" t="s">
        <v>51</v>
      </c>
    </row>
    <row r="23" spans="1:11" x14ac:dyDescent="0.3">
      <c r="A23" s="271">
        <v>50510</v>
      </c>
      <c r="B23" s="271" t="s">
        <v>942</v>
      </c>
      <c r="C23" s="271">
        <v>50</v>
      </c>
      <c r="D23" s="170" t="s">
        <v>51</v>
      </c>
    </row>
    <row r="24" spans="1:11" x14ac:dyDescent="0.3">
      <c r="A24" s="271">
        <v>50078</v>
      </c>
      <c r="B24" s="271" t="s">
        <v>1600</v>
      </c>
      <c r="C24" s="271">
        <v>50</v>
      </c>
      <c r="D24" s="170" t="s">
        <v>51</v>
      </c>
    </row>
    <row r="25" spans="1:11" x14ac:dyDescent="0.3">
      <c r="A25" s="271">
        <v>50080</v>
      </c>
      <c r="B25" s="271" t="s">
        <v>1601</v>
      </c>
      <c r="C25" s="271">
        <v>50</v>
      </c>
      <c r="D25" s="170" t="s">
        <v>51</v>
      </c>
    </row>
    <row r="26" spans="1:11" x14ac:dyDescent="0.3">
      <c r="A26" s="271">
        <v>50468</v>
      </c>
      <c r="B26" s="964" t="s">
        <v>1602</v>
      </c>
      <c r="C26" s="271">
        <v>50</v>
      </c>
      <c r="D26" s="170" t="s">
        <v>51</v>
      </c>
      <c r="K26" s="964"/>
    </row>
    <row r="27" spans="1:11" x14ac:dyDescent="0.3">
      <c r="A27" s="271">
        <v>50086</v>
      </c>
      <c r="B27" s="271" t="s">
        <v>944</v>
      </c>
      <c r="C27" s="271">
        <v>50</v>
      </c>
      <c r="D27" s="170" t="s">
        <v>51</v>
      </c>
    </row>
    <row r="28" spans="1:11" x14ac:dyDescent="0.3">
      <c r="A28" s="271">
        <v>50087</v>
      </c>
      <c r="B28" s="271" t="s">
        <v>945</v>
      </c>
      <c r="C28" s="271">
        <v>50</v>
      </c>
      <c r="D28" s="170" t="s">
        <v>51</v>
      </c>
    </row>
    <row r="29" spans="1:11" x14ac:dyDescent="0.3">
      <c r="A29" s="271">
        <v>50091</v>
      </c>
      <c r="B29" s="964" t="s">
        <v>1603</v>
      </c>
      <c r="C29" s="271">
        <v>50</v>
      </c>
      <c r="D29" s="170" t="s">
        <v>51</v>
      </c>
      <c r="K29" s="964"/>
    </row>
    <row r="30" spans="1:11" x14ac:dyDescent="0.3">
      <c r="A30" s="271">
        <v>50098</v>
      </c>
      <c r="B30" s="271" t="s">
        <v>1604</v>
      </c>
      <c r="C30" s="271">
        <v>50</v>
      </c>
      <c r="D30" s="170" t="s">
        <v>51</v>
      </c>
    </row>
    <row r="31" spans="1:11" x14ac:dyDescent="0.3">
      <c r="A31" s="271">
        <v>50100</v>
      </c>
      <c r="B31" s="271" t="s">
        <v>1605</v>
      </c>
      <c r="C31" s="271">
        <v>50</v>
      </c>
      <c r="D31" s="170" t="s">
        <v>51</v>
      </c>
    </row>
    <row r="32" spans="1:11" x14ac:dyDescent="0.3">
      <c r="A32" s="271">
        <v>50513</v>
      </c>
      <c r="B32" s="271" t="s">
        <v>946</v>
      </c>
      <c r="C32" s="271">
        <v>50</v>
      </c>
      <c r="D32" s="170" t="s">
        <v>51</v>
      </c>
    </row>
    <row r="33" spans="1:11" x14ac:dyDescent="0.3">
      <c r="A33" s="271">
        <v>50106</v>
      </c>
      <c r="B33" s="271" t="s">
        <v>947</v>
      </c>
      <c r="C33" s="271">
        <v>50</v>
      </c>
      <c r="D33" s="170" t="s">
        <v>51</v>
      </c>
    </row>
    <row r="34" spans="1:11" x14ac:dyDescent="0.3">
      <c r="A34" s="271">
        <v>50472</v>
      </c>
      <c r="B34" s="271" t="s">
        <v>948</v>
      </c>
      <c r="C34" s="271">
        <v>50</v>
      </c>
      <c r="D34" s="170" t="s">
        <v>51</v>
      </c>
    </row>
    <row r="35" spans="1:11" x14ac:dyDescent="0.3">
      <c r="A35" s="271">
        <v>50112</v>
      </c>
      <c r="B35" s="271" t="s">
        <v>949</v>
      </c>
      <c r="C35" s="271">
        <v>50</v>
      </c>
      <c r="D35" s="170" t="s">
        <v>51</v>
      </c>
    </row>
    <row r="36" spans="1:11" x14ac:dyDescent="0.3">
      <c r="A36" s="271">
        <v>50113</v>
      </c>
      <c r="B36" s="271" t="s">
        <v>950</v>
      </c>
      <c r="C36" s="271">
        <v>50</v>
      </c>
      <c r="D36" s="170" t="s">
        <v>51</v>
      </c>
    </row>
    <row r="37" spans="1:11" x14ac:dyDescent="0.3">
      <c r="A37" s="271">
        <v>50116</v>
      </c>
      <c r="B37" s="964" t="s">
        <v>1606</v>
      </c>
      <c r="C37" s="271">
        <v>50</v>
      </c>
      <c r="D37" s="170" t="s">
        <v>51</v>
      </c>
      <c r="K37" s="964"/>
    </row>
    <row r="38" spans="1:11" x14ac:dyDescent="0.3">
      <c r="A38" s="271">
        <v>50121</v>
      </c>
      <c r="B38" s="271" t="s">
        <v>952</v>
      </c>
      <c r="C38" s="271">
        <v>50</v>
      </c>
      <c r="D38" s="170" t="s">
        <v>51</v>
      </c>
    </row>
    <row r="39" spans="1:11" x14ac:dyDescent="0.3">
      <c r="A39" s="271">
        <v>50122</v>
      </c>
      <c r="B39" s="271" t="s">
        <v>953</v>
      </c>
      <c r="C39" s="271">
        <v>50</v>
      </c>
      <c r="D39" s="170" t="s">
        <v>51</v>
      </c>
    </row>
    <row r="40" spans="1:11" x14ac:dyDescent="0.3">
      <c r="A40" s="271">
        <v>50125</v>
      </c>
      <c r="B40" s="271" t="s">
        <v>954</v>
      </c>
      <c r="C40" s="271">
        <v>50</v>
      </c>
      <c r="D40" s="170" t="s">
        <v>51</v>
      </c>
    </row>
    <row r="41" spans="1:11" x14ac:dyDescent="0.3">
      <c r="A41" s="271">
        <v>50126</v>
      </c>
      <c r="B41" s="964" t="s">
        <v>1607</v>
      </c>
      <c r="C41" s="271">
        <v>50</v>
      </c>
      <c r="D41" s="170" t="s">
        <v>51</v>
      </c>
      <c r="K41" s="964"/>
    </row>
    <row r="42" spans="1:11" x14ac:dyDescent="0.3">
      <c r="A42" s="271">
        <v>50127</v>
      </c>
      <c r="B42" s="271" t="s">
        <v>1608</v>
      </c>
      <c r="C42" s="271">
        <v>50</v>
      </c>
      <c r="D42" s="170" t="s">
        <v>51</v>
      </c>
    </row>
    <row r="43" spans="1:11" x14ac:dyDescent="0.3">
      <c r="A43" s="271">
        <v>50128</v>
      </c>
      <c r="B43" s="271" t="s">
        <v>956</v>
      </c>
      <c r="C43" s="271">
        <v>50</v>
      </c>
      <c r="D43" s="170" t="s">
        <v>51</v>
      </c>
    </row>
    <row r="44" spans="1:11" x14ac:dyDescent="0.3">
      <c r="A44" s="271">
        <v>50129</v>
      </c>
      <c r="B44" s="271" t="s">
        <v>957</v>
      </c>
      <c r="C44" s="271">
        <v>50</v>
      </c>
      <c r="D44" s="170" t="s">
        <v>51</v>
      </c>
    </row>
    <row r="45" spans="1:11" x14ac:dyDescent="0.3">
      <c r="A45" s="271">
        <v>50130</v>
      </c>
      <c r="B45" s="271" t="s">
        <v>958</v>
      </c>
      <c r="C45" s="271">
        <v>50</v>
      </c>
      <c r="D45" s="170" t="s">
        <v>51</v>
      </c>
    </row>
    <row r="46" spans="1:11" x14ac:dyDescent="0.3">
      <c r="A46" s="271">
        <v>50570</v>
      </c>
      <c r="B46" s="271" t="s">
        <v>959</v>
      </c>
      <c r="C46" s="271">
        <v>50</v>
      </c>
      <c r="D46" s="170" t="s">
        <v>51</v>
      </c>
    </row>
    <row r="47" spans="1:11" x14ac:dyDescent="0.3">
      <c r="A47" s="271">
        <v>50139</v>
      </c>
      <c r="B47" s="271" t="s">
        <v>961</v>
      </c>
      <c r="C47" s="271">
        <v>50</v>
      </c>
      <c r="D47" s="170" t="s">
        <v>51</v>
      </c>
    </row>
    <row r="48" spans="1:11" x14ac:dyDescent="0.3">
      <c r="A48" s="271">
        <v>50142</v>
      </c>
      <c r="B48" s="271" t="s">
        <v>962</v>
      </c>
      <c r="C48" s="271">
        <v>50</v>
      </c>
      <c r="D48" s="170" t="s">
        <v>51</v>
      </c>
    </row>
    <row r="49" spans="1:11" x14ac:dyDescent="0.3">
      <c r="A49" s="271">
        <v>50143</v>
      </c>
      <c r="B49" s="271" t="s">
        <v>963</v>
      </c>
      <c r="C49" s="271">
        <v>50</v>
      </c>
      <c r="D49" s="170" t="s">
        <v>51</v>
      </c>
    </row>
    <row r="50" spans="1:11" x14ac:dyDescent="0.3">
      <c r="A50" s="271">
        <v>50148</v>
      </c>
      <c r="B50" s="271" t="s">
        <v>761</v>
      </c>
      <c r="C50" s="271">
        <v>50</v>
      </c>
      <c r="D50" s="170" t="s">
        <v>51</v>
      </c>
    </row>
    <row r="51" spans="1:11" x14ac:dyDescent="0.3">
      <c r="A51" s="271">
        <v>50151</v>
      </c>
      <c r="B51" s="271" t="s">
        <v>1609</v>
      </c>
      <c r="C51" s="271">
        <v>50</v>
      </c>
      <c r="D51" s="170" t="s">
        <v>51</v>
      </c>
    </row>
    <row r="52" spans="1:11" x14ac:dyDescent="0.3">
      <c r="A52" s="271">
        <v>50153</v>
      </c>
      <c r="B52" s="271" t="s">
        <v>964</v>
      </c>
      <c r="C52" s="271">
        <v>50</v>
      </c>
      <c r="D52" s="170" t="s">
        <v>51</v>
      </c>
    </row>
    <row r="53" spans="1:11" x14ac:dyDescent="0.3">
      <c r="A53" s="271">
        <v>50154</v>
      </c>
      <c r="B53" s="271" t="s">
        <v>965</v>
      </c>
      <c r="C53" s="271">
        <v>50</v>
      </c>
      <c r="D53" s="170" t="s">
        <v>51</v>
      </c>
    </row>
    <row r="54" spans="1:11" x14ac:dyDescent="0.3">
      <c r="A54" s="271">
        <v>50517</v>
      </c>
      <c r="B54" s="964" t="s">
        <v>1610</v>
      </c>
      <c r="C54" s="271">
        <v>50</v>
      </c>
      <c r="D54" s="170" t="s">
        <v>51</v>
      </c>
      <c r="K54" s="964"/>
    </row>
    <row r="55" spans="1:11" x14ac:dyDescent="0.3">
      <c r="A55" s="271">
        <v>50448</v>
      </c>
      <c r="B55" s="271" t="s">
        <v>966</v>
      </c>
      <c r="C55" s="271">
        <v>50</v>
      </c>
      <c r="D55" s="170" t="s">
        <v>51</v>
      </c>
    </row>
    <row r="56" spans="1:11" x14ac:dyDescent="0.3">
      <c r="A56" s="271">
        <v>50163</v>
      </c>
      <c r="B56" s="271" t="s">
        <v>967</v>
      </c>
      <c r="C56" s="271">
        <v>50</v>
      </c>
      <c r="D56" s="170" t="s">
        <v>51</v>
      </c>
    </row>
    <row r="57" spans="1:11" x14ac:dyDescent="0.3">
      <c r="A57" s="271">
        <v>50165</v>
      </c>
      <c r="B57" s="271" t="s">
        <v>968</v>
      </c>
      <c r="C57" s="271">
        <v>50</v>
      </c>
      <c r="D57" s="170" t="s">
        <v>51</v>
      </c>
    </row>
    <row r="58" spans="1:11" x14ac:dyDescent="0.3">
      <c r="A58" s="271">
        <v>50166</v>
      </c>
      <c r="B58" s="271" t="s">
        <v>969</v>
      </c>
      <c r="C58" s="271">
        <v>50</v>
      </c>
      <c r="D58" s="170" t="s">
        <v>51</v>
      </c>
    </row>
    <row r="59" spans="1:11" x14ac:dyDescent="0.3">
      <c r="A59" s="271">
        <v>50167</v>
      </c>
      <c r="B59" s="271" t="s">
        <v>970</v>
      </c>
      <c r="C59" s="271">
        <v>50</v>
      </c>
      <c r="D59" s="170" t="s">
        <v>51</v>
      </c>
    </row>
    <row r="60" spans="1:11" x14ac:dyDescent="0.3">
      <c r="A60" s="271">
        <v>50171</v>
      </c>
      <c r="B60" s="964" t="s">
        <v>1611</v>
      </c>
      <c r="C60" s="271">
        <v>50</v>
      </c>
      <c r="D60" s="170" t="s">
        <v>51</v>
      </c>
      <c r="K60" s="964"/>
    </row>
    <row r="61" spans="1:11" x14ac:dyDescent="0.3">
      <c r="A61" s="271">
        <v>50440</v>
      </c>
      <c r="B61" s="271" t="s">
        <v>1612</v>
      </c>
      <c r="C61" s="271">
        <v>50</v>
      </c>
      <c r="D61" s="170" t="s">
        <v>51</v>
      </c>
    </row>
    <row r="62" spans="1:11" x14ac:dyDescent="0.3">
      <c r="A62" s="271">
        <v>50175</v>
      </c>
      <c r="B62" s="964" t="s">
        <v>762</v>
      </c>
      <c r="C62" s="271">
        <v>50</v>
      </c>
      <c r="D62" s="170" t="s">
        <v>51</v>
      </c>
      <c r="K62" s="964"/>
    </row>
    <row r="63" spans="1:11" x14ac:dyDescent="0.3">
      <c r="A63" s="271">
        <v>50177</v>
      </c>
      <c r="B63" s="964" t="s">
        <v>1613</v>
      </c>
      <c r="C63" s="271">
        <v>50</v>
      </c>
      <c r="D63" s="170" t="s">
        <v>51</v>
      </c>
      <c r="K63" s="964"/>
    </row>
    <row r="64" spans="1:11" x14ac:dyDescent="0.3">
      <c r="A64" s="271">
        <v>50183</v>
      </c>
      <c r="B64" s="271" t="s">
        <v>971</v>
      </c>
      <c r="C64" s="271">
        <v>50</v>
      </c>
      <c r="D64" s="170" t="s">
        <v>51</v>
      </c>
    </row>
    <row r="65" spans="1:11" x14ac:dyDescent="0.3">
      <c r="A65" s="271">
        <v>50184</v>
      </c>
      <c r="B65" s="271" t="s">
        <v>972</v>
      </c>
      <c r="C65" s="271">
        <v>50</v>
      </c>
      <c r="D65" s="170" t="s">
        <v>51</v>
      </c>
    </row>
    <row r="66" spans="1:11" x14ac:dyDescent="0.3">
      <c r="A66" s="271">
        <v>50186</v>
      </c>
      <c r="B66" s="271" t="s">
        <v>973</v>
      </c>
      <c r="C66" s="271">
        <v>50</v>
      </c>
      <c r="D66" s="170" t="s">
        <v>51</v>
      </c>
    </row>
    <row r="67" spans="1:11" x14ac:dyDescent="0.3">
      <c r="A67" s="271">
        <v>50476</v>
      </c>
      <c r="B67" s="271" t="s">
        <v>840</v>
      </c>
      <c r="C67" s="271">
        <v>50</v>
      </c>
      <c r="D67" s="170" t="s">
        <v>51</v>
      </c>
    </row>
    <row r="68" spans="1:11" x14ac:dyDescent="0.3">
      <c r="A68" s="271">
        <v>50192</v>
      </c>
      <c r="B68" s="271" t="s">
        <v>841</v>
      </c>
      <c r="C68" s="271">
        <v>50</v>
      </c>
      <c r="D68" s="170" t="s">
        <v>51</v>
      </c>
    </row>
    <row r="69" spans="1:11" x14ac:dyDescent="0.3">
      <c r="A69" s="271">
        <v>50518</v>
      </c>
      <c r="B69" s="271" t="s">
        <v>842</v>
      </c>
      <c r="C69" s="271">
        <v>50</v>
      </c>
      <c r="D69" s="170" t="s">
        <v>51</v>
      </c>
    </row>
    <row r="70" spans="1:11" x14ac:dyDescent="0.3">
      <c r="A70" s="271">
        <v>50231</v>
      </c>
      <c r="B70" s="271" t="s">
        <v>843</v>
      </c>
      <c r="C70" s="271">
        <v>50</v>
      </c>
      <c r="D70" s="170" t="s">
        <v>51</v>
      </c>
    </row>
    <row r="71" spans="1:11" x14ac:dyDescent="0.3">
      <c r="A71" s="271">
        <v>50235</v>
      </c>
      <c r="B71" s="271" t="s">
        <v>845</v>
      </c>
      <c r="C71" s="271">
        <v>50</v>
      </c>
      <c r="D71" s="170" t="s">
        <v>51</v>
      </c>
    </row>
    <row r="72" spans="1:11" x14ac:dyDescent="0.3">
      <c r="A72" s="271">
        <v>50233</v>
      </c>
      <c r="B72" s="271" t="s">
        <v>844</v>
      </c>
      <c r="C72" s="271">
        <v>50</v>
      </c>
      <c r="D72" s="170" t="s">
        <v>51</v>
      </c>
    </row>
    <row r="73" spans="1:11" x14ac:dyDescent="0.3">
      <c r="A73" s="271">
        <v>50236</v>
      </c>
      <c r="B73" s="271" t="s">
        <v>846</v>
      </c>
      <c r="C73" s="271">
        <v>50</v>
      </c>
      <c r="D73" s="170" t="s">
        <v>51</v>
      </c>
    </row>
    <row r="74" spans="1:11" x14ac:dyDescent="0.3">
      <c r="A74" s="271">
        <v>50239</v>
      </c>
      <c r="B74" s="271" t="s">
        <v>847</v>
      </c>
      <c r="C74" s="271">
        <v>50</v>
      </c>
      <c r="D74" s="170" t="s">
        <v>51</v>
      </c>
    </row>
    <row r="75" spans="1:11" x14ac:dyDescent="0.3">
      <c r="A75" s="271">
        <v>50249</v>
      </c>
      <c r="B75" s="271" t="s">
        <v>848</v>
      </c>
      <c r="C75" s="271">
        <v>50</v>
      </c>
      <c r="D75" s="170" t="s">
        <v>51</v>
      </c>
    </row>
    <row r="76" spans="1:11" x14ac:dyDescent="0.3">
      <c r="A76" s="271">
        <v>50254</v>
      </c>
      <c r="B76" s="271" t="s">
        <v>1614</v>
      </c>
      <c r="C76" s="271">
        <v>50</v>
      </c>
      <c r="D76" s="170" t="s">
        <v>51</v>
      </c>
    </row>
    <row r="77" spans="1:11" x14ac:dyDescent="0.3">
      <c r="A77" s="271">
        <v>50255</v>
      </c>
      <c r="B77" s="964" t="s">
        <v>1615</v>
      </c>
      <c r="C77" s="271">
        <v>50</v>
      </c>
      <c r="D77" s="170" t="s">
        <v>51</v>
      </c>
      <c r="K77" s="964"/>
    </row>
    <row r="78" spans="1:11" x14ac:dyDescent="0.3">
      <c r="A78" s="271">
        <v>50257</v>
      </c>
      <c r="B78" s="271" t="s">
        <v>976</v>
      </c>
      <c r="C78" s="271">
        <v>50</v>
      </c>
      <c r="D78" s="170" t="s">
        <v>51</v>
      </c>
    </row>
    <row r="79" spans="1:11" x14ac:dyDescent="0.3">
      <c r="A79" s="271">
        <v>50452</v>
      </c>
      <c r="B79" s="964" t="s">
        <v>1616</v>
      </c>
      <c r="C79" s="271">
        <v>50</v>
      </c>
      <c r="D79" s="170" t="s">
        <v>51</v>
      </c>
      <c r="K79" s="964"/>
    </row>
    <row r="80" spans="1:11" x14ac:dyDescent="0.3">
      <c r="A80" s="271">
        <v>50260</v>
      </c>
      <c r="B80" s="271" t="s">
        <v>977</v>
      </c>
      <c r="C80" s="271">
        <v>50</v>
      </c>
      <c r="D80" s="170" t="s">
        <v>51</v>
      </c>
    </row>
    <row r="81" spans="1:11" x14ac:dyDescent="0.3">
      <c r="A81" s="271">
        <v>50268</v>
      </c>
      <c r="B81" s="964" t="s">
        <v>1617</v>
      </c>
      <c r="C81" s="271">
        <v>50</v>
      </c>
      <c r="D81" s="170" t="s">
        <v>51</v>
      </c>
      <c r="K81" s="964"/>
    </row>
    <row r="82" spans="1:11" x14ac:dyDescent="0.3">
      <c r="A82" s="271">
        <v>50269</v>
      </c>
      <c r="B82" s="271" t="s">
        <v>978</v>
      </c>
      <c r="C82" s="271">
        <v>50</v>
      </c>
      <c r="D82" s="170" t="s">
        <v>51</v>
      </c>
    </row>
    <row r="83" spans="1:11" x14ac:dyDescent="0.3">
      <c r="A83" s="271">
        <v>50480</v>
      </c>
      <c r="B83" s="271" t="s">
        <v>979</v>
      </c>
      <c r="C83" s="271">
        <v>50</v>
      </c>
      <c r="D83" s="170" t="s">
        <v>51</v>
      </c>
    </row>
    <row r="84" spans="1:11" x14ac:dyDescent="0.3">
      <c r="A84" s="271">
        <v>50278</v>
      </c>
      <c r="B84" s="271" t="s">
        <v>980</v>
      </c>
      <c r="C84" s="271">
        <v>50</v>
      </c>
      <c r="D84" s="170" t="s">
        <v>51</v>
      </c>
    </row>
    <row r="85" spans="1:11" x14ac:dyDescent="0.3">
      <c r="A85" s="271">
        <v>50280</v>
      </c>
      <c r="B85" s="271" t="s">
        <v>981</v>
      </c>
      <c r="C85" s="271">
        <v>50</v>
      </c>
      <c r="D85" s="170" t="s">
        <v>51</v>
      </c>
    </row>
    <row r="86" spans="1:11" x14ac:dyDescent="0.3">
      <c r="A86" s="271">
        <v>50281</v>
      </c>
      <c r="B86" s="271" t="s">
        <v>982</v>
      </c>
      <c r="C86" s="271">
        <v>50</v>
      </c>
      <c r="D86" s="170" t="s">
        <v>51</v>
      </c>
    </row>
    <row r="87" spans="1:11" x14ac:dyDescent="0.3">
      <c r="A87" s="271">
        <v>50478</v>
      </c>
      <c r="B87" s="271" t="s">
        <v>983</v>
      </c>
      <c r="C87" s="271">
        <v>50</v>
      </c>
      <c r="D87" s="170" t="s">
        <v>51</v>
      </c>
    </row>
    <row r="88" spans="1:11" x14ac:dyDescent="0.3">
      <c r="A88" s="271">
        <v>50283</v>
      </c>
      <c r="B88" s="271" t="s">
        <v>985</v>
      </c>
      <c r="C88" s="271">
        <v>50</v>
      </c>
      <c r="D88" s="170" t="s">
        <v>51</v>
      </c>
    </row>
    <row r="89" spans="1:11" x14ac:dyDescent="0.3">
      <c r="A89" s="271">
        <v>50285</v>
      </c>
      <c r="B89" s="271" t="s">
        <v>986</v>
      </c>
      <c r="C89" s="271">
        <v>50</v>
      </c>
      <c r="D89" s="170" t="s">
        <v>51</v>
      </c>
    </row>
    <row r="90" spans="1:11" x14ac:dyDescent="0.3">
      <c r="A90" s="271">
        <v>50296</v>
      </c>
      <c r="B90" s="271" t="s">
        <v>989</v>
      </c>
      <c r="C90" s="271">
        <v>50</v>
      </c>
      <c r="D90" s="170" t="s">
        <v>51</v>
      </c>
    </row>
    <row r="91" spans="1:11" x14ac:dyDescent="0.3">
      <c r="A91" s="271">
        <v>50297</v>
      </c>
      <c r="B91" s="271" t="s">
        <v>990</v>
      </c>
      <c r="C91" s="271">
        <v>50</v>
      </c>
      <c r="D91" s="170" t="s">
        <v>51</v>
      </c>
    </row>
    <row r="92" spans="1:11" x14ac:dyDescent="0.3">
      <c r="A92" s="271">
        <v>50305</v>
      </c>
      <c r="B92" s="964" t="s">
        <v>1618</v>
      </c>
      <c r="C92" s="271">
        <v>50</v>
      </c>
      <c r="D92" s="170" t="s">
        <v>51</v>
      </c>
      <c r="K92" s="964"/>
    </row>
    <row r="93" spans="1:11" x14ac:dyDescent="0.3">
      <c r="A93" s="271">
        <v>50479</v>
      </c>
      <c r="B93" s="271" t="s">
        <v>991</v>
      </c>
      <c r="C93" s="271">
        <v>50</v>
      </c>
      <c r="D93" s="170" t="s">
        <v>51</v>
      </c>
    </row>
    <row r="94" spans="1:11" x14ac:dyDescent="0.3">
      <c r="A94" s="271">
        <v>50307</v>
      </c>
      <c r="B94" s="271" t="s">
        <v>992</v>
      </c>
      <c r="C94" s="271">
        <v>50</v>
      </c>
      <c r="D94" s="170" t="s">
        <v>51</v>
      </c>
    </row>
    <row r="95" spans="1:11" x14ac:dyDescent="0.3">
      <c r="A95" s="271">
        <v>50310</v>
      </c>
      <c r="B95" s="271" t="s">
        <v>993</v>
      </c>
      <c r="C95" s="271">
        <v>50</v>
      </c>
      <c r="D95" s="170" t="s">
        <v>51</v>
      </c>
    </row>
    <row r="96" spans="1:11" x14ac:dyDescent="0.3">
      <c r="A96" s="271">
        <v>50311</v>
      </c>
      <c r="B96" s="271" t="s">
        <v>994</v>
      </c>
      <c r="C96" s="271">
        <v>50</v>
      </c>
      <c r="D96" s="170" t="s">
        <v>51</v>
      </c>
    </row>
    <row r="97" spans="1:11" x14ac:dyDescent="0.3">
      <c r="A97" s="271">
        <v>50314</v>
      </c>
      <c r="B97" s="271" t="s">
        <v>995</v>
      </c>
      <c r="C97" s="271">
        <v>50</v>
      </c>
      <c r="D97" s="170" t="s">
        <v>51</v>
      </c>
    </row>
    <row r="98" spans="1:11" x14ac:dyDescent="0.3">
      <c r="A98" s="271">
        <v>50316</v>
      </c>
      <c r="B98" s="271" t="s">
        <v>996</v>
      </c>
      <c r="C98" s="271">
        <v>50</v>
      </c>
      <c r="D98" s="170" t="s">
        <v>51</v>
      </c>
    </row>
    <row r="99" spans="1:11" x14ac:dyDescent="0.3">
      <c r="A99" s="271">
        <v>50318</v>
      </c>
      <c r="B99" s="271" t="s">
        <v>997</v>
      </c>
      <c r="C99" s="271">
        <v>50</v>
      </c>
      <c r="D99" s="170" t="s">
        <v>51</v>
      </c>
    </row>
    <row r="100" spans="1:11" x14ac:dyDescent="0.3">
      <c r="A100" s="271">
        <v>50323</v>
      </c>
      <c r="B100" s="271" t="s">
        <v>998</v>
      </c>
      <c r="C100" s="271">
        <v>50</v>
      </c>
      <c r="D100" s="170" t="s">
        <v>51</v>
      </c>
    </row>
    <row r="101" spans="1:11" x14ac:dyDescent="0.3">
      <c r="A101" s="271">
        <v>50321</v>
      </c>
      <c r="B101" s="271" t="s">
        <v>1619</v>
      </c>
      <c r="C101" s="271">
        <v>50</v>
      </c>
      <c r="D101" s="170" t="s">
        <v>51</v>
      </c>
    </row>
    <row r="102" spans="1:11" x14ac:dyDescent="0.3">
      <c r="A102" s="271">
        <v>50325</v>
      </c>
      <c r="B102" s="271" t="s">
        <v>999</v>
      </c>
      <c r="C102" s="271">
        <v>50</v>
      </c>
      <c r="D102" s="170" t="s">
        <v>51</v>
      </c>
    </row>
    <row r="103" spans="1:11" x14ac:dyDescent="0.3">
      <c r="A103" s="271">
        <v>50327</v>
      </c>
      <c r="B103" s="271" t="s">
        <v>1000</v>
      </c>
      <c r="C103" s="271">
        <v>50</v>
      </c>
      <c r="D103" s="170" t="s">
        <v>51</v>
      </c>
    </row>
    <row r="104" spans="1:11" x14ac:dyDescent="0.3">
      <c r="A104" s="271">
        <v>50328</v>
      </c>
      <c r="B104" s="271" t="s">
        <v>768</v>
      </c>
      <c r="C104" s="271">
        <v>50</v>
      </c>
      <c r="D104" s="170" t="s">
        <v>51</v>
      </c>
    </row>
    <row r="105" spans="1:11" x14ac:dyDescent="0.3">
      <c r="A105" s="271">
        <v>50332</v>
      </c>
      <c r="B105" s="271" t="s">
        <v>1001</v>
      </c>
      <c r="C105" s="271">
        <v>50</v>
      </c>
      <c r="D105" s="170" t="s">
        <v>51</v>
      </c>
    </row>
    <row r="106" spans="1:11" x14ac:dyDescent="0.3">
      <c r="A106" s="271">
        <v>50334</v>
      </c>
      <c r="B106" s="964" t="s">
        <v>1620</v>
      </c>
      <c r="C106" s="271">
        <v>50</v>
      </c>
      <c r="D106" s="170" t="s">
        <v>51</v>
      </c>
      <c r="K106" s="964"/>
    </row>
    <row r="107" spans="1:11" x14ac:dyDescent="0.3">
      <c r="A107" s="271">
        <v>50336</v>
      </c>
      <c r="B107" s="271" t="s">
        <v>1621</v>
      </c>
      <c r="C107" s="271">
        <v>50</v>
      </c>
      <c r="D107" s="170" t="s">
        <v>51</v>
      </c>
    </row>
    <row r="108" spans="1:11" x14ac:dyDescent="0.3">
      <c r="A108" s="271">
        <v>50337</v>
      </c>
      <c r="B108" s="964" t="s">
        <v>1622</v>
      </c>
      <c r="C108" s="271">
        <v>50</v>
      </c>
      <c r="D108" s="170" t="s">
        <v>51</v>
      </c>
      <c r="K108" s="964"/>
    </row>
    <row r="109" spans="1:11" x14ac:dyDescent="0.3">
      <c r="A109" s="271">
        <v>50338</v>
      </c>
      <c r="B109" s="964" t="s">
        <v>1623</v>
      </c>
      <c r="C109" s="271">
        <v>50</v>
      </c>
      <c r="D109" s="170" t="s">
        <v>51</v>
      </c>
      <c r="K109" s="964"/>
    </row>
    <row r="110" spans="1:11" x14ac:dyDescent="0.3">
      <c r="A110" s="271">
        <v>50340</v>
      </c>
      <c r="B110" s="271" t="s">
        <v>1624</v>
      </c>
      <c r="C110" s="271">
        <v>50</v>
      </c>
      <c r="D110" s="170" t="s">
        <v>51</v>
      </c>
    </row>
    <row r="111" spans="1:11" x14ac:dyDescent="0.3">
      <c r="A111" s="271">
        <v>50343</v>
      </c>
      <c r="B111" s="271" t="s">
        <v>1002</v>
      </c>
      <c r="C111" s="271">
        <v>50</v>
      </c>
      <c r="D111" s="170" t="s">
        <v>51</v>
      </c>
    </row>
    <row r="112" spans="1:11" x14ac:dyDescent="0.3">
      <c r="A112" s="271">
        <v>50348</v>
      </c>
      <c r="B112" s="271" t="s">
        <v>1004</v>
      </c>
      <c r="C112" s="271">
        <v>50</v>
      </c>
      <c r="D112" s="170" t="s">
        <v>51</v>
      </c>
    </row>
    <row r="113" spans="1:11" x14ac:dyDescent="0.3">
      <c r="A113" s="271">
        <v>50541</v>
      </c>
      <c r="B113" s="271" t="s">
        <v>1005</v>
      </c>
      <c r="C113" s="271">
        <v>50</v>
      </c>
      <c r="D113" s="170" t="s">
        <v>51</v>
      </c>
    </row>
    <row r="114" spans="1:11" x14ac:dyDescent="0.3">
      <c r="A114" s="271">
        <v>50355</v>
      </c>
      <c r="B114" s="271" t="s">
        <v>1006</v>
      </c>
      <c r="C114" s="271">
        <v>50</v>
      </c>
      <c r="D114" s="170" t="s">
        <v>51</v>
      </c>
    </row>
    <row r="115" spans="1:11" x14ac:dyDescent="0.3">
      <c r="A115" s="271">
        <v>50357</v>
      </c>
      <c r="B115" s="964" t="s">
        <v>1625</v>
      </c>
      <c r="C115" s="271">
        <v>50</v>
      </c>
      <c r="D115" s="170" t="s">
        <v>51</v>
      </c>
      <c r="K115" s="964"/>
    </row>
    <row r="116" spans="1:11" x14ac:dyDescent="0.3">
      <c r="A116" s="271">
        <v>50360</v>
      </c>
      <c r="B116" s="271" t="s">
        <v>1007</v>
      </c>
      <c r="C116" s="271">
        <v>50</v>
      </c>
      <c r="D116" s="170" t="s">
        <v>51</v>
      </c>
    </row>
    <row r="117" spans="1:11" x14ac:dyDescent="0.3">
      <c r="A117" s="271">
        <v>50370</v>
      </c>
      <c r="B117" s="271" t="s">
        <v>1008</v>
      </c>
      <c r="C117" s="271">
        <v>50</v>
      </c>
      <c r="D117" s="170" t="s">
        <v>51</v>
      </c>
    </row>
    <row r="118" spans="1:11" x14ac:dyDescent="0.3">
      <c r="A118" s="271">
        <v>50374</v>
      </c>
      <c r="B118" s="271" t="s">
        <v>1626</v>
      </c>
      <c r="C118" s="271">
        <v>50</v>
      </c>
      <c r="D118" s="170" t="s">
        <v>51</v>
      </c>
    </row>
    <row r="119" spans="1:11" x14ac:dyDescent="0.3">
      <c r="A119" s="271">
        <v>50483</v>
      </c>
      <c r="B119" s="271" t="s">
        <v>1627</v>
      </c>
      <c r="C119" s="271">
        <v>50</v>
      </c>
      <c r="D119" s="170" t="s">
        <v>51</v>
      </c>
    </row>
    <row r="120" spans="1:11" x14ac:dyDescent="0.3">
      <c r="A120" s="271">
        <v>50386</v>
      </c>
      <c r="B120" s="271" t="s">
        <v>1628</v>
      </c>
      <c r="C120" s="271">
        <v>50</v>
      </c>
      <c r="D120" s="170" t="s">
        <v>51</v>
      </c>
    </row>
    <row r="121" spans="1:11" x14ac:dyDescent="0.3">
      <c r="A121" s="271">
        <v>50389</v>
      </c>
      <c r="B121" s="271" t="s">
        <v>1010</v>
      </c>
      <c r="C121" s="271">
        <v>50</v>
      </c>
      <c r="D121" s="170" t="s">
        <v>51</v>
      </c>
    </row>
    <row r="122" spans="1:11" x14ac:dyDescent="0.3">
      <c r="A122" s="271">
        <v>50500</v>
      </c>
      <c r="B122" s="271" t="s">
        <v>1011</v>
      </c>
      <c r="C122" s="271">
        <v>50</v>
      </c>
      <c r="D122" s="170" t="s">
        <v>51</v>
      </c>
    </row>
    <row r="123" spans="1:11" x14ac:dyDescent="0.3">
      <c r="A123" s="271">
        <v>50390</v>
      </c>
      <c r="B123" s="964" t="s">
        <v>1629</v>
      </c>
      <c r="C123" s="271">
        <v>50</v>
      </c>
      <c r="D123" s="170" t="s">
        <v>51</v>
      </c>
      <c r="K123" s="964"/>
    </row>
    <row r="124" spans="1:11" x14ac:dyDescent="0.3">
      <c r="A124" s="271">
        <v>50396</v>
      </c>
      <c r="B124" s="271" t="s">
        <v>1012</v>
      </c>
      <c r="C124" s="271">
        <v>50</v>
      </c>
      <c r="D124" s="170" t="s">
        <v>51</v>
      </c>
    </row>
    <row r="125" spans="1:11" x14ac:dyDescent="0.3">
      <c r="A125" s="271">
        <v>50399</v>
      </c>
      <c r="B125" s="271" t="s">
        <v>1014</v>
      </c>
      <c r="C125" s="271">
        <v>50</v>
      </c>
      <c r="D125" s="170" t="s">
        <v>51</v>
      </c>
    </row>
    <row r="126" spans="1:11" x14ac:dyDescent="0.3">
      <c r="A126" s="271">
        <v>50401</v>
      </c>
      <c r="B126" s="271" t="s">
        <v>1015</v>
      </c>
      <c r="C126" s="271">
        <v>50</v>
      </c>
      <c r="D126" s="170" t="s">
        <v>51</v>
      </c>
    </row>
    <row r="127" spans="1:11" x14ac:dyDescent="0.3">
      <c r="A127" s="271">
        <v>50402</v>
      </c>
      <c r="B127" s="964" t="s">
        <v>1630</v>
      </c>
      <c r="C127" s="271">
        <v>50</v>
      </c>
      <c r="D127" s="170" t="s">
        <v>51</v>
      </c>
      <c r="K127" s="964"/>
    </row>
    <row r="128" spans="1:11" x14ac:dyDescent="0.3">
      <c r="A128" s="271">
        <v>50486</v>
      </c>
      <c r="B128" s="271" t="s">
        <v>1631</v>
      </c>
      <c r="C128" s="271">
        <v>50</v>
      </c>
      <c r="D128" s="170" t="s">
        <v>51</v>
      </c>
    </row>
    <row r="129" spans="1:11" x14ac:dyDescent="0.3">
      <c r="A129" s="271">
        <v>50409</v>
      </c>
      <c r="B129" s="271" t="s">
        <v>1632</v>
      </c>
      <c r="C129" s="271">
        <v>50</v>
      </c>
      <c r="D129" s="170" t="s">
        <v>51</v>
      </c>
    </row>
    <row r="130" spans="1:11" x14ac:dyDescent="0.3">
      <c r="A130" s="271">
        <v>50420</v>
      </c>
      <c r="B130" s="271" t="s">
        <v>1016</v>
      </c>
      <c r="C130" s="271">
        <v>50</v>
      </c>
      <c r="D130" s="170" t="s">
        <v>51</v>
      </c>
    </row>
    <row r="131" spans="1:11" x14ac:dyDescent="0.3">
      <c r="A131" s="271">
        <v>50421</v>
      </c>
      <c r="B131" s="964" t="s">
        <v>1633</v>
      </c>
      <c r="C131" s="271">
        <v>50</v>
      </c>
      <c r="D131" s="170" t="s">
        <v>51</v>
      </c>
      <c r="K131" s="964"/>
    </row>
    <row r="132" spans="1:11" x14ac:dyDescent="0.3">
      <c r="A132" s="271">
        <v>50423</v>
      </c>
      <c r="B132" s="271" t="s">
        <v>1017</v>
      </c>
      <c r="C132" s="271">
        <v>50</v>
      </c>
      <c r="D132" s="170" t="s">
        <v>51</v>
      </c>
    </row>
    <row r="133" spans="1:11" x14ac:dyDescent="0.3">
      <c r="A133" s="271">
        <v>50432</v>
      </c>
      <c r="B133" s="964" t="s">
        <v>1634</v>
      </c>
      <c r="C133" s="271">
        <v>50</v>
      </c>
      <c r="D133" s="170" t="s">
        <v>51</v>
      </c>
      <c r="K133" s="964"/>
    </row>
    <row r="134" spans="1:11" x14ac:dyDescent="0.3">
      <c r="A134" s="271">
        <v>50499</v>
      </c>
      <c r="B134" s="964" t="s">
        <v>1635</v>
      </c>
      <c r="C134" s="271">
        <v>50</v>
      </c>
      <c r="D134" s="170" t="s">
        <v>51</v>
      </c>
      <c r="K134" s="964"/>
    </row>
    <row r="135" spans="1:11" x14ac:dyDescent="0.3">
      <c r="A135" s="271">
        <v>5103</v>
      </c>
      <c r="B135" s="271" t="s">
        <v>928</v>
      </c>
      <c r="C135" s="271">
        <v>51</v>
      </c>
      <c r="D135" s="170" t="s">
        <v>51</v>
      </c>
    </row>
    <row r="136" spans="1:11" x14ac:dyDescent="0.3">
      <c r="A136" s="271">
        <v>5107</v>
      </c>
      <c r="B136" s="271" t="s">
        <v>934</v>
      </c>
      <c r="C136" s="271">
        <v>51</v>
      </c>
      <c r="D136" s="170" t="s">
        <v>51</v>
      </c>
    </row>
    <row r="137" spans="1:11" x14ac:dyDescent="0.3">
      <c r="A137" s="271">
        <v>5116</v>
      </c>
      <c r="B137" s="964" t="s">
        <v>1636</v>
      </c>
      <c r="C137" s="271">
        <v>51</v>
      </c>
      <c r="D137" s="170" t="s">
        <v>51</v>
      </c>
      <c r="K137" s="964"/>
    </row>
    <row r="138" spans="1:11" x14ac:dyDescent="0.3">
      <c r="A138" s="271">
        <v>5119</v>
      </c>
      <c r="B138" s="964" t="s">
        <v>1637</v>
      </c>
      <c r="C138" s="271">
        <v>51</v>
      </c>
      <c r="D138" s="170" t="s">
        <v>51</v>
      </c>
      <c r="K138" s="964"/>
    </row>
    <row r="139" spans="1:11" x14ac:dyDescent="0.3">
      <c r="A139" s="271">
        <v>5123</v>
      </c>
      <c r="B139" s="271" t="s">
        <v>1638</v>
      </c>
      <c r="C139" s="271">
        <v>51</v>
      </c>
      <c r="D139" s="170" t="s">
        <v>51</v>
      </c>
    </row>
    <row r="140" spans="1:11" x14ac:dyDescent="0.3">
      <c r="A140" s="271">
        <v>5129</v>
      </c>
      <c r="B140" s="964" t="s">
        <v>1639</v>
      </c>
      <c r="C140" s="271">
        <v>51</v>
      </c>
      <c r="D140" s="170" t="s">
        <v>51</v>
      </c>
      <c r="K140" s="964"/>
    </row>
    <row r="141" spans="1:11" x14ac:dyDescent="0.3">
      <c r="A141" s="271">
        <v>5132</v>
      </c>
      <c r="B141" s="271" t="s">
        <v>951</v>
      </c>
      <c r="C141" s="271">
        <v>51</v>
      </c>
      <c r="D141" s="170" t="s">
        <v>51</v>
      </c>
    </row>
    <row r="142" spans="1:11" x14ac:dyDescent="0.3">
      <c r="A142" s="271">
        <v>5137</v>
      </c>
      <c r="B142" s="271" t="s">
        <v>1640</v>
      </c>
      <c r="C142" s="271">
        <v>51</v>
      </c>
      <c r="D142" s="170" t="s">
        <v>51</v>
      </c>
    </row>
    <row r="143" spans="1:11" x14ac:dyDescent="0.3">
      <c r="A143" s="271">
        <v>5147</v>
      </c>
      <c r="B143" s="271" t="s">
        <v>974</v>
      </c>
      <c r="C143" s="271">
        <v>51</v>
      </c>
      <c r="D143" s="170" t="s">
        <v>51</v>
      </c>
    </row>
    <row r="144" spans="1:11" x14ac:dyDescent="0.3">
      <c r="A144" s="271">
        <v>5156</v>
      </c>
      <c r="B144" s="271" t="s">
        <v>975</v>
      </c>
      <c r="C144" s="271">
        <v>51</v>
      </c>
      <c r="D144" s="170" t="s">
        <v>51</v>
      </c>
    </row>
    <row r="145" spans="1:11" x14ac:dyDescent="0.3">
      <c r="A145" s="271">
        <v>5157</v>
      </c>
      <c r="B145" s="271" t="s">
        <v>1641</v>
      </c>
      <c r="C145" s="271">
        <v>51</v>
      </c>
      <c r="D145" s="170" t="s">
        <v>51</v>
      </c>
    </row>
    <row r="146" spans="1:11" x14ac:dyDescent="0.3">
      <c r="A146" s="271">
        <v>5165</v>
      </c>
      <c r="B146" s="271" t="s">
        <v>984</v>
      </c>
      <c r="C146" s="271">
        <v>51</v>
      </c>
      <c r="D146" s="170" t="s">
        <v>51</v>
      </c>
    </row>
    <row r="147" spans="1:11" x14ac:dyDescent="0.3">
      <c r="A147" s="271">
        <v>5167</v>
      </c>
      <c r="B147" s="271" t="s">
        <v>987</v>
      </c>
      <c r="C147" s="271">
        <v>51</v>
      </c>
      <c r="D147" s="170" t="s">
        <v>51</v>
      </c>
    </row>
    <row r="148" spans="1:11" x14ac:dyDescent="0.3">
      <c r="A148" s="271">
        <v>5170</v>
      </c>
      <c r="B148" s="271" t="s">
        <v>988</v>
      </c>
      <c r="C148" s="271">
        <v>51</v>
      </c>
      <c r="D148" s="170" t="s">
        <v>51</v>
      </c>
    </row>
    <row r="149" spans="1:11" x14ac:dyDescent="0.3">
      <c r="A149" s="271">
        <v>5172</v>
      </c>
      <c r="B149" s="271" t="s">
        <v>1642</v>
      </c>
      <c r="C149" s="271">
        <v>51</v>
      </c>
      <c r="D149" s="170" t="s">
        <v>51</v>
      </c>
    </row>
    <row r="150" spans="1:11" x14ac:dyDescent="0.3">
      <c r="A150" s="271">
        <v>5182</v>
      </c>
      <c r="B150" s="271" t="s">
        <v>1003</v>
      </c>
      <c r="C150" s="271">
        <v>51</v>
      </c>
      <c r="D150" s="170" t="s">
        <v>51</v>
      </c>
    </row>
    <row r="151" spans="1:11" x14ac:dyDescent="0.3">
      <c r="A151" s="271">
        <v>5188</v>
      </c>
      <c r="B151" s="271" t="s">
        <v>1013</v>
      </c>
      <c r="C151" s="271">
        <v>51</v>
      </c>
      <c r="D151" s="170" t="s">
        <v>51</v>
      </c>
    </row>
    <row r="152" spans="1:11" x14ac:dyDescent="0.3">
      <c r="A152" s="271">
        <v>591706</v>
      </c>
      <c r="B152" s="965" t="s">
        <v>1643</v>
      </c>
      <c r="C152" s="271">
        <v>59</v>
      </c>
      <c r="D152" s="170" t="s">
        <v>51</v>
      </c>
      <c r="K152" s="965"/>
    </row>
    <row r="153" spans="1:11" x14ac:dyDescent="0.3">
      <c r="A153" s="271">
        <v>591612</v>
      </c>
      <c r="B153" s="965" t="s">
        <v>1644</v>
      </c>
      <c r="C153" s="271">
        <v>59</v>
      </c>
      <c r="D153" s="170" t="s">
        <v>51</v>
      </c>
      <c r="K153" s="965"/>
    </row>
    <row r="154" spans="1:11" x14ac:dyDescent="0.3">
      <c r="A154" s="271">
        <v>591604</v>
      </c>
      <c r="B154" s="271" t="s">
        <v>943</v>
      </c>
      <c r="C154" s="271">
        <v>59</v>
      </c>
      <c r="D154" s="170" t="s">
        <v>51</v>
      </c>
    </row>
    <row r="155" spans="1:11" x14ac:dyDescent="0.3">
      <c r="A155" s="271">
        <v>591632</v>
      </c>
      <c r="B155" s="964" t="s">
        <v>955</v>
      </c>
      <c r="C155" s="271">
        <v>59</v>
      </c>
      <c r="D155" s="170" t="s">
        <v>51</v>
      </c>
      <c r="K155" s="964"/>
    </row>
    <row r="156" spans="1:11" x14ac:dyDescent="0.3">
      <c r="A156" s="271">
        <v>591607</v>
      </c>
      <c r="B156" s="271" t="s">
        <v>960</v>
      </c>
      <c r="C156" s="271">
        <v>59</v>
      </c>
      <c r="D156" s="170" t="s">
        <v>51</v>
      </c>
    </row>
    <row r="157" spans="1:11" x14ac:dyDescent="0.3">
      <c r="A157" s="271">
        <v>591613</v>
      </c>
      <c r="B157" s="271" t="s">
        <v>1645</v>
      </c>
      <c r="C157" s="271">
        <v>59</v>
      </c>
      <c r="D157" s="170" t="s">
        <v>51</v>
      </c>
    </row>
    <row r="158" spans="1:11" x14ac:dyDescent="0.3">
      <c r="A158" s="271">
        <v>591616</v>
      </c>
      <c r="B158" s="964" t="s">
        <v>1646</v>
      </c>
      <c r="C158" s="271">
        <v>59</v>
      </c>
      <c r="D158" s="170" t="s">
        <v>51</v>
      </c>
      <c r="K158" s="964"/>
    </row>
    <row r="159" spans="1:11" x14ac:dyDescent="0.3">
      <c r="A159" s="271">
        <v>592368</v>
      </c>
      <c r="B159" s="271" t="s">
        <v>1009</v>
      </c>
      <c r="C159" s="271">
        <v>59</v>
      </c>
      <c r="D159" s="170" t="s">
        <v>51</v>
      </c>
    </row>
    <row r="160" spans="1:11" x14ac:dyDescent="0.3">
      <c r="A160" s="271">
        <v>591633</v>
      </c>
      <c r="B160" s="964" t="s">
        <v>1647</v>
      </c>
      <c r="C160" s="271">
        <v>59</v>
      </c>
      <c r="D160" s="170" t="s">
        <v>51</v>
      </c>
      <c r="K160" s="964"/>
    </row>
  </sheetData>
  <sheetProtection algorithmName="SHA-512" hashValue="qJ3Zz+Gy4XevUBBMvJwQ7AMku/fAJjsel86+CMErXjdwAf622r8lDVrX+hVoWjXoVl6uLlvmI2eiHfk7Il2QLA==" saltValue="ACDz+4UHt2y5lCjsfHQxIg==" spinCount="100000" sheet="1" objects="1" scenarios="1"/>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2.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3.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Instructions</vt:lpstr>
      <vt:lpstr>Unit Data from Audit Worksheet</vt:lpstr>
      <vt:lpstr>TD Info Completed by Auditor</vt:lpstr>
      <vt:lpstr>Import</vt:lpstr>
      <vt:lpstr>Performance  Indicators Print</vt:lpstr>
      <vt:lpstr>PI series #</vt:lpstr>
      <vt:lpstr>RSS</vt:lpstr>
      <vt:lpstr>Debt Service Funds (H)</vt:lpstr>
      <vt:lpstr>UAL</vt:lpstr>
      <vt:lpstr>2020 Data(H)</vt:lpstr>
      <vt:lpstr>2019 Data(H)</vt:lpstr>
      <vt:lpstr>Tax Reval Rate</vt:lpstr>
      <vt:lpstr>Unit Names(H)</vt:lpstr>
      <vt:lpstr>Electric trans</vt:lpstr>
      <vt:lpstr>errorCount</vt:lpstr>
      <vt:lpstr>'2020 Data(H)'!Print_Area</vt:lpstr>
      <vt:lpstr>Instructions!Print_Area</vt:lpstr>
      <vt:lpstr>'Performance  Indicators Print'!Print_Area</vt:lpstr>
      <vt:lpstr>'PI series #'!Print_Area</vt:lpstr>
      <vt:lpstr>'Unit Data from Audit Worksheet'!Print_Area</vt:lpstr>
      <vt:lpstr>Print_Selection_Auditor</vt:lpstr>
      <vt:lpstr>'Performance  Indicators Print'!Print_Titles</vt:lpstr>
      <vt:lpstr>'PI series #'!Print_Titles</vt:lpstr>
      <vt:lpstr>'Unit Data from Audit Worksheet'!Print_Titles</vt:lpstr>
      <vt:lpstr>showError</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2021-08-02T15:45:39Z</cp:lastPrinted>
  <dcterms:created xsi:type="dcterms:W3CDTF">2011-03-11T21:05:05Z</dcterms:created>
  <dcterms:modified xsi:type="dcterms:W3CDTF">2022-09-19T17:17:36Z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